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Sheet1" sheetId="81" r:id="rId19"/>
    <sheet name="成本法" sheetId="68" r:id="rId20"/>
    <sheet name="成本法 (元)" sheetId="69" state="hidden" r:id="rId21"/>
    <sheet name="假设开发法" sheetId="12" state="hidden" r:id="rId22"/>
    <sheet name="土地比较法-住宅、综合" sheetId="39" r:id="rId23"/>
    <sheet name="案例" sheetId="77" r:id="rId24"/>
    <sheet name="收益法（汇总）" sheetId="70" r:id="rId25"/>
    <sheet name="收益法-主楼" sheetId="15" r:id="rId26"/>
    <sheet name="收益法 (元)" sheetId="67" state="hidden" r:id="rId27"/>
    <sheet name="收益法别墅" sheetId="79" state="hidden" r:id="rId28"/>
    <sheet name="收益法-别墅" sheetId="80" r:id="rId29"/>
    <sheet name="收益法三期" sheetId="78"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收益法别墅!$A$1:$AK$69</definedName>
    <definedName name="_xlnm.Print_Area" localSheetId="28">'收益法-别墅'!$A$1:$AK$69</definedName>
    <definedName name="_xlnm.Print_Area" localSheetId="29">收益法三期!$A$1:$AK$69</definedName>
    <definedName name="_xlnm.Print_Area" localSheetId="25">'收益法-主楼'!$A$1:$AK$69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48" i="81" l="1"/>
  <c r="B49" i="81"/>
  <c r="B50" i="81"/>
  <c r="B51" i="81"/>
  <c r="B52" i="81"/>
  <c r="B47" i="81"/>
  <c r="B45" i="81"/>
  <c r="D53" i="81"/>
  <c r="C53" i="81"/>
  <c r="D48" i="81"/>
  <c r="D49" i="81"/>
  <c r="D50" i="81"/>
  <c r="D51" i="81"/>
  <c r="D52" i="81"/>
  <c r="D47" i="81"/>
  <c r="C48" i="81"/>
  <c r="C49" i="81"/>
  <c r="C50" i="81"/>
  <c r="C51" i="81"/>
  <c r="C52" i="81"/>
  <c r="C47" i="81"/>
  <c r="A48" i="81"/>
  <c r="A49" i="81"/>
  <c r="A50" i="81"/>
  <c r="A51" i="81"/>
  <c r="A52" i="81"/>
  <c r="A47" i="81"/>
  <c r="J15" i="81" l="1"/>
  <c r="I15" i="81"/>
  <c r="J14" i="81"/>
  <c r="J13" i="81"/>
  <c r="J12" i="81"/>
  <c r="J11" i="81"/>
  <c r="I14" i="81"/>
  <c r="I13" i="81"/>
  <c r="I12" i="81"/>
  <c r="I11" i="81"/>
  <c r="D10" i="68" l="1"/>
  <c r="C10" i="68" s="1"/>
  <c r="B29" i="1" s="1"/>
  <c r="C8" i="68" s="1"/>
  <c r="D99" i="39"/>
  <c r="E99" i="39"/>
  <c r="F25" i="39"/>
  <c r="AA25" i="39"/>
  <c r="D101" i="39"/>
  <c r="F27" i="39"/>
  <c r="AA27" i="39"/>
  <c r="R47" i="39"/>
  <c r="H25" i="39"/>
  <c r="AB25" i="39"/>
  <c r="H27" i="39"/>
  <c r="AB27" i="39"/>
  <c r="T47" i="39"/>
  <c r="J25" i="39"/>
  <c r="AC25" i="39"/>
  <c r="J27" i="39"/>
  <c r="AC2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F27" i="68"/>
  <c r="C29" i="68" s="1"/>
  <c r="D27" i="68" s="1"/>
  <c r="F34" i="68"/>
  <c r="C34" i="68" s="1"/>
  <c r="C35" i="68" s="1"/>
  <c r="D9" i="68"/>
  <c r="C9" i="68" s="1"/>
  <c r="R6" i="1"/>
  <c r="R7" i="1"/>
  <c r="R8" i="1"/>
  <c r="D81" i="39"/>
  <c r="E81" i="39"/>
  <c r="F11" i="39"/>
  <c r="AA11" i="39"/>
  <c r="H11" i="39"/>
  <c r="AB11" i="39"/>
  <c r="J11" i="39"/>
  <c r="AC11" i="39"/>
  <c r="AL7" i="1"/>
  <c r="AL8" i="1"/>
  <c r="V49" i="77"/>
  <c r="C11" i="39"/>
  <c r="D10" i="9"/>
  <c r="D12" i="9"/>
  <c r="C12" i="9"/>
  <c r="C10" i="9"/>
  <c r="D8" i="9"/>
  <c r="B21" i="1"/>
  <c r="H6" i="1"/>
  <c r="A81" i="77"/>
  <c r="A80" i="77"/>
  <c r="AM7" i="1"/>
  <c r="AM8" i="1"/>
  <c r="AK7" i="1"/>
  <c r="AK8" i="1"/>
  <c r="M28" i="66"/>
  <c r="M29" i="66"/>
  <c r="C27" i="66"/>
  <c r="I38" i="39"/>
  <c r="G38" i="39"/>
  <c r="E38" i="39"/>
  <c r="I46" i="39"/>
  <c r="G46" i="39"/>
  <c r="E46" i="39"/>
  <c r="I7" i="39"/>
  <c r="G7" i="39"/>
  <c r="E7" i="39"/>
  <c r="I5" i="39"/>
  <c r="G5" i="39"/>
  <c r="E5" i="39"/>
  <c r="AD20" i="1"/>
  <c r="AD8" i="1"/>
  <c r="Q72" i="80"/>
  <c r="Q59" i="80"/>
  <c r="K59" i="80"/>
  <c r="P74" i="80"/>
  <c r="Q58" i="80"/>
  <c r="Q51" i="80"/>
  <c r="J50" i="80"/>
  <c r="M47" i="80"/>
  <c r="D46" i="80"/>
  <c r="F33" i="80"/>
  <c r="F61" i="80"/>
  <c r="F23" i="80"/>
  <c r="D23" i="80"/>
  <c r="F21" i="80"/>
  <c r="F20" i="80"/>
  <c r="M19" i="80"/>
  <c r="F18" i="80"/>
  <c r="F17" i="80"/>
  <c r="F15" i="80"/>
  <c r="Q72" i="79"/>
  <c r="Q59" i="79"/>
  <c r="K59" i="79"/>
  <c r="P74" i="79"/>
  <c r="Q58" i="79"/>
  <c r="Q51" i="79"/>
  <c r="J50" i="79"/>
  <c r="J49" i="79"/>
  <c r="M47" i="79"/>
  <c r="D46" i="79"/>
  <c r="F33" i="79"/>
  <c r="F61" i="79"/>
  <c r="F23" i="79"/>
  <c r="D23" i="79"/>
  <c r="F21" i="79"/>
  <c r="F20" i="79"/>
  <c r="M19" i="79"/>
  <c r="F18" i="79"/>
  <c r="F17" i="79"/>
  <c r="F15" i="79"/>
  <c r="AA8" i="1"/>
  <c r="V8" i="1"/>
  <c r="L7" i="1"/>
  <c r="D22" i="80"/>
  <c r="P61" i="80"/>
  <c r="P61" i="79"/>
  <c r="O18" i="1"/>
  <c r="O20" i="1"/>
  <c r="N6" i="1"/>
  <c r="J49" i="78"/>
  <c r="V7" i="1"/>
  <c r="G27" i="77"/>
  <c r="G18" i="77"/>
  <c r="G14" i="77"/>
  <c r="G9" i="77"/>
  <c r="Q7" i="1"/>
  <c r="Q8" i="1"/>
  <c r="Q72" i="78"/>
  <c r="Q59" i="78"/>
  <c r="K59" i="78"/>
  <c r="P61" i="78"/>
  <c r="Q58" i="78"/>
  <c r="Q51" i="78"/>
  <c r="J50" i="78"/>
  <c r="M47" i="78"/>
  <c r="D46" i="78"/>
  <c r="F33" i="78"/>
  <c r="F61" i="78"/>
  <c r="F23" i="78"/>
  <c r="D24" i="78"/>
  <c r="F21" i="78"/>
  <c r="F20" i="78"/>
  <c r="M19" i="78"/>
  <c r="F18" i="78"/>
  <c r="F17" i="78"/>
  <c r="F15" i="78"/>
  <c r="D23" i="78"/>
  <c r="P74" i="78"/>
  <c r="I7" i="1"/>
  <c r="H7" i="1"/>
  <c r="J7" i="1"/>
  <c r="J8" i="1"/>
  <c r="I17" i="3"/>
  <c r="I18" i="3"/>
  <c r="C18" i="3"/>
  <c r="C17" i="3"/>
  <c r="C16" i="3"/>
  <c r="C15" i="3"/>
  <c r="C14" i="3"/>
  <c r="C13" i="3"/>
  <c r="H27" i="77"/>
  <c r="H18" i="77"/>
  <c r="I15" i="3"/>
  <c r="H14" i="77"/>
  <c r="I14" i="3"/>
  <c r="H9" i="77"/>
  <c r="I13" i="3"/>
  <c r="F19" i="6"/>
  <c r="F21" i="6"/>
  <c r="B27" i="9"/>
  <c r="D27" i="9"/>
  <c r="I5" i="71"/>
  <c r="I4" i="71"/>
  <c r="L5" i="71"/>
  <c r="L4" i="71"/>
  <c r="K5" i="71"/>
  <c r="J5" i="71"/>
  <c r="O5" i="71"/>
  <c r="P5" i="71"/>
  <c r="K4" i="71"/>
  <c r="P4" i="71"/>
  <c r="AA3" i="71"/>
  <c r="Q5"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F67" i="71"/>
  <c r="F66" i="71"/>
  <c r="E68" i="71"/>
  <c r="E67" i="71"/>
  <c r="E66" i="71"/>
  <c r="C68" i="71"/>
  <c r="D68" i="71"/>
  <c r="B68" i="71"/>
  <c r="B67" i="71"/>
  <c r="B66" i="71"/>
  <c r="D65" i="71"/>
  <c r="F64" i="71"/>
  <c r="F63" i="71"/>
  <c r="F62" i="71"/>
  <c r="E64" i="71"/>
  <c r="E63" i="71"/>
  <c r="E62" i="71"/>
  <c r="C64" i="71"/>
  <c r="D64" i="71"/>
  <c r="B64"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F47" i="71"/>
  <c r="F46" i="71"/>
  <c r="Q46" i="71"/>
  <c r="D45" i="71"/>
  <c r="Q44" i="71"/>
  <c r="P44" i="71"/>
  <c r="O44" i="71"/>
  <c r="N44" i="71"/>
  <c r="Q43" i="71"/>
  <c r="P43" i="71"/>
  <c r="O43" i="71"/>
  <c r="N43" i="71"/>
  <c r="Q42" i="71"/>
  <c r="P42" i="71"/>
  <c r="O42" i="71"/>
  <c r="N42" i="71"/>
  <c r="Q41" i="71"/>
  <c r="F42" i="71"/>
  <c r="F43" i="71"/>
  <c r="F44" i="71"/>
  <c r="V44" i="71"/>
  <c r="P41" i="71"/>
  <c r="E42" i="71"/>
  <c r="O41" i="71"/>
  <c r="C42" i="71"/>
  <c r="N41" i="71"/>
  <c r="B42" i="71"/>
  <c r="D41" i="71"/>
  <c r="Q40" i="71"/>
  <c r="P40" i="71"/>
  <c r="O40" i="71"/>
  <c r="N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O21" i="71"/>
  <c r="C22" i="71"/>
  <c r="N21" i="71"/>
  <c r="B22" i="71"/>
  <c r="B23" i="71"/>
  <c r="B24" i="71"/>
  <c r="S24" i="71"/>
  <c r="D21" i="71"/>
  <c r="Q20" i="71"/>
  <c r="P20" i="71"/>
  <c r="O20" i="71"/>
  <c r="N20" i="71"/>
  <c r="Q19" i="71"/>
  <c r="AB19" i="71"/>
  <c r="P19" i="71"/>
  <c r="AA19" i="71"/>
  <c r="O19" i="71"/>
  <c r="Y19" i="71"/>
  <c r="Z19" i="71"/>
  <c r="N19" i="71"/>
  <c r="X19" i="71"/>
  <c r="Q18" i="71"/>
  <c r="AB18" i="71"/>
  <c r="P18" i="71"/>
  <c r="AA18" i="71"/>
  <c r="O18" i="71"/>
  <c r="Y18" i="71"/>
  <c r="Z18" i="71"/>
  <c r="N18" i="71"/>
  <c r="Q17" i="71"/>
  <c r="F18" i="71"/>
  <c r="P17" i="71"/>
  <c r="O17" i="71"/>
  <c r="N17" i="71"/>
  <c r="B18" i="71"/>
  <c r="B19" i="71"/>
  <c r="D17" i="71"/>
  <c r="Q16" i="71"/>
  <c r="P16" i="71"/>
  <c r="O16" i="71"/>
  <c r="Y16" i="71"/>
  <c r="Z16" i="71"/>
  <c r="N16" i="71"/>
  <c r="Q15" i="71"/>
  <c r="P15" i="71"/>
  <c r="O15" i="71"/>
  <c r="N15" i="71"/>
  <c r="X13" i="71"/>
  <c r="Q14" i="71"/>
  <c r="P14" i="71"/>
  <c r="AA14" i="71"/>
  <c r="O14" i="71"/>
  <c r="Y14" i="71"/>
  <c r="Z14" i="71"/>
  <c r="N14" i="71"/>
  <c r="Q13" i="71"/>
  <c r="F14" i="71"/>
  <c r="F15" i="71"/>
  <c r="F16" i="71"/>
  <c r="V16" i="71"/>
  <c r="P13" i="71"/>
  <c r="O13" i="71"/>
  <c r="N13" i="71"/>
  <c r="D13" i="71"/>
  <c r="Q12" i="71"/>
  <c r="P12" i="71"/>
  <c r="AA10" i="71"/>
  <c r="O12" i="71"/>
  <c r="Y12" i="71"/>
  <c r="Z12" i="71"/>
  <c r="N12" i="71"/>
  <c r="Q11" i="71"/>
  <c r="AB11" i="71"/>
  <c r="P11" i="71"/>
  <c r="O11" i="71"/>
  <c r="N11" i="71"/>
  <c r="Q10" i="71"/>
  <c r="P10" i="71"/>
  <c r="O10" i="71"/>
  <c r="Y10" i="71"/>
  <c r="Z10" i="71"/>
  <c r="N10" i="71"/>
  <c r="Q9" i="71"/>
  <c r="F10" i="71"/>
  <c r="P9" i="71"/>
  <c r="E10" i="71"/>
  <c r="O9" i="71"/>
  <c r="N9" i="71"/>
  <c r="X9" i="71"/>
  <c r="D9" i="71"/>
  <c r="O8" i="71"/>
  <c r="C8" i="71"/>
  <c r="N8" i="71"/>
  <c r="B10" i="71"/>
  <c r="B11" i="71"/>
  <c r="B14" i="71"/>
  <c r="B15" i="71"/>
  <c r="B16" i="71"/>
  <c r="S16" i="71"/>
  <c r="E18" i="71"/>
  <c r="E19" i="71"/>
  <c r="E20" i="71"/>
  <c r="U20" i="71"/>
  <c r="AA17" i="71"/>
  <c r="N48" i="71"/>
  <c r="E14" i="71"/>
  <c r="E15" i="71"/>
  <c r="E16" i="71"/>
  <c r="U16" i="71"/>
  <c r="AA13" i="71"/>
  <c r="C10" i="71"/>
  <c r="AB9" i="71"/>
  <c r="AA11" i="71"/>
  <c r="C14" i="71"/>
  <c r="C15" i="71"/>
  <c r="X14" i="71"/>
  <c r="X15" i="71"/>
  <c r="X16" i="71"/>
  <c r="C18" i="71"/>
  <c r="C19" i="71"/>
  <c r="Y17" i="71"/>
  <c r="Z17" i="71"/>
  <c r="X18" i="71"/>
  <c r="F31" i="71"/>
  <c r="F32" i="71"/>
  <c r="V32" i="71"/>
  <c r="Y5" i="71"/>
  <c r="Z5" i="71"/>
  <c r="Y6" i="71"/>
  <c r="Z6" i="71"/>
  <c r="Y7" i="71"/>
  <c r="Z7" i="71"/>
  <c r="Y8" i="71"/>
  <c r="Z8" i="71"/>
  <c r="B8" i="71"/>
  <c r="B7" i="71"/>
  <c r="B6" i="71"/>
  <c r="X6" i="71"/>
  <c r="C11" i="71"/>
  <c r="C12" i="71"/>
  <c r="D10" i="71"/>
  <c r="D14" i="71"/>
  <c r="P8" i="71"/>
  <c r="E8" i="71"/>
  <c r="E43" i="71"/>
  <c r="E44" i="71"/>
  <c r="U44" i="71"/>
  <c r="Q45" i="71"/>
  <c r="U48" i="71"/>
  <c r="E47" i="71"/>
  <c r="P47" i="71"/>
  <c r="Q8" i="71"/>
  <c r="F8" i="71"/>
  <c r="F7" i="71"/>
  <c r="F6" i="71"/>
  <c r="F5" i="71"/>
  <c r="C35" i="71"/>
  <c r="C36" i="71"/>
  <c r="D34" i="71"/>
  <c r="C43" i="71"/>
  <c r="D43" i="71"/>
  <c r="D42" i="71"/>
  <c r="Q47" i="71"/>
  <c r="T48" i="71"/>
  <c r="O48" i="71"/>
  <c r="D48" i="71"/>
  <c r="C47" i="71"/>
  <c r="C46" i="71"/>
  <c r="Q48" i="71"/>
  <c r="C51" i="71"/>
  <c r="C50" i="71"/>
  <c r="D50" i="71"/>
  <c r="E51" i="71"/>
  <c r="E50" i="71"/>
  <c r="D52" i="71"/>
  <c r="C55" i="71"/>
  <c r="D55" i="71"/>
  <c r="E55" i="71"/>
  <c r="E54" i="71"/>
  <c r="D56" i="71"/>
  <c r="C59" i="71"/>
  <c r="D59" i="71"/>
  <c r="E59" i="71"/>
  <c r="E58" i="71"/>
  <c r="D60" i="71"/>
  <c r="C63" i="71"/>
  <c r="C62" i="71"/>
  <c r="D62" i="71"/>
  <c r="C67" i="71"/>
  <c r="D67" i="71"/>
  <c r="S8" i="71"/>
  <c r="AB6" i="71"/>
  <c r="AA8" i="71"/>
  <c r="O47" i="71"/>
  <c r="C44" i="71"/>
  <c r="T44" i="71"/>
  <c r="D63" i="71"/>
  <c r="C66" i="71"/>
  <c r="D66" i="71"/>
  <c r="C58" i="71"/>
  <c r="D58" i="71"/>
  <c r="D51" i="71"/>
  <c r="E46" i="71"/>
  <c r="P46" i="7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F18" i="35"/>
  <c r="AA18" i="35"/>
  <c r="C18" i="35"/>
  <c r="Q21" i="37"/>
  <c r="Z21" i="37"/>
  <c r="D77" i="37"/>
  <c r="E77" i="37"/>
  <c r="F77" i="37"/>
  <c r="G77" i="37"/>
  <c r="C21" i="37"/>
  <c r="Q21" i="34"/>
  <c r="Z21" i="34"/>
  <c r="D84" i="34"/>
  <c r="E84" i="34"/>
  <c r="F84" i="34"/>
  <c r="G84" i="34"/>
  <c r="F21" i="34"/>
  <c r="AA21" i="34"/>
  <c r="C21" i="34"/>
  <c r="Q21" i="33"/>
  <c r="Z21" i="33"/>
  <c r="D83" i="33"/>
  <c r="E83" i="33"/>
  <c r="F83" i="33"/>
  <c r="C21" i="33"/>
  <c r="C21" i="21"/>
  <c r="Q21" i="21"/>
  <c r="Z21" i="21"/>
  <c r="H19" i="21"/>
  <c r="D83" i="21"/>
  <c r="F21" i="21"/>
  <c r="AA21" i="21"/>
  <c r="D81" i="21"/>
  <c r="G20" i="20"/>
  <c r="B86" i="43"/>
  <c r="C22" i="20"/>
  <c r="C25" i="40"/>
  <c r="S25" i="40"/>
  <c r="S29" i="39"/>
  <c r="U18" i="36"/>
  <c r="S21" i="34"/>
  <c r="H25" i="40"/>
  <c r="AB25" i="40"/>
  <c r="J25" i="40"/>
  <c r="H29" i="39"/>
  <c r="AB29" i="39"/>
  <c r="J29" i="39"/>
  <c r="AC29" i="39"/>
  <c r="J18" i="36"/>
  <c r="AC18" i="36"/>
  <c r="H18" i="35"/>
  <c r="AB18" i="35"/>
  <c r="S18" i="35"/>
  <c r="G68" i="35"/>
  <c r="J18" i="35"/>
  <c r="W18" i="35"/>
  <c r="H21" i="37"/>
  <c r="F21" i="37"/>
  <c r="AA21" i="37"/>
  <c r="H21" i="34"/>
  <c r="AB21" i="34"/>
  <c r="H21" i="33"/>
  <c r="U21" i="33"/>
  <c r="F21" i="33"/>
  <c r="S21" i="33"/>
  <c r="E83" i="21"/>
  <c r="F83" i="21"/>
  <c r="H1" i="69"/>
  <c r="AC25" i="40"/>
  <c r="W25" i="40"/>
  <c r="U25" i="40"/>
  <c r="U29" i="39"/>
  <c r="W29" i="39"/>
  <c r="W18" i="36"/>
  <c r="AB21" i="37"/>
  <c r="U21" i="37"/>
  <c r="S21" i="37"/>
  <c r="AA21" i="33"/>
  <c r="U18" i="35"/>
  <c r="AC18" i="35"/>
  <c r="J21" i="37"/>
  <c r="W21" i="37"/>
  <c r="J21" i="34"/>
  <c r="W21" i="34"/>
  <c r="G83" i="33"/>
  <c r="J21" i="33"/>
  <c r="W21" i="33"/>
  <c r="H21" i="21"/>
  <c r="U21" i="21"/>
  <c r="F38" i="69"/>
  <c r="E37" i="69"/>
  <c r="F36" i="69"/>
  <c r="F35" i="69"/>
  <c r="F21" i="69"/>
  <c r="C21" i="69"/>
  <c r="F20" i="69"/>
  <c r="E10" i="69"/>
  <c r="E9" i="69"/>
  <c r="F7" i="69"/>
  <c r="C7" i="69"/>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c r="I9" i="66"/>
  <c r="I8" i="66"/>
  <c r="I7" i="66"/>
  <c r="I6" i="66"/>
  <c r="I5" i="66"/>
  <c r="I4" i="66"/>
  <c r="I3" i="66"/>
  <c r="D1" i="43"/>
  <c r="F113" i="43"/>
  <c r="N99" i="43"/>
  <c r="N108" i="43"/>
  <c r="D99" i="43"/>
  <c r="D108" i="43"/>
  <c r="E99" i="43"/>
  <c r="F99" i="43"/>
  <c r="F108" i="43"/>
  <c r="G99" i="43"/>
  <c r="H99" i="43"/>
  <c r="H108" i="43"/>
  <c r="I99" i="43"/>
  <c r="J99" i="43"/>
  <c r="J108" i="43"/>
  <c r="K99" i="43"/>
  <c r="K108" i="43"/>
  <c r="L99" i="43"/>
  <c r="L108" i="43"/>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J51" i="78"/>
  <c r="F15" i="4"/>
  <c r="F9" i="1"/>
  <c r="F10" i="1"/>
  <c r="F11" i="1"/>
  <c r="F12" i="1"/>
  <c r="F13" i="1"/>
  <c r="D6" i="1"/>
  <c r="D9" i="1"/>
  <c r="D10" i="1"/>
  <c r="D11" i="1"/>
  <c r="D12" i="1"/>
  <c r="D13" i="1"/>
  <c r="D7" i="1"/>
  <c r="D8" i="1"/>
  <c r="A7" i="1"/>
  <c r="A8" i="1"/>
  <c r="B8" i="1"/>
  <c r="E8" i="1"/>
  <c r="A9" i="1"/>
  <c r="A10" i="1"/>
  <c r="K10" i="1"/>
  <c r="M10" i="1"/>
  <c r="O10" i="1"/>
  <c r="A11" i="1"/>
  <c r="B11" i="1"/>
  <c r="E11" i="1"/>
  <c r="A12" i="1"/>
  <c r="A13" i="1"/>
  <c r="B13" i="1"/>
  <c r="E13" i="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8" i="1"/>
  <c r="D15" i="4"/>
  <c r="L21" i="4"/>
  <c r="F19" i="4"/>
  <c r="F2" i="52"/>
  <c r="B50" i="72"/>
  <c r="D2" i="52"/>
  <c r="B46" i="72"/>
  <c r="B8" i="53"/>
  <c r="B23" i="72"/>
  <c r="L4" i="9"/>
  <c r="B17" i="72"/>
  <c r="B15" i="72"/>
  <c r="A3" i="51"/>
  <c r="C8" i="11"/>
  <c r="B2" i="49"/>
  <c r="B16" i="49" s="1"/>
  <c r="C4" i="4" s="1"/>
  <c r="B4" i="62" s="1"/>
  <c r="B71" i="72"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30" i="9"/>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c r="BO494" i="3"/>
  <c r="BP494" i="3"/>
  <c r="BQ494" i="3"/>
  <c r="BR494" i="3"/>
  <c r="BS494" i="3"/>
  <c r="BT494" i="3"/>
  <c r="H495" i="3"/>
  <c r="AC495" i="3"/>
  <c r="G495" i="3"/>
  <c r="BB495" i="3"/>
  <c r="BC495" i="3"/>
  <c r="BA495" i="3"/>
  <c r="BD495" i="3"/>
  <c r="BE495" i="3"/>
  <c r="BF495" i="3"/>
  <c r="BG495" i="3"/>
  <c r="BH495" i="3"/>
  <c r="BI495" i="3"/>
  <c r="BJ495" i="3"/>
  <c r="BK495" i="3"/>
  <c r="BM495" i="3"/>
  <c r="BN495" i="3"/>
  <c r="BO495" i="3"/>
  <c r="BP495" i="3"/>
  <c r="BR495" i="3"/>
  <c r="BS495" i="3"/>
  <c r="BT495" i="3"/>
  <c r="H496" i="3"/>
  <c r="G496" i="3"/>
  <c r="AC496" i="3"/>
  <c r="BB496" i="3"/>
  <c r="BA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G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c r="BD502" i="3"/>
  <c r="BE502" i="3"/>
  <c r="BF502" i="3"/>
  <c r="BG502" i="3"/>
  <c r="BH502" i="3"/>
  <c r="BI502" i="3"/>
  <c r="BJ502" i="3"/>
  <c r="BK502" i="3"/>
  <c r="BM502" i="3"/>
  <c r="BN502" i="3"/>
  <c r="BO502" i="3"/>
  <c r="BP502" i="3"/>
  <c r="BQ502" i="3"/>
  <c r="BR502" i="3"/>
  <c r="BS502" i="3"/>
  <c r="BT502" i="3"/>
  <c r="H503" i="3"/>
  <c r="AC503" i="3"/>
  <c r="G503" i="3"/>
  <c r="BB503" i="3"/>
  <c r="BC503" i="3"/>
  <c r="BA503" i="3"/>
  <c r="BD503" i="3"/>
  <c r="BE503" i="3"/>
  <c r="BF503" i="3"/>
  <c r="BG503" i="3"/>
  <c r="BH503" i="3"/>
  <c r="BI503" i="3"/>
  <c r="BJ503" i="3"/>
  <c r="BK503" i="3"/>
  <c r="BM503" i="3"/>
  <c r="BN503" i="3"/>
  <c r="BL503" i="3"/>
  <c r="AZ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A508" i="3"/>
  <c r="BC508" i="3"/>
  <c r="BD508" i="3"/>
  <c r="BE508" i="3"/>
  <c r="BF508" i="3"/>
  <c r="BG508" i="3"/>
  <c r="BH508" i="3"/>
  <c r="BI508" i="3"/>
  <c r="BJ508" i="3"/>
  <c r="BK508" i="3"/>
  <c r="BM508" i="3"/>
  <c r="BN508" i="3"/>
  <c r="BO508" i="3"/>
  <c r="BP508" i="3"/>
  <c r="BQ508" i="3"/>
  <c r="BR508" i="3"/>
  <c r="BS508" i="3"/>
  <c r="BT508" i="3"/>
  <c r="H509" i="3"/>
  <c r="G509" i="3"/>
  <c r="BB509" i="3"/>
  <c r="BC509" i="3"/>
  <c r="BA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G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L517" i="3"/>
  <c r="AZ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D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O520" i="3"/>
  <c r="BP520" i="3"/>
  <c r="BQ520" i="3"/>
  <c r="BR520" i="3"/>
  <c r="BS520" i="3"/>
  <c r="BT520" i="3"/>
  <c r="H521" i="3"/>
  <c r="BB521" i="3"/>
  <c r="BA521" i="3"/>
  <c r="BC521" i="3"/>
  <c r="BD521" i="3"/>
  <c r="BE521" i="3"/>
  <c r="BF521" i="3"/>
  <c r="BG521" i="3"/>
  <c r="BH521" i="3"/>
  <c r="BI521" i="3"/>
  <c r="BJ521" i="3"/>
  <c r="BK521" i="3"/>
  <c r="BM521" i="3"/>
  <c r="BL521" i="3"/>
  <c r="BN521" i="3"/>
  <c r="BO521" i="3"/>
  <c r="BP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A523" i="3"/>
  <c r="BD523" i="3"/>
  <c r="BE523" i="3"/>
  <c r="BF523" i="3"/>
  <c r="BG523" i="3"/>
  <c r="BH523" i="3"/>
  <c r="BI523" i="3"/>
  <c r="BJ523" i="3"/>
  <c r="BK523" i="3"/>
  <c r="BM523" i="3"/>
  <c r="BN523" i="3"/>
  <c r="BO523" i="3"/>
  <c r="BP523" i="3"/>
  <c r="BR523" i="3"/>
  <c r="BS523" i="3"/>
  <c r="BT523" i="3"/>
  <c r="H524" i="3"/>
  <c r="G524" i="3"/>
  <c r="AC524" i="3"/>
  <c r="BB524" i="3"/>
  <c r="BA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D5"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A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F543" i="3"/>
  <c r="BG543" i="3"/>
  <c r="BH543" i="3"/>
  <c r="BI543" i="3"/>
  <c r="BJ543" i="3"/>
  <c r="BK543" i="3"/>
  <c r="BM543" i="3"/>
  <c r="BN543" i="3"/>
  <c r="BO543" i="3"/>
  <c r="BP543" i="3"/>
  <c r="BR543" i="3"/>
  <c r="BS543" i="3"/>
  <c r="BT543" i="3"/>
  <c r="H544" i="3"/>
  <c r="G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c r="AZ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c r="BB550" i="3"/>
  <c r="BC550" i="3"/>
  <c r="BA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G553" i="3"/>
  <c r="AC553" i="3"/>
  <c r="BB553" i="3"/>
  <c r="BA553" i="3"/>
  <c r="BC553" i="3"/>
  <c r="BD553" i="3"/>
  <c r="BE553" i="3"/>
  <c r="BF553" i="3"/>
  <c r="BG553" i="3"/>
  <c r="BH553" i="3"/>
  <c r="BI553" i="3"/>
  <c r="BJ553" i="3"/>
  <c r="BK553" i="3"/>
  <c r="BM553" i="3"/>
  <c r="BN553" i="3"/>
  <c r="BO553" i="3"/>
  <c r="BP553" i="3"/>
  <c r="BR553" i="3"/>
  <c r="BS553" i="3"/>
  <c r="BT553" i="3"/>
  <c r="BT5"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A571" i="3"/>
  <c r="BD571" i="3"/>
  <c r="BE571" i="3"/>
  <c r="BF571" i="3"/>
  <c r="BG571" i="3"/>
  <c r="BH571" i="3"/>
  <c r="BI571" i="3"/>
  <c r="BJ571" i="3"/>
  <c r="BK571" i="3"/>
  <c r="BM571" i="3"/>
  <c r="BN571" i="3"/>
  <c r="BO571" i="3"/>
  <c r="BP571" i="3"/>
  <c r="BR571" i="3"/>
  <c r="BS571" i="3"/>
  <c r="BT571" i="3"/>
  <c r="H572" i="3"/>
  <c r="G572" i="3"/>
  <c r="AC572" i="3"/>
  <c r="BB572" i="3"/>
  <c r="BC572" i="3"/>
  <c r="BD572" i="3"/>
  <c r="BE572" i="3"/>
  <c r="BF572" i="3"/>
  <c r="BG572" i="3"/>
  <c r="BH572" i="3"/>
  <c r="BI572" i="3"/>
  <c r="BJ572" i="3"/>
  <c r="BK572" i="3"/>
  <c r="BM572" i="3"/>
  <c r="BN572" i="3"/>
  <c r="BO572" i="3"/>
  <c r="BP572" i="3"/>
  <c r="BQ572" i="3"/>
  <c r="BR572" i="3"/>
  <c r="BS572" i="3"/>
  <c r="BT572" i="3"/>
  <c r="H573" i="3"/>
  <c r="G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G576" i="3"/>
  <c r="AC576" i="3"/>
  <c r="BB576" i="3"/>
  <c r="BC576" i="3"/>
  <c r="BD576" i="3"/>
  <c r="BE576" i="3"/>
  <c r="BF576" i="3"/>
  <c r="BG576" i="3"/>
  <c r="BH576" i="3"/>
  <c r="BI576" i="3"/>
  <c r="BJ576" i="3"/>
  <c r="BK576" i="3"/>
  <c r="BM576" i="3"/>
  <c r="BN576" i="3"/>
  <c r="BO576" i="3"/>
  <c r="BP576" i="3"/>
  <c r="BQ576" i="3"/>
  <c r="BR576" i="3"/>
  <c r="BS576" i="3"/>
  <c r="BT576" i="3"/>
  <c r="H577" i="3"/>
  <c r="G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A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L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E101" i="37"/>
  <c r="F101" i="37"/>
  <c r="G101" i="37"/>
  <c r="H101" i="37"/>
  <c r="I101" i="37"/>
  <c r="J101" i="37"/>
  <c r="K101" i="37"/>
  <c r="L101" i="37"/>
  <c r="M101" i="37"/>
  <c r="F34" i="37"/>
  <c r="D99" i="37"/>
  <c r="E99" i="37"/>
  <c r="F99" i="37"/>
  <c r="G99" i="37"/>
  <c r="H99" i="37"/>
  <c r="I99" i="37"/>
  <c r="J99" i="37"/>
  <c r="K99" i="37"/>
  <c r="L99" i="37"/>
  <c r="M99" i="37"/>
  <c r="H42" i="34"/>
  <c r="J42" i="34"/>
  <c r="F42" i="34"/>
  <c r="J38" i="34"/>
  <c r="D114" i="34"/>
  <c r="F38" i="34"/>
  <c r="D112" i="34"/>
  <c r="E112" i="34"/>
  <c r="F112" i="34"/>
  <c r="G112" i="34"/>
  <c r="H112" i="34"/>
  <c r="I112" i="34"/>
  <c r="J112" i="34"/>
  <c r="K112" i="34"/>
  <c r="L112" i="34"/>
  <c r="M112" i="34"/>
  <c r="F40" i="33"/>
  <c r="J41" i="33"/>
  <c r="W41" i="33"/>
  <c r="D113" i="33"/>
  <c r="E113" i="33"/>
  <c r="F113" i="33"/>
  <c r="G113" i="33"/>
  <c r="H113" i="33"/>
  <c r="I113" i="33"/>
  <c r="J113" i="33"/>
  <c r="K113" i="33"/>
  <c r="L113" i="33"/>
  <c r="M113" i="33"/>
  <c r="F37" i="33"/>
  <c r="D111" i="33"/>
  <c r="E111" i="33"/>
  <c r="F111" i="33"/>
  <c r="S515" i="31"/>
  <c r="S516" i="31"/>
  <c r="S517" i="31"/>
  <c r="S518" i="31"/>
  <c r="S519" i="31"/>
  <c r="S520" i="31"/>
  <c r="S521" i="31"/>
  <c r="S522" i="31"/>
  <c r="S523" i="31"/>
  <c r="S524" i="31"/>
  <c r="F41" i="21"/>
  <c r="AA41" i="21"/>
  <c r="J41" i="21"/>
  <c r="AC41" i="21"/>
  <c r="H41" i="21"/>
  <c r="D76" i="40"/>
  <c r="E76" i="40"/>
  <c r="F76" i="40"/>
  <c r="G76" i="40"/>
  <c r="H76" i="40"/>
  <c r="I76" i="40"/>
  <c r="J76" i="40"/>
  <c r="K76" i="40"/>
  <c r="L76" i="40"/>
  <c r="M76" i="40"/>
  <c r="B120" i="40"/>
  <c r="J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D124" i="39"/>
  <c r="D120" i="39"/>
  <c r="E120" i="39"/>
  <c r="F120" i="39"/>
  <c r="G120" i="39"/>
  <c r="H120" i="39"/>
  <c r="I120" i="39"/>
  <c r="J120" i="39"/>
  <c r="K120" i="39"/>
  <c r="L120" i="39"/>
  <c r="M120" i="39"/>
  <c r="B114" i="39"/>
  <c r="J37" i="39"/>
  <c r="D109" i="39"/>
  <c r="E109" i="39"/>
  <c r="F34" i="39"/>
  <c r="AA34" i="39"/>
  <c r="D107" i="39"/>
  <c r="E107"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H21" i="39"/>
  <c r="D93" i="39"/>
  <c r="E93" i="39"/>
  <c r="F93" i="39"/>
  <c r="G93" i="39"/>
  <c r="D91" i="39"/>
  <c r="E91" i="39"/>
  <c r="D89" i="39"/>
  <c r="E89" i="39"/>
  <c r="F89" i="39"/>
  <c r="G89" i="39"/>
  <c r="B86" i="39"/>
  <c r="B84" i="39"/>
  <c r="B82" i="39"/>
  <c r="M79" i="39"/>
  <c r="L79" i="39"/>
  <c r="K79" i="39"/>
  <c r="J79" i="39"/>
  <c r="I79" i="39"/>
  <c r="H79" i="39"/>
  <c r="G79" i="39"/>
  <c r="F79" i="39"/>
  <c r="E79" i="39"/>
  <c r="D79" i="39"/>
  <c r="C79" i="39"/>
  <c r="P48" i="39"/>
  <c r="P47" i="39"/>
  <c r="V46" i="39"/>
  <c r="T46" i="39"/>
  <c r="R46" i="39"/>
  <c r="P46"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AA24" i="36"/>
  <c r="B71" i="36"/>
  <c r="H23" i="36"/>
  <c r="AB23" i="36"/>
  <c r="D70" i="36"/>
  <c r="H22" i="36"/>
  <c r="AB22" i="36"/>
  <c r="D68" i="36"/>
  <c r="E68" i="36"/>
  <c r="F68" i="36"/>
  <c r="G68" i="36"/>
  <c r="D64" i="36"/>
  <c r="E64" i="36"/>
  <c r="F64" i="36"/>
  <c r="G64" i="36"/>
  <c r="J16" i="36"/>
  <c r="W16" i="36"/>
  <c r="D62" i="36"/>
  <c r="E62" i="36"/>
  <c r="F62" i="36"/>
  <c r="G62" i="36"/>
  <c r="B59" i="36"/>
  <c r="B57" i="36"/>
  <c r="F12" i="36"/>
  <c r="S12" i="36"/>
  <c r="B55"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B96" i="21"/>
  <c r="B94"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J35" i="39"/>
  <c r="AC35" i="39"/>
  <c r="F35" i="39"/>
  <c r="U30" i="37"/>
  <c r="W31" i="37"/>
  <c r="F29" i="36"/>
  <c r="AA29" i="36"/>
  <c r="W8" i="36"/>
  <c r="F16" i="36"/>
  <c r="AA16" i="36"/>
  <c r="U9" i="36"/>
  <c r="W28" i="36"/>
  <c r="S30" i="36"/>
  <c r="AA31" i="36"/>
  <c r="AC31" i="36"/>
  <c r="W31" i="36"/>
  <c r="J33" i="36"/>
  <c r="W33" i="36"/>
  <c r="H22" i="35"/>
  <c r="AB22" i="35"/>
  <c r="U31" i="35"/>
  <c r="W22" i="35"/>
  <c r="F36" i="34"/>
  <c r="J35" i="34"/>
  <c r="S34" i="34"/>
  <c r="H39" i="33"/>
  <c r="AB39" i="33"/>
  <c r="F26" i="33"/>
  <c r="AA26" i="33"/>
  <c r="U35" i="33"/>
  <c r="S27" i="35"/>
  <c r="F11" i="40"/>
  <c r="AA11" i="40"/>
  <c r="H11" i="40"/>
  <c r="AB11" i="40"/>
  <c r="W8" i="40"/>
  <c r="AC9" i="40"/>
  <c r="U9" i="40"/>
  <c r="S34" i="40"/>
  <c r="W31" i="40"/>
  <c r="U34" i="40"/>
  <c r="F42" i="39"/>
  <c r="AA42" i="39"/>
  <c r="H40" i="39"/>
  <c r="AB40" i="39"/>
  <c r="H39" i="39"/>
  <c r="U39" i="39"/>
  <c r="S34" i="39"/>
  <c r="H34" i="39"/>
  <c r="U34"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F11" i="21"/>
  <c r="S11" i="21"/>
  <c r="S40" i="21"/>
  <c r="U34" i="21"/>
  <c r="C27" i="39"/>
  <c r="G27" i="39"/>
  <c r="H32" i="33"/>
  <c r="AB32" i="33"/>
  <c r="H11" i="21"/>
  <c r="J11" i="21"/>
  <c r="W11" i="21"/>
  <c r="H37" i="40"/>
  <c r="U37" i="40"/>
  <c r="H36" i="40"/>
  <c r="AB36" i="40"/>
  <c r="F35" i="40"/>
  <c r="AA35" i="40"/>
  <c r="H23" i="40"/>
  <c r="AB23" i="40"/>
  <c r="H17" i="40"/>
  <c r="U17" i="40"/>
  <c r="J15" i="40"/>
  <c r="W15" i="40"/>
  <c r="J11" i="40"/>
  <c r="F37" i="39"/>
  <c r="AA37" i="39"/>
  <c r="J34" i="36"/>
  <c r="W34" i="36"/>
  <c r="J30" i="35"/>
  <c r="W30" i="35"/>
  <c r="H30" i="35"/>
  <c r="F22" i="35"/>
  <c r="AA22" i="35"/>
  <c r="H10" i="35"/>
  <c r="U10" i="35"/>
  <c r="AC16" i="36"/>
  <c r="F33" i="36"/>
  <c r="AA33" i="36"/>
  <c r="W30" i="36"/>
  <c r="H16" i="36"/>
  <c r="AB16" i="36"/>
  <c r="E85" i="36"/>
  <c r="F85" i="36"/>
  <c r="G85" i="36"/>
  <c r="H85" i="36"/>
  <c r="I85" i="36"/>
  <c r="J85" i="36"/>
  <c r="K85" i="36"/>
  <c r="L85" i="36"/>
  <c r="M85" i="36"/>
  <c r="J29" i="36"/>
  <c r="AC29"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J34" i="37"/>
  <c r="W34" i="37"/>
  <c r="S10" i="37"/>
  <c r="AB34" i="37"/>
  <c r="J33" i="37"/>
  <c r="U42" i="34"/>
  <c r="H40" i="34"/>
  <c r="U40" i="34"/>
  <c r="E114" i="34"/>
  <c r="F114" i="34"/>
  <c r="G114" i="34"/>
  <c r="H114" i="34"/>
  <c r="I114" i="34"/>
  <c r="J114" i="34"/>
  <c r="K114" i="34"/>
  <c r="L114" i="34"/>
  <c r="M114" i="34"/>
  <c r="H36" i="34"/>
  <c r="U36" i="34"/>
  <c r="F37" i="34"/>
  <c r="AA37" i="34"/>
  <c r="S35" i="34"/>
  <c r="F27" i="34"/>
  <c r="AA27" i="34"/>
  <c r="F25" i="34"/>
  <c r="S25" i="34"/>
  <c r="H23" i="34"/>
  <c r="U23" i="34"/>
  <c r="J23" i="34"/>
  <c r="F19" i="34"/>
  <c r="H17" i="34"/>
  <c r="U17" i="34"/>
  <c r="F15" i="34"/>
  <c r="J15" i="34"/>
  <c r="H15" i="34"/>
  <c r="AB15" i="34"/>
  <c r="F41" i="33"/>
  <c r="AA41" i="33"/>
  <c r="F32" i="33"/>
  <c r="AA32" i="33"/>
  <c r="J19" i="33"/>
  <c r="AC19" i="33"/>
  <c r="J15" i="33"/>
  <c r="AC15" i="33"/>
  <c r="F11" i="33"/>
  <c r="AA11" i="33"/>
  <c r="S26" i="33"/>
  <c r="U40" i="33"/>
  <c r="W40" i="33"/>
  <c r="U8" i="33"/>
  <c r="F37" i="40"/>
  <c r="AA37" i="40"/>
  <c r="F36" i="40"/>
  <c r="AA36" i="40"/>
  <c r="H28" i="40"/>
  <c r="U28" i="40"/>
  <c r="F23" i="40"/>
  <c r="AA23" i="40"/>
  <c r="F17" i="40"/>
  <c r="AA17" i="40"/>
  <c r="J17" i="40"/>
  <c r="W17" i="40"/>
  <c r="F15" i="40"/>
  <c r="S15" i="40"/>
  <c r="H15" i="40"/>
  <c r="AB15" i="40"/>
  <c r="AA12" i="36"/>
  <c r="AC34" i="36"/>
  <c r="F29" i="35"/>
  <c r="S29" i="35"/>
  <c r="H29" i="35"/>
  <c r="AB29" i="35"/>
  <c r="H33" i="37"/>
  <c r="AB33" i="37"/>
  <c r="F33" i="37"/>
  <c r="AA33" i="37"/>
  <c r="U34"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42" i="34"/>
  <c r="S42" i="34"/>
  <c r="J37" i="34"/>
  <c r="AC37" i="34"/>
  <c r="J11" i="33"/>
  <c r="W11" i="33"/>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H28" i="33"/>
  <c r="U28" i="33"/>
  <c r="F28" i="33"/>
  <c r="J28" i="33"/>
  <c r="W28" i="33"/>
  <c r="F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45" i="21"/>
  <c r="F27" i="33"/>
  <c r="AA27" i="33"/>
  <c r="J13" i="33"/>
  <c r="W13" i="33"/>
  <c r="H13" i="33"/>
  <c r="AB13" i="33"/>
  <c r="F13" i="33"/>
  <c r="J29" i="33"/>
  <c r="AC29" i="33"/>
  <c r="H29" i="33"/>
  <c r="F29" i="33"/>
  <c r="S29" i="33"/>
  <c r="J31" i="33"/>
  <c r="H31" i="33"/>
  <c r="U31" i="33"/>
  <c r="F31" i="33"/>
  <c r="S31" i="33"/>
  <c r="H45" i="33"/>
  <c r="U45" i="33"/>
  <c r="J45" i="33"/>
  <c r="F45" i="33"/>
  <c r="AA45" i="33"/>
  <c r="J14" i="34"/>
  <c r="W14" i="34"/>
  <c r="F14" i="34"/>
  <c r="S14" i="34"/>
  <c r="H14" i="34"/>
  <c r="AB14" i="34"/>
  <c r="H30" i="34"/>
  <c r="F30" i="34"/>
  <c r="S30" i="34"/>
  <c r="J30" i="34"/>
  <c r="W30" i="34"/>
  <c r="H32" i="34"/>
  <c r="AB32" i="34"/>
  <c r="F32" i="34"/>
  <c r="J32" i="34"/>
  <c r="H46" i="34"/>
  <c r="U46" i="34"/>
  <c r="F46" i="34"/>
  <c r="AA46" i="34"/>
  <c r="J46" i="34"/>
  <c r="H11" i="35"/>
  <c r="U11" i="35"/>
  <c r="J11" i="35"/>
  <c r="AC11" i="35"/>
  <c r="F11" i="35"/>
  <c r="S11" i="35"/>
  <c r="J26" i="36"/>
  <c r="W26" i="36"/>
  <c r="H28" i="36"/>
  <c r="U28"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J36" i="37"/>
  <c r="AC36" i="37"/>
  <c r="J10" i="36"/>
  <c r="AC10" i="36"/>
  <c r="AA14" i="37"/>
  <c r="W31" i="34"/>
  <c r="AC13" i="36"/>
  <c r="S11" i="36"/>
  <c r="W11" i="35"/>
  <c r="S45" i="33"/>
  <c r="AB31" i="33"/>
  <c r="W29" i="33"/>
  <c r="BA586" i="3"/>
  <c r="BA585" i="3"/>
  <c r="F17" i="21"/>
  <c r="AA17" i="21"/>
  <c r="H17" i="21"/>
  <c r="AB17" i="21"/>
  <c r="F15" i="21"/>
  <c r="S15" i="21"/>
  <c r="J41" i="39"/>
  <c r="W41" i="39"/>
  <c r="AC45" i="39"/>
  <c r="W44" i="39"/>
  <c r="W35" i="39"/>
  <c r="G540" i="3"/>
  <c r="G518" i="3"/>
  <c r="G580" i="3"/>
  <c r="BL546" i="3"/>
  <c r="BL512" i="3"/>
  <c r="BL570" i="3"/>
  <c r="BL510" i="3"/>
  <c r="BA562" i="3"/>
  <c r="BA538" i="3"/>
  <c r="BA528" i="3"/>
  <c r="BA520" i="3"/>
  <c r="BA512" i="3"/>
  <c r="AZ512" i="3"/>
  <c r="BA504" i="3"/>
  <c r="BA498" i="3"/>
  <c r="BA587" i="3"/>
  <c r="AZ587" i="3"/>
  <c r="BA579" i="3"/>
  <c r="BA563" i="3"/>
  <c r="BA543" i="3"/>
  <c r="BA527" i="3"/>
  <c r="BA517" i="3"/>
  <c r="BA507" i="3"/>
  <c r="BA499" i="3"/>
  <c r="G583" i="3"/>
  <c r="G567" i="3"/>
  <c r="AC557" i="3"/>
  <c r="BQ557" i="3"/>
  <c r="BQ583" i="3"/>
  <c r="BQ581" i="3"/>
  <c r="BQ579" i="3"/>
  <c r="BQ577" i="3"/>
  <c r="BQ575" i="3"/>
  <c r="BQ573" i="3"/>
  <c r="BQ571" i="3"/>
  <c r="BQ569" i="3"/>
  <c r="BQ567" i="3"/>
  <c r="BQ565" i="3"/>
  <c r="BQ563" i="3"/>
  <c r="BL563" i="3"/>
  <c r="AZ563" i="3"/>
  <c r="BQ561" i="3"/>
  <c r="BQ559" i="3"/>
  <c r="BL559" i="3"/>
  <c r="G541" i="3"/>
  <c r="BQ555" i="3"/>
  <c r="BQ553" i="3"/>
  <c r="BQ551" i="3"/>
  <c r="BQ549" i="3"/>
  <c r="BQ547" i="3"/>
  <c r="BQ545" i="3"/>
  <c r="BQ543" i="3"/>
  <c r="BQ541" i="3"/>
  <c r="BL541" i="3"/>
  <c r="BQ539" i="3"/>
  <c r="BQ537" i="3"/>
  <c r="BL537" i="3"/>
  <c r="BQ535" i="3"/>
  <c r="BL535" i="3"/>
  <c r="BQ533" i="3"/>
  <c r="BQ531" i="3"/>
  <c r="BL531" i="3"/>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c r="J25" i="21"/>
  <c r="E125" i="33"/>
  <c r="F125" i="33"/>
  <c r="G125" i="33"/>
  <c r="H43" i="33"/>
  <c r="H17" i="37"/>
  <c r="U17" i="37"/>
  <c r="AB27" i="37"/>
  <c r="U32" i="33"/>
  <c r="F39" i="33"/>
  <c r="E123" i="33"/>
  <c r="F123" i="33"/>
  <c r="G123" i="33"/>
  <c r="H123" i="33"/>
  <c r="I123" i="33"/>
  <c r="J123" i="33"/>
  <c r="K123" i="33"/>
  <c r="L123" i="33"/>
  <c r="M123" i="33"/>
  <c r="F42" i="33"/>
  <c r="AA42" i="33"/>
  <c r="H28" i="34"/>
  <c r="AB28" i="34"/>
  <c r="F14" i="36"/>
  <c r="F22" i="36"/>
  <c r="S22" i="36"/>
  <c r="F26" i="36"/>
  <c r="S26" i="36"/>
  <c r="H27" i="34"/>
  <c r="AB27" i="34"/>
  <c r="H35" i="34"/>
  <c r="U35" i="34"/>
  <c r="F41" i="34"/>
  <c r="S41" i="34"/>
  <c r="H41" i="34"/>
  <c r="J41" i="34"/>
  <c r="AC41" i="34"/>
  <c r="F10" i="35"/>
  <c r="S10" i="35"/>
  <c r="F24" i="35"/>
  <c r="AA24" i="35"/>
  <c r="H24" i="35"/>
  <c r="H23" i="37"/>
  <c r="AB23" i="37"/>
  <c r="J32" i="37"/>
  <c r="F36" i="37"/>
  <c r="AA36" i="37"/>
  <c r="F37" i="37"/>
  <c r="F31" i="40"/>
  <c r="AA31" i="40"/>
  <c r="H31" i="40"/>
  <c r="U31" i="40"/>
  <c r="F32" i="40"/>
  <c r="S32" i="40"/>
  <c r="H32" i="40"/>
  <c r="J36" i="40"/>
  <c r="W36" i="40"/>
  <c r="H19" i="37"/>
  <c r="H42" i="33"/>
  <c r="AB42" i="33"/>
  <c r="J43" i="33"/>
  <c r="S28" i="31"/>
  <c r="S27" i="31"/>
  <c r="S22" i="31"/>
  <c r="R22" i="31"/>
  <c r="B21" i="31"/>
  <c r="S26" i="31"/>
  <c r="U14" i="40"/>
  <c r="AC33" i="36"/>
  <c r="U35" i="35"/>
  <c r="AB28" i="37"/>
  <c r="U33" i="37"/>
  <c r="AC8" i="37"/>
  <c r="W47" i="34"/>
  <c r="AB13" i="34"/>
  <c r="W37" i="34"/>
  <c r="AC36" i="34"/>
  <c r="W44" i="33"/>
  <c r="U11" i="33"/>
  <c r="U19" i="21"/>
  <c r="U26" i="21"/>
  <c r="U12"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E94" i="37"/>
  <c r="F31" i="37"/>
  <c r="S31" i="37"/>
  <c r="J42" i="39"/>
  <c r="AC42" i="39"/>
  <c r="H21" i="40"/>
  <c r="AB21" i="40"/>
  <c r="F94" i="37"/>
  <c r="G94" i="37"/>
  <c r="H94" i="37"/>
  <c r="I94" i="37"/>
  <c r="J94" i="37"/>
  <c r="K94" i="37"/>
  <c r="L94" i="37"/>
  <c r="M94" i="37"/>
  <c r="H31" i="37"/>
  <c r="U31" i="37"/>
  <c r="J15" i="37"/>
  <c r="W15" i="37"/>
  <c r="AT6" i="3"/>
  <c r="C12" i="43"/>
  <c r="H19" i="40"/>
  <c r="U19" i="40"/>
  <c r="F88" i="40"/>
  <c r="G88" i="40"/>
  <c r="F19" i="40"/>
  <c r="S19" i="40"/>
  <c r="S14" i="40"/>
  <c r="AB33" i="40"/>
  <c r="AC43" i="39"/>
  <c r="W43" i="39"/>
  <c r="U45" i="39"/>
  <c r="AB45" i="39"/>
  <c r="AB44" i="39"/>
  <c r="U44" i="39"/>
  <c r="H37" i="39"/>
  <c r="AB37" i="39"/>
  <c r="AC37" i="39"/>
  <c r="W37" i="39"/>
  <c r="F15" i="39"/>
  <c r="AA15" i="39"/>
  <c r="H15" i="39"/>
  <c r="U15" i="39"/>
  <c r="J15" i="39"/>
  <c r="W15" i="39"/>
  <c r="H41" i="39"/>
  <c r="W8" i="39"/>
  <c r="J19" i="40"/>
  <c r="AC19" i="40"/>
  <c r="J50" i="40"/>
  <c r="B54" i="72"/>
  <c r="H103" i="9"/>
  <c r="D8" i="53"/>
  <c r="B16" i="53"/>
  <c r="B33" i="72"/>
  <c r="C7" i="37"/>
  <c r="C52" i="37"/>
  <c r="D52" i="37"/>
  <c r="C7" i="34"/>
  <c r="C7" i="36"/>
  <c r="C46" i="36"/>
  <c r="D46" i="36"/>
  <c r="E46" i="36"/>
  <c r="F46" i="36"/>
  <c r="W35" i="40"/>
  <c r="A4" i="52"/>
  <c r="B41" i="72"/>
  <c r="W11" i="39"/>
  <c r="A12" i="52"/>
  <c r="B56" i="72"/>
  <c r="G4" i="4"/>
  <c r="I4" i="4"/>
  <c r="K5" i="4"/>
  <c r="B47" i="48"/>
  <c r="A2" i="9"/>
  <c r="N2" i="43"/>
  <c r="F59" i="43"/>
  <c r="G546"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AZ151" i="3"/>
  <c r="BL152" i="3"/>
  <c r="AZ152" i="3"/>
  <c r="G153" i="3"/>
  <c r="BA155" i="3"/>
  <c r="AZ155" i="3"/>
  <c r="BL156" i="3"/>
  <c r="G157" i="3"/>
  <c r="BA159" i="3"/>
  <c r="BL160" i="3"/>
  <c r="G161" i="3"/>
  <c r="BA163" i="3"/>
  <c r="AZ163" i="3"/>
  <c r="BL164" i="3"/>
  <c r="G165" i="3"/>
  <c r="BA167" i="3"/>
  <c r="AZ167" i="3"/>
  <c r="BL168" i="3"/>
  <c r="G169" i="3"/>
  <c r="BA171" i="3"/>
  <c r="AZ171" i="3"/>
  <c r="BL172" i="3"/>
  <c r="G173" i="3"/>
  <c r="BA175" i="3"/>
  <c r="BL176" i="3"/>
  <c r="AZ176" i="3"/>
  <c r="G177" i="3"/>
  <c r="BA179" i="3"/>
  <c r="BL180" i="3"/>
  <c r="G181" i="3"/>
  <c r="BA183" i="3"/>
  <c r="AZ183" i="3"/>
  <c r="BL184" i="3"/>
  <c r="AZ184" i="3"/>
  <c r="G185" i="3"/>
  <c r="BA187" i="3"/>
  <c r="AZ187" i="3"/>
  <c r="BL188" i="3"/>
  <c r="G189" i="3"/>
  <c r="BA191" i="3"/>
  <c r="BL192" i="3"/>
  <c r="G193" i="3"/>
  <c r="BA195" i="3"/>
  <c r="AZ195" i="3"/>
  <c r="BL196" i="3"/>
  <c r="G197" i="3"/>
  <c r="BA199" i="3"/>
  <c r="AZ199" i="3"/>
  <c r="BL200" i="3"/>
  <c r="G201" i="3"/>
  <c r="BA203" i="3"/>
  <c r="AZ203" i="3"/>
  <c r="BL204" i="3"/>
  <c r="AZ47" i="3"/>
  <c r="AZ75" i="3"/>
  <c r="AZ168" i="3"/>
  <c r="AZ200" i="3"/>
  <c r="AZ93" i="3"/>
  <c r="AZ128" i="3"/>
  <c r="G516" i="3"/>
  <c r="G494" i="3"/>
  <c r="G15" i="3"/>
  <c r="BA304" i="3"/>
  <c r="BA305" i="3"/>
  <c r="BL305" i="3"/>
  <c r="G306" i="3"/>
  <c r="G309" i="3"/>
  <c r="BL310" i="3"/>
  <c r="BA312" i="3"/>
  <c r="AZ312" i="3"/>
  <c r="BA313" i="3"/>
  <c r="BL313" i="3"/>
  <c r="AZ313" i="3"/>
  <c r="G314" i="3"/>
  <c r="G317" i="3"/>
  <c r="BL318" i="3"/>
  <c r="BA320" i="3"/>
  <c r="BA321" i="3"/>
  <c r="BL321" i="3"/>
  <c r="G322" i="3"/>
  <c r="G325" i="3"/>
  <c r="BL326" i="3"/>
  <c r="BA328" i="3"/>
  <c r="BA329" i="3"/>
  <c r="BL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BL356" i="3"/>
  <c r="AZ356" i="3"/>
  <c r="G357" i="3"/>
  <c r="G360" i="3"/>
  <c r="BL361" i="3"/>
  <c r="BA363" i="3"/>
  <c r="BA364" i="3"/>
  <c r="BL364" i="3"/>
  <c r="G365" i="3"/>
  <c r="G368" i="3"/>
  <c r="BL369" i="3"/>
  <c r="BA371" i="3"/>
  <c r="BA372" i="3"/>
  <c r="AZ372" i="3"/>
  <c r="BL372" i="3"/>
  <c r="G373" i="3"/>
  <c r="G376" i="3"/>
  <c r="BL377" i="3"/>
  <c r="BL379" i="3"/>
  <c r="BA381" i="3"/>
  <c r="AZ381" i="3"/>
  <c r="BA382" i="3"/>
  <c r="BL382" i="3"/>
  <c r="G383" i="3"/>
  <c r="G386" i="3"/>
  <c r="BL387" i="3"/>
  <c r="BA389" i="3"/>
  <c r="BA390" i="3"/>
  <c r="AZ390" i="3"/>
  <c r="BL390" i="3"/>
  <c r="G391" i="3"/>
  <c r="G394" i="3"/>
  <c r="AZ166" i="3"/>
  <c r="AZ198" i="3"/>
  <c r="BL303" i="3"/>
  <c r="G304" i="3"/>
  <c r="BA306" i="3"/>
  <c r="AZ306" i="3"/>
  <c r="BL307" i="3"/>
  <c r="G308" i="3"/>
  <c r="BA310" i="3"/>
  <c r="AZ310" i="3"/>
  <c r="BL311" i="3"/>
  <c r="AZ311" i="3"/>
  <c r="G312" i="3"/>
  <c r="BA314" i="3"/>
  <c r="BL315" i="3"/>
  <c r="G316" i="3"/>
  <c r="BA318" i="3"/>
  <c r="BL319" i="3"/>
  <c r="AZ319" i="3"/>
  <c r="G320" i="3"/>
  <c r="BA322" i="3"/>
  <c r="AZ322" i="3"/>
  <c r="BL323" i="3"/>
  <c r="AZ323" i="3"/>
  <c r="G324" i="3"/>
  <c r="BA326" i="3"/>
  <c r="AZ326" i="3"/>
  <c r="BL327" i="3"/>
  <c r="G328" i="3"/>
  <c r="BA330" i="3"/>
  <c r="AZ330" i="3"/>
  <c r="BL331" i="3"/>
  <c r="G332" i="3"/>
  <c r="BA334" i="3"/>
  <c r="AZ334" i="3"/>
  <c r="BL335" i="3"/>
  <c r="AZ335" i="3"/>
  <c r="G336" i="3"/>
  <c r="BA338" i="3"/>
  <c r="AZ338" i="3"/>
  <c r="BL339" i="3"/>
  <c r="AZ339" i="3"/>
  <c r="G340" i="3"/>
  <c r="BL343" i="3"/>
  <c r="G344" i="3"/>
  <c r="G348" i="3"/>
  <c r="G355" i="3"/>
  <c r="G342" i="3"/>
  <c r="BL345" i="3"/>
  <c r="G346" i="3"/>
  <c r="BL349" i="3"/>
  <c r="AZ349" i="3"/>
  <c r="BL352" i="3"/>
  <c r="G353" i="3"/>
  <c r="BA357" i="3"/>
  <c r="AZ357" i="3"/>
  <c r="BL358" i="3"/>
  <c r="AZ358" i="3"/>
  <c r="G359" i="3"/>
  <c r="BA361" i="3"/>
  <c r="AZ361" i="3"/>
  <c r="BL362" i="3"/>
  <c r="G363" i="3"/>
  <c r="BA365" i="3"/>
  <c r="AZ365" i="3"/>
  <c r="BL366" i="3"/>
  <c r="G367" i="3"/>
  <c r="BA369" i="3"/>
  <c r="AZ369" i="3"/>
  <c r="BL370" i="3"/>
  <c r="G371" i="3"/>
  <c r="BA373" i="3"/>
  <c r="AZ373" i="3"/>
  <c r="BL374" i="3"/>
  <c r="G375" i="3"/>
  <c r="BA377" i="3"/>
  <c r="AZ377" i="3"/>
  <c r="AZ245" i="3"/>
  <c r="BA379" i="3"/>
  <c r="BL380" i="3"/>
  <c r="G381" i="3"/>
  <c r="BA383" i="3"/>
  <c r="BL384" i="3"/>
  <c r="AZ384" i="3"/>
  <c r="G385" i="3"/>
  <c r="BA387" i="3"/>
  <c r="AZ387" i="3"/>
  <c r="BL388" i="3"/>
  <c r="G389" i="3"/>
  <c r="BA391" i="3"/>
  <c r="AZ391" i="3"/>
  <c r="BL392" i="3"/>
  <c r="G393" i="3"/>
  <c r="G502" i="3"/>
  <c r="AZ343" i="3"/>
  <c r="G17" i="3"/>
  <c r="BA15" i="3"/>
  <c r="AZ380" i="3"/>
  <c r="BL493" i="3"/>
  <c r="AZ376"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c r="W37" i="37"/>
  <c r="W44" i="34"/>
  <c r="AC44" i="34"/>
  <c r="U13" i="37"/>
  <c r="U12" i="40"/>
  <c r="AA12" i="40"/>
  <c r="J37" i="33"/>
  <c r="W37" i="33"/>
  <c r="AC17" i="34"/>
  <c r="F106" i="33"/>
  <c r="G106" i="33"/>
  <c r="H106" i="33"/>
  <c r="I106" i="33"/>
  <c r="J106" i="33"/>
  <c r="K106" i="33"/>
  <c r="L106" i="33"/>
  <c r="M106" i="33"/>
  <c r="J34" i="33"/>
  <c r="F33" i="34"/>
  <c r="S33" i="34"/>
  <c r="H20" i="36"/>
  <c r="J20" i="36"/>
  <c r="W20" i="36"/>
  <c r="J27" i="36"/>
  <c r="AC33" i="40"/>
  <c r="F111" i="40"/>
  <c r="G111" i="40"/>
  <c r="H111" i="40"/>
  <c r="I111" i="40"/>
  <c r="J111" i="40"/>
  <c r="K111" i="40"/>
  <c r="L111" i="40"/>
  <c r="M111" i="40"/>
  <c r="H35" i="40"/>
  <c r="AB35" i="40"/>
  <c r="AC29" i="35"/>
  <c r="W29" i="35"/>
  <c r="H35" i="37"/>
  <c r="U35" i="37"/>
  <c r="AC14" i="35"/>
  <c r="H20" i="35"/>
  <c r="U20" i="35"/>
  <c r="F20"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F39" i="34"/>
  <c r="S39" i="34"/>
  <c r="J39" i="34"/>
  <c r="F40" i="34"/>
  <c r="S40" i="34"/>
  <c r="F43" i="34"/>
  <c r="AA43" i="34"/>
  <c r="H44" i="34"/>
  <c r="AB44" i="34"/>
  <c r="F39" i="39"/>
  <c r="S39" i="39"/>
  <c r="J39" i="39"/>
  <c r="AC39" i="39"/>
  <c r="E97" i="39"/>
  <c r="F97" i="39"/>
  <c r="G97" i="39"/>
  <c r="AZ386" i="3"/>
  <c r="C40" i="11"/>
  <c r="AZ280" i="3"/>
  <c r="AZ45" i="3"/>
  <c r="AZ50" i="3"/>
  <c r="AZ66" i="3"/>
  <c r="AZ77" i="3"/>
  <c r="H75" i="43"/>
  <c r="H74" i="43"/>
  <c r="H50" i="43"/>
  <c r="H49" i="43"/>
  <c r="H48" i="43"/>
  <c r="I20" i="43"/>
  <c r="C20" i="43"/>
  <c r="F23" i="39"/>
  <c r="AA23" i="39"/>
  <c r="H27" i="36"/>
  <c r="U27" i="36"/>
  <c r="F27" i="36"/>
  <c r="AA27" i="36"/>
  <c r="H33" i="34"/>
  <c r="U33" i="34"/>
  <c r="F32" i="37"/>
  <c r="AA32" i="37"/>
  <c r="F20" i="36"/>
  <c r="AA20" i="36"/>
  <c r="J33" i="34"/>
  <c r="H23" i="39"/>
  <c r="U23" i="39"/>
  <c r="D48" i="9"/>
  <c r="M52" i="9"/>
  <c r="H82" i="43"/>
  <c r="K9" i="1"/>
  <c r="M9" i="1"/>
  <c r="O9" i="1"/>
  <c r="P9" i="1"/>
  <c r="AE9" i="1"/>
  <c r="F34" i="80"/>
  <c r="F62" i="80"/>
  <c r="F34" i="79"/>
  <c r="F62" i="79"/>
  <c r="M20" i="79"/>
  <c r="M20" i="80"/>
  <c r="M8" i="1"/>
  <c r="O8" i="1"/>
  <c r="P8" i="1"/>
  <c r="U40" i="39"/>
  <c r="S40" i="39"/>
  <c r="S42" i="39"/>
  <c r="S31" i="39"/>
  <c r="W27" i="39"/>
  <c r="W23" i="39"/>
  <c r="C21" i="39"/>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c r="BL585" i="3"/>
  <c r="AZ585" i="3"/>
  <c r="F9" i="34"/>
  <c r="S9" i="34"/>
  <c r="J12" i="34"/>
  <c r="F12" i="34"/>
  <c r="AA12" i="34"/>
  <c r="H36" i="35"/>
  <c r="AB36" i="35"/>
  <c r="J36" i="35"/>
  <c r="W36" i="35"/>
  <c r="F9" i="36"/>
  <c r="AA9" i="36"/>
  <c r="J12" i="36"/>
  <c r="AC12" i="36"/>
  <c r="H12" i="36"/>
  <c r="H23" i="35"/>
  <c r="AB23" i="35"/>
  <c r="J23" i="35"/>
  <c r="J24" i="36"/>
  <c r="W24" i="36"/>
  <c r="H24" i="36"/>
  <c r="AB24" i="36"/>
  <c r="J39" i="40"/>
  <c r="W39" i="40"/>
  <c r="H39" i="40"/>
  <c r="G582" i="3"/>
  <c r="G551" i="3"/>
  <c r="G526" i="3"/>
  <c r="M20" i="15"/>
  <c r="F34" i="78"/>
  <c r="F62" i="78"/>
  <c r="M20" i="78"/>
  <c r="BA17" i="3"/>
  <c r="AZ17" i="3"/>
  <c r="BO5" i="3"/>
  <c r="F7" i="1"/>
  <c r="G7" i="1"/>
  <c r="G398" i="3"/>
  <c r="G399" i="3"/>
  <c r="BL399" i="3"/>
  <c r="BA400" i="3"/>
  <c r="AZ400" i="3"/>
  <c r="BL402" i="3"/>
  <c r="G405" i="3"/>
  <c r="BL405" i="3"/>
  <c r="AZ434" i="3"/>
  <c r="AZ405" i="3"/>
  <c r="M108" i="43"/>
  <c r="M100" i="43"/>
  <c r="I108" i="43"/>
  <c r="I100" i="43"/>
  <c r="G108" i="43"/>
  <c r="G100" i="43"/>
  <c r="E108" i="43"/>
  <c r="E100" i="43"/>
  <c r="BL406" i="3"/>
  <c r="BA407" i="3"/>
  <c r="AZ407" i="3"/>
  <c r="G410" i="3"/>
  <c r="G411" i="3"/>
  <c r="G412" i="3"/>
  <c r="BL412" i="3"/>
  <c r="BA413" i="3"/>
  <c r="AZ413" i="3"/>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c r="BL442" i="3"/>
  <c r="G445" i="3"/>
  <c r="BL445" i="3"/>
  <c r="AZ445" i="3"/>
  <c r="G448" i="3"/>
  <c r="G449" i="3"/>
  <c r="BL449" i="3"/>
  <c r="BL451" i="3"/>
  <c r="BA452" i="3"/>
  <c r="BL454" i="3"/>
  <c r="BA455" i="3"/>
  <c r="BA456" i="3"/>
  <c r="BL458" i="3"/>
  <c r="AZ458" i="3"/>
  <c r="G461" i="3"/>
  <c r="BL461" i="3"/>
  <c r="G464" i="3"/>
  <c r="G465" i="3"/>
  <c r="BL465" i="3"/>
  <c r="BA466" i="3"/>
  <c r="BA467" i="3"/>
  <c r="BL469" i="3"/>
  <c r="AZ469" i="3"/>
  <c r="BA470" i="3"/>
  <c r="AZ470" i="3"/>
  <c r="BA471" i="3"/>
  <c r="AZ471" i="3"/>
  <c r="BA472" i="3"/>
  <c r="AZ472" i="3"/>
  <c r="G475" i="3"/>
  <c r="G476" i="3"/>
  <c r="BL476" i="3"/>
  <c r="AZ476" i="3"/>
  <c r="G479" i="3"/>
  <c r="G480" i="3"/>
  <c r="BL480" i="3"/>
  <c r="G483" i="3"/>
  <c r="BA484" i="3"/>
  <c r="BA485" i="3"/>
  <c r="AZ485" i="3"/>
  <c r="BL487" i="3"/>
  <c r="BA488" i="3"/>
  <c r="BA489" i="3"/>
  <c r="BL491" i="3"/>
  <c r="BA492" i="3"/>
  <c r="AZ492" i="3"/>
  <c r="G313" i="3"/>
  <c r="BA315" i="3"/>
  <c r="AZ315" i="3"/>
  <c r="BL316" i="3"/>
  <c r="G318" i="3"/>
  <c r="G329" i="3"/>
  <c r="BA331" i="3"/>
  <c r="AZ331" i="3"/>
  <c r="BL332" i="3"/>
  <c r="AZ332" i="3"/>
  <c r="G334" i="3"/>
  <c r="BL346" i="3"/>
  <c r="AZ346" i="3"/>
  <c r="G349" i="3"/>
  <c r="BA350" i="3"/>
  <c r="BL353" i="3"/>
  <c r="G362" i="3"/>
  <c r="G366" i="3"/>
  <c r="BA368" i="3"/>
  <c r="AZ368" i="3"/>
  <c r="G378" i="3"/>
  <c r="BL383" i="3"/>
  <c r="AZ383" i="3"/>
  <c r="BA385" i="3"/>
  <c r="BA388" i="3"/>
  <c r="AZ388" i="3"/>
  <c r="BA392" i="3"/>
  <c r="AZ392" i="3"/>
  <c r="G395" i="3"/>
  <c r="BL395" i="3"/>
  <c r="G208" i="3"/>
  <c r="BL208" i="3"/>
  <c r="G211" i="3"/>
  <c r="BL211" i="3"/>
  <c r="AZ211" i="3"/>
  <c r="BA212" i="3"/>
  <c r="BL214" i="3"/>
  <c r="G217" i="3"/>
  <c r="BL217" i="3"/>
  <c r="G220" i="3"/>
  <c r="BL220" i="3"/>
  <c r="AZ220" i="3"/>
  <c r="BA221" i="3"/>
  <c r="BA222" i="3"/>
  <c r="AZ222" i="3"/>
  <c r="BA223" i="3"/>
  <c r="G226" i="3"/>
  <c r="BL226" i="3"/>
  <c r="AZ226" i="3"/>
  <c r="G229" i="3"/>
  <c r="G230" i="3"/>
  <c r="BL230" i="3"/>
  <c r="AZ230" i="3"/>
  <c r="BA231" i="3"/>
  <c r="BA232" i="3"/>
  <c r="AZ232" i="3"/>
  <c r="BA233" i="3"/>
  <c r="BL235" i="3"/>
  <c r="AZ235" i="3"/>
  <c r="BA236" i="3"/>
  <c r="AZ236" i="3"/>
  <c r="BA237" i="3"/>
  <c r="AZ237" i="3"/>
  <c r="G240" i="3"/>
  <c r="G241" i="3"/>
  <c r="G242" i="3"/>
  <c r="BL242" i="3"/>
  <c r="G245" i="3"/>
  <c r="G246" i="3"/>
  <c r="BL246" i="3"/>
  <c r="BA247" i="3"/>
  <c r="AZ247" i="3"/>
  <c r="BA248" i="3"/>
  <c r="BA249" i="3"/>
  <c r="AZ249" i="3"/>
  <c r="BL251" i="3"/>
  <c r="BA252" i="3"/>
  <c r="BA253" i="3"/>
  <c r="G256" i="3"/>
  <c r="G257" i="3"/>
  <c r="G258" i="3"/>
  <c r="BL258" i="3"/>
  <c r="AZ258" i="3"/>
  <c r="G261" i="3"/>
  <c r="G262" i="3"/>
  <c r="BL262" i="3"/>
  <c r="AZ262" i="3"/>
  <c r="G265" i="3"/>
  <c r="G266" i="3"/>
  <c r="BL266" i="3"/>
  <c r="AZ266" i="3"/>
  <c r="BA267" i="3"/>
  <c r="BA268" i="3"/>
  <c r="AZ268" i="3"/>
  <c r="BA269" i="3"/>
  <c r="BL271" i="3"/>
  <c r="BA272" i="3"/>
  <c r="BA273" i="3"/>
  <c r="BL275" i="3"/>
  <c r="BA276" i="3"/>
  <c r="G279" i="3"/>
  <c r="G280" i="3"/>
  <c r="G281" i="3"/>
  <c r="BL281" i="3"/>
  <c r="AZ281" i="3"/>
  <c r="BA282" i="3"/>
  <c r="AZ282" i="3"/>
  <c r="BA283" i="3"/>
  <c r="AZ283" i="3"/>
  <c r="G286" i="3"/>
  <c r="BL286" i="3"/>
  <c r="BL288" i="3"/>
  <c r="BA289" i="3"/>
  <c r="AZ289" i="3"/>
  <c r="BL291" i="3"/>
  <c r="AZ291" i="3"/>
  <c r="BA292" i="3"/>
  <c r="G295" i="3"/>
  <c r="G296" i="3"/>
  <c r="G297" i="3"/>
  <c r="BL297" i="3"/>
  <c r="BA298" i="3"/>
  <c r="AZ298" i="3"/>
  <c r="BA299" i="3"/>
  <c r="G302" i="3"/>
  <c r="G114" i="3"/>
  <c r="G115" i="3"/>
  <c r="BL117" i="3"/>
  <c r="BA118" i="3"/>
  <c r="BL119" i="3"/>
  <c r="AZ119" i="3"/>
  <c r="BA121" i="3"/>
  <c r="K100" i="43"/>
  <c r="G124" i="3"/>
  <c r="G127" i="3"/>
  <c r="G130" i="3"/>
  <c r="G131" i="3"/>
  <c r="BL133" i="3"/>
  <c r="BA134" i="3"/>
  <c r="AZ134" i="3"/>
  <c r="BL135" i="3"/>
  <c r="AZ135" i="3"/>
  <c r="BA137" i="3"/>
  <c r="BA138" i="3"/>
  <c r="AZ138" i="3"/>
  <c r="BL139" i="3"/>
  <c r="AZ139" i="3"/>
  <c r="BA141" i="3"/>
  <c r="BA142" i="3"/>
  <c r="AZ142" i="3"/>
  <c r="BL143" i="3"/>
  <c r="AZ143" i="3"/>
  <c r="BA145" i="3"/>
  <c r="BA146" i="3"/>
  <c r="AZ146" i="3"/>
  <c r="BA148" i="3"/>
  <c r="AZ148" i="3"/>
  <c r="BL149" i="3"/>
  <c r="G152" i="3"/>
  <c r="BL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BA188" i="3"/>
  <c r="AZ188" i="3"/>
  <c r="BL189" i="3"/>
  <c r="G192" i="3"/>
  <c r="BL194" i="3"/>
  <c r="AZ194" i="3"/>
  <c r="BA196" i="3"/>
  <c r="AZ196" i="3"/>
  <c r="BL197" i="3"/>
  <c r="G200" i="3"/>
  <c r="BL202" i="3"/>
  <c r="AZ202" i="3"/>
  <c r="BA204" i="3"/>
  <c r="AZ204" i="3"/>
  <c r="BA205" i="3"/>
  <c r="BA206" i="3"/>
  <c r="AZ206" i="3"/>
  <c r="BL18" i="3"/>
  <c r="G19" i="3"/>
  <c r="BL19" i="3"/>
  <c r="BL21" i="3"/>
  <c r="AZ21" i="3"/>
  <c r="BA22" i="3"/>
  <c r="BL24" i="3"/>
  <c r="BA25" i="3"/>
  <c r="AZ25" i="3"/>
  <c r="G28" i="3"/>
  <c r="G29" i="3"/>
  <c r="G30" i="3"/>
  <c r="BL30" i="3"/>
  <c r="BL32" i="3"/>
  <c r="BA34" i="3"/>
  <c r="BA36" i="3"/>
  <c r="AZ36" i="3"/>
  <c r="BA37" i="3"/>
  <c r="AZ37" i="3"/>
  <c r="BL39" i="3"/>
  <c r="BA40" i="3"/>
  <c r="AZ40" i="3"/>
  <c r="BL42" i="3"/>
  <c r="G45" i="3"/>
  <c r="G46" i="3"/>
  <c r="BL46" i="3"/>
  <c r="G49" i="3"/>
  <c r="BL49" i="3"/>
  <c r="AZ49" i="3"/>
  <c r="BL51" i="3"/>
  <c r="AZ51" i="3"/>
  <c r="BA52" i="3"/>
  <c r="AZ52" i="3"/>
  <c r="BA53" i="3"/>
  <c r="AZ53" i="3"/>
  <c r="BL55" i="3"/>
  <c r="AZ55" i="3"/>
  <c r="BA56" i="3"/>
  <c r="AZ56" i="3"/>
  <c r="BL58" i="3"/>
  <c r="AZ58" i="3"/>
  <c r="G61" i="3"/>
  <c r="G62" i="3"/>
  <c r="BL62" i="3"/>
  <c r="AZ62" i="3"/>
  <c r="G65" i="3"/>
  <c r="BL65" i="3"/>
  <c r="BL67" i="3"/>
  <c r="AZ67" i="3"/>
  <c r="BA68" i="3"/>
  <c r="AZ68" i="3"/>
  <c r="BA69" i="3"/>
  <c r="AZ69" i="3"/>
  <c r="BL71" i="3"/>
  <c r="AZ71" i="3"/>
  <c r="G74" i="3"/>
  <c r="G75" i="3"/>
  <c r="G76" i="3"/>
  <c r="BL76" i="3"/>
  <c r="BA78" i="3"/>
  <c r="AZ78" i="3"/>
  <c r="BA79" i="3"/>
  <c r="AZ79" i="3"/>
  <c r="BA81" i="3"/>
  <c r="AZ81" i="3"/>
  <c r="BA82" i="3"/>
  <c r="BA83" i="3"/>
  <c r="AZ83" i="3"/>
  <c r="BL85" i="3"/>
  <c r="BA87" i="3"/>
  <c r="AZ87" i="3"/>
  <c r="BL89" i="3"/>
  <c r="BA90" i="3"/>
  <c r="AZ90" i="3"/>
  <c r="G93" i="3"/>
  <c r="G94" i="3"/>
  <c r="G95" i="3"/>
  <c r="BL95" i="3"/>
  <c r="AZ95" i="3"/>
  <c r="BA96" i="3"/>
  <c r="BA97" i="3"/>
  <c r="AZ97" i="3"/>
  <c r="G100" i="3"/>
  <c r="BL100" i="3"/>
  <c r="AZ100" i="3"/>
  <c r="BL102" i="3"/>
  <c r="BA103" i="3"/>
  <c r="AZ103" i="3"/>
  <c r="BL105" i="3"/>
  <c r="G107" i="3"/>
  <c r="BL107" i="3"/>
  <c r="G109" i="3"/>
  <c r="G110" i="3"/>
  <c r="G111" i="3"/>
  <c r="BL111" i="3"/>
  <c r="I20" i="66"/>
  <c r="G1" i="78"/>
  <c r="A118" i="9"/>
  <c r="BL15" i="3"/>
  <c r="AZ15" i="3"/>
  <c r="BA18" i="3"/>
  <c r="AZ18" i="3"/>
  <c r="BI5" i="3"/>
  <c r="BM5" i="3"/>
  <c r="F29" i="6"/>
  <c r="G14" i="3"/>
  <c r="U9" i="39"/>
  <c r="W9" i="39"/>
  <c r="D93" i="9"/>
  <c r="K6" i="1"/>
  <c r="M6" i="1"/>
  <c r="AC26" i="33"/>
  <c r="W26" i="33"/>
  <c r="W27" i="34"/>
  <c r="AC27" i="34"/>
  <c r="AB34" i="36"/>
  <c r="U34" i="36"/>
  <c r="AB33" i="36"/>
  <c r="U33" i="36"/>
  <c r="AC39" i="40"/>
  <c r="AA39" i="34"/>
  <c r="BL14" i="3"/>
  <c r="U30" i="33"/>
  <c r="AC13" i="34"/>
  <c r="AA47" i="34"/>
  <c r="W28" i="37"/>
  <c r="S19" i="39"/>
  <c r="F12" i="33"/>
  <c r="S12" i="33"/>
  <c r="F39" i="40"/>
  <c r="AA39" i="40"/>
  <c r="BA14" i="3"/>
  <c r="AZ14" i="3"/>
  <c r="AZ367" i="3"/>
  <c r="AZ234" i="3"/>
  <c r="AZ157" i="3"/>
  <c r="AZ189" i="3"/>
  <c r="AZ35" i="3"/>
  <c r="S12" i="1"/>
  <c r="R12" i="1"/>
  <c r="B12" i="1"/>
  <c r="E12" i="1"/>
  <c r="S10" i="1"/>
  <c r="AR10" i="1"/>
  <c r="R10" i="1"/>
  <c r="B10" i="1"/>
  <c r="E10" i="1"/>
  <c r="K12" i="1"/>
  <c r="M12" i="1"/>
  <c r="O12" i="1"/>
  <c r="P12" i="1"/>
  <c r="S13" i="1"/>
  <c r="R13" i="1"/>
  <c r="S11" i="1"/>
  <c r="AQ11" i="1"/>
  <c r="R11" i="1"/>
  <c r="S9" i="1"/>
  <c r="AR9" i="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c r="F107" i="39"/>
  <c r="G107" i="39"/>
  <c r="H107" i="39"/>
  <c r="I107" i="39"/>
  <c r="J107" i="39"/>
  <c r="K107" i="39"/>
  <c r="L107" i="39"/>
  <c r="M107" i="39"/>
  <c r="U25" i="39"/>
  <c r="U31" i="39"/>
  <c r="S25" i="39"/>
  <c r="F21" i="39"/>
  <c r="S21" i="39"/>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c r="J26" i="35"/>
  <c r="AC26" i="35"/>
  <c r="AB40" i="37"/>
  <c r="W27" i="37"/>
  <c r="AC9" i="37"/>
  <c r="AC29" i="37"/>
  <c r="U29" i="37"/>
  <c r="S32" i="37"/>
  <c r="AB31" i="37"/>
  <c r="W30" i="37"/>
  <c r="S36" i="37"/>
  <c r="AA38" i="37"/>
  <c r="U32" i="37"/>
  <c r="W38" i="37"/>
  <c r="AC35" i="37"/>
  <c r="S30" i="37"/>
  <c r="AC15" i="37"/>
  <c r="J17" i="37"/>
  <c r="W17" i="37"/>
  <c r="G73" i="37"/>
  <c r="F17" i="37"/>
  <c r="AA17" i="37"/>
  <c r="AB17" i="37"/>
  <c r="F75" i="37"/>
  <c r="F19" i="37"/>
  <c r="F79" i="37"/>
  <c r="G79" i="37"/>
  <c r="F23" i="37"/>
  <c r="S23" i="37"/>
  <c r="U23" i="37"/>
  <c r="U15" i="37"/>
  <c r="AC13" i="37"/>
  <c r="AA13" i="37"/>
  <c r="AA9" i="37"/>
  <c r="H10" i="37"/>
  <c r="U10" i="37"/>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c r="F11" i="34"/>
  <c r="S11" i="34"/>
  <c r="F70" i="34"/>
  <c r="W42" i="33"/>
  <c r="S27" i="33"/>
  <c r="S32" i="33"/>
  <c r="AA29" i="33"/>
  <c r="W38" i="33"/>
  <c r="H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F101" i="33"/>
  <c r="G101" i="33"/>
  <c r="H101" i="33"/>
  <c r="I101" i="33"/>
  <c r="J101" i="33"/>
  <c r="K101" i="33"/>
  <c r="L101" i="33"/>
  <c r="M101" i="33"/>
  <c r="J32" i="33"/>
  <c r="S46" i="33"/>
  <c r="S43" i="33"/>
  <c r="F91" i="33"/>
  <c r="H27" i="33"/>
  <c r="U27" i="33"/>
  <c r="F87" i="33"/>
  <c r="H25" i="33"/>
  <c r="U25" i="33"/>
  <c r="F25" i="33"/>
  <c r="J23" i="33"/>
  <c r="AC23" i="33"/>
  <c r="F85" i="33"/>
  <c r="H23" i="33"/>
  <c r="AB23" i="33"/>
  <c r="F81" i="33"/>
  <c r="F19" i="33"/>
  <c r="W19" i="33"/>
  <c r="J17" i="33"/>
  <c r="W17" i="33"/>
  <c r="F79" i="33"/>
  <c r="S15" i="33"/>
  <c r="W15" i="33"/>
  <c r="I66"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D7" i="52"/>
  <c r="C18" i="9"/>
  <c r="D18" i="9"/>
  <c r="F34" i="67"/>
  <c r="F62" i="67"/>
  <c r="M20" i="67"/>
  <c r="F34" i="15"/>
  <c r="F62" i="15"/>
  <c r="G13" i="3"/>
  <c r="BA13" i="3"/>
  <c r="AZ13" i="3"/>
  <c r="BL17" i="3"/>
  <c r="BL13" i="3"/>
  <c r="J56" i="9"/>
  <c r="J57" i="9"/>
  <c r="J59" i="9"/>
  <c r="J61" i="9"/>
  <c r="A24" i="51"/>
  <c r="B18" i="72"/>
  <c r="U29" i="34"/>
  <c r="E5" i="6"/>
  <c r="D9" i="11"/>
  <c r="C9" i="11"/>
  <c r="P10" i="1"/>
  <c r="E32" i="6"/>
  <c r="L19" i="6"/>
  <c r="G1" i="68"/>
  <c r="K1" i="12"/>
  <c r="AR12" i="1"/>
  <c r="AQ12" i="1"/>
  <c r="T12" i="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D48" i="35"/>
  <c r="C7" i="33"/>
  <c r="C58" i="33"/>
  <c r="C7" i="21"/>
  <c r="C58" i="21"/>
  <c r="D58" i="21"/>
  <c r="C7" i="40"/>
  <c r="C63" i="40"/>
  <c r="M47" i="9"/>
  <c r="G19" i="43"/>
  <c r="T35" i="4"/>
  <c r="A19" i="51"/>
  <c r="B14" i="72"/>
  <c r="C59" i="34"/>
  <c r="D59" i="34"/>
  <c r="E59" i="34"/>
  <c r="A4" i="51"/>
  <c r="B6" i="72"/>
  <c r="C94" i="9"/>
  <c r="C4" i="12"/>
  <c r="C92" i="9"/>
  <c r="H65" i="43"/>
  <c r="H63" i="43"/>
  <c r="H55" i="43"/>
  <c r="H51" i="43"/>
  <c r="H56" i="43"/>
  <c r="H76" i="43"/>
  <c r="H72" i="43"/>
  <c r="H77" i="43"/>
  <c r="L20" i="6"/>
  <c r="B6" i="1"/>
  <c r="E6" i="1"/>
  <c r="K11" i="1"/>
  <c r="M11" i="1"/>
  <c r="O11" i="1"/>
  <c r="P11" i="1"/>
  <c r="AP6" i="1"/>
  <c r="B9" i="1"/>
  <c r="E9"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U43" i="39"/>
  <c r="AB43"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c r="K101" i="21"/>
  <c r="L101" i="21"/>
  <c r="M101" i="21"/>
  <c r="F33" i="21"/>
  <c r="J33" i="21"/>
  <c r="W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c r="F13" i="21"/>
  <c r="AC38" i="21"/>
  <c r="H32" i="21"/>
  <c r="U32" i="21"/>
  <c r="H9" i="21"/>
  <c r="J9" i="21"/>
  <c r="AC9" i="21"/>
  <c r="J32" i="21"/>
  <c r="F32" i="21"/>
  <c r="S32" i="2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F28" i="80"/>
  <c r="C28" i="80"/>
  <c r="M18" i="80"/>
  <c r="F32" i="79"/>
  <c r="F60" i="79"/>
  <c r="F32" i="80"/>
  <c r="F60" i="80"/>
  <c r="F28" i="79"/>
  <c r="C28" i="79"/>
  <c r="M18" i="79"/>
  <c r="AC24" i="36"/>
  <c r="W12" i="36"/>
  <c r="S12" i="34"/>
  <c r="W17" i="21"/>
  <c r="AA11" i="34"/>
  <c r="C7" i="43"/>
  <c r="F53" i="9"/>
  <c r="F32" i="78"/>
  <c r="F60" i="78"/>
  <c r="M18" i="78"/>
  <c r="F28" i="78"/>
  <c r="U39" i="40"/>
  <c r="AB39" i="40"/>
  <c r="AC23" i="35"/>
  <c r="W23" i="35"/>
  <c r="U12" i="36"/>
  <c r="AB12" i="36"/>
  <c r="W12" i="34"/>
  <c r="AC12" i="34"/>
  <c r="J53" i="67"/>
  <c r="Q52" i="67"/>
  <c r="O6" i="1"/>
  <c r="P6" i="1"/>
  <c r="F30" i="68"/>
  <c r="C30" i="68"/>
  <c r="F30" i="11"/>
  <c r="C48" i="11"/>
  <c r="F28" i="67"/>
  <c r="C28" i="67"/>
  <c r="F31" i="12"/>
  <c r="F52" i="9"/>
  <c r="M18" i="67"/>
  <c r="F32" i="67"/>
  <c r="F60" i="67"/>
  <c r="F30" i="69"/>
  <c r="F32" i="15"/>
  <c r="F60" i="15"/>
  <c r="M18" i="15"/>
  <c r="F28" i="15"/>
  <c r="T11" i="1"/>
  <c r="D9" i="69"/>
  <c r="C9" i="69" s="1"/>
  <c r="D19" i="12"/>
  <c r="C19" i="12" s="1"/>
  <c r="AQ9" i="1"/>
  <c r="AR11" i="1"/>
  <c r="T9" i="1"/>
  <c r="S39" i="40"/>
  <c r="AA12" i="33"/>
  <c r="D68" i="9"/>
  <c r="F54" i="9"/>
  <c r="J32" i="39"/>
  <c r="AC32" i="39"/>
  <c r="H32" i="39"/>
  <c r="AB32" i="39"/>
  <c r="S32" i="39"/>
  <c r="AB9" i="35"/>
  <c r="AA9" i="35"/>
  <c r="S9" i="35"/>
  <c r="AC17" i="37"/>
  <c r="S17" i="37"/>
  <c r="J19" i="37"/>
  <c r="G75" i="37"/>
  <c r="S19" i="37"/>
  <c r="AA19" i="37"/>
  <c r="AA23" i="37"/>
  <c r="J23" i="37"/>
  <c r="W23" i="37"/>
  <c r="J10" i="37"/>
  <c r="W10" i="37"/>
  <c r="I60" i="37"/>
  <c r="G63" i="37"/>
  <c r="H63" i="37"/>
  <c r="I63" i="37"/>
  <c r="J63" i="37"/>
  <c r="K63" i="37"/>
  <c r="L63" i="37"/>
  <c r="M63" i="37"/>
  <c r="H11" i="37"/>
  <c r="AB10" i="37"/>
  <c r="G70" i="34"/>
  <c r="H70" i="34"/>
  <c r="H11" i="34"/>
  <c r="AB10" i="34"/>
  <c r="J10" i="34"/>
  <c r="AC10" i="34"/>
  <c r="I67" i="34"/>
  <c r="AB41" i="33"/>
  <c r="U41" i="33"/>
  <c r="H111" i="33"/>
  <c r="I111" i="33"/>
  <c r="J111" i="33"/>
  <c r="K111" i="33"/>
  <c r="L111" i="33"/>
  <c r="M111" i="33"/>
  <c r="J36" i="33"/>
  <c r="H36" i="33"/>
  <c r="AB36" i="33"/>
  <c r="S36" i="33"/>
  <c r="AA36" i="33"/>
  <c r="AC32" i="33"/>
  <c r="W32" i="33"/>
  <c r="G91" i="33"/>
  <c r="H91" i="33"/>
  <c r="I91" i="33"/>
  <c r="J91" i="33"/>
  <c r="K91" i="33"/>
  <c r="L91" i="33"/>
  <c r="M91" i="33"/>
  <c r="J27" i="33"/>
  <c r="AC27" i="33"/>
  <c r="AB25" i="33"/>
  <c r="S25" i="33"/>
  <c r="AA25" i="33"/>
  <c r="G87" i="33"/>
  <c r="H87" i="33"/>
  <c r="I87" i="33"/>
  <c r="J87" i="33"/>
  <c r="K87" i="33"/>
  <c r="L87" i="33"/>
  <c r="M87" i="33"/>
  <c r="J25" i="33"/>
  <c r="AC25" i="33"/>
  <c r="F23" i="33"/>
  <c r="S23" i="33"/>
  <c r="G85" i="33"/>
  <c r="W23" i="33"/>
  <c r="H19" i="33"/>
  <c r="AB19" i="33"/>
  <c r="G81" i="33"/>
  <c r="G79" i="33"/>
  <c r="H17" i="33"/>
  <c r="AB17" i="33"/>
  <c r="F17" i="33"/>
  <c r="AA17" i="33"/>
  <c r="AC17" i="33"/>
  <c r="AC10" i="33"/>
  <c r="W10" i="33"/>
  <c r="AC37" i="21"/>
  <c r="U33" i="21"/>
  <c r="S37" i="21"/>
  <c r="AA23" i="21"/>
  <c r="AB15" i="21"/>
  <c r="J23" i="21"/>
  <c r="AC23" i="21"/>
  <c r="F85" i="21"/>
  <c r="G85" i="21"/>
  <c r="H23" i="21"/>
  <c r="AB23" i="21"/>
  <c r="D6" i="52"/>
  <c r="O14" i="1"/>
  <c r="P14" i="1"/>
  <c r="O19" i="43"/>
  <c r="E52" i="37"/>
  <c r="F52" i="37"/>
  <c r="E58" i="21"/>
  <c r="F58" i="21"/>
  <c r="G58" i="21"/>
  <c r="H58" i="21"/>
  <c r="E48" i="35"/>
  <c r="F48" i="35"/>
  <c r="G48" i="35"/>
  <c r="H48" i="35"/>
  <c r="I48" i="35"/>
  <c r="F59" i="34"/>
  <c r="G59" i="34"/>
  <c r="H59" i="34"/>
  <c r="I59" i="34"/>
  <c r="C65" i="40"/>
  <c r="D63" i="40"/>
  <c r="D65" i="40"/>
  <c r="AP7" i="1"/>
  <c r="C36" i="69"/>
  <c r="AC33" i="21"/>
  <c r="S33" i="21"/>
  <c r="AA33" i="21"/>
  <c r="W32" i="21"/>
  <c r="AC32" i="21"/>
  <c r="AB9" i="21"/>
  <c r="U9" i="21"/>
  <c r="AA32" i="21"/>
  <c r="W9" i="21"/>
  <c r="AB32" i="21"/>
  <c r="AA10" i="21"/>
  <c r="S10" i="21"/>
  <c r="O7" i="1"/>
  <c r="C30" i="11"/>
  <c r="A18" i="62"/>
  <c r="B64" i="72"/>
  <c r="W19" i="37"/>
  <c r="AC19" i="37"/>
  <c r="AC23" i="37"/>
  <c r="AB11" i="37"/>
  <c r="U11" i="37"/>
  <c r="J11" i="37"/>
  <c r="W11" i="37"/>
  <c r="AC10" i="37"/>
  <c r="U11" i="34"/>
  <c r="AB11" i="34"/>
  <c r="W10" i="34"/>
  <c r="I70" i="34"/>
  <c r="J70" i="34"/>
  <c r="K70" i="34"/>
  <c r="L70" i="34"/>
  <c r="M70" i="34"/>
  <c r="J11" i="34"/>
  <c r="AC36" i="33"/>
  <c r="W36" i="33"/>
  <c r="U36" i="33"/>
  <c r="W27" i="33"/>
  <c r="W25" i="33"/>
  <c r="AA23" i="33"/>
  <c r="U19" i="33"/>
  <c r="S17" i="33"/>
  <c r="U17" i="33"/>
  <c r="U23" i="21"/>
  <c r="W23" i="21"/>
  <c r="P7" i="1"/>
  <c r="E63" i="40"/>
  <c r="G39" i="43"/>
  <c r="I39" i="43"/>
  <c r="F1" i="67"/>
  <c r="AC11" i="37"/>
  <c r="W11" i="34"/>
  <c r="AC11" i="34"/>
  <c r="F34" i="11"/>
  <c r="C36" i="11"/>
  <c r="F11" i="12"/>
  <c r="C23" i="12" s="1"/>
  <c r="E17" i="12"/>
  <c r="B31" i="1"/>
  <c r="E19" i="69"/>
  <c r="E19" i="11"/>
  <c r="E19" i="68"/>
  <c r="C19" i="68"/>
  <c r="AG7" i="1"/>
  <c r="AG6" i="1"/>
  <c r="H109" i="9"/>
  <c r="M49" i="9"/>
  <c r="L68" i="9"/>
  <c r="M68" i="9"/>
  <c r="H110" i="9"/>
  <c r="D18" i="53"/>
  <c r="B35" i="72"/>
  <c r="D124" i="9"/>
  <c r="H14" i="74"/>
  <c r="B7" i="74"/>
  <c r="D16" i="53"/>
  <c r="B34" i="72"/>
  <c r="D10" i="52"/>
  <c r="D125" i="9"/>
  <c r="D11" i="52"/>
  <c r="H112" i="9"/>
  <c r="D21" i="53"/>
  <c r="B39" i="72"/>
  <c r="H111" i="9"/>
  <c r="D126" i="9"/>
  <c r="D59" i="9"/>
  <c r="M55" i="9"/>
  <c r="E5" i="49"/>
  <c r="U32" i="39"/>
  <c r="AB34" i="39"/>
  <c r="B4" i="49"/>
  <c r="U21" i="39"/>
  <c r="AB21" i="39"/>
  <c r="AZ558" i="3"/>
  <c r="D58" i="33"/>
  <c r="C16" i="43"/>
  <c r="C5" i="43"/>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c r="J14" i="39"/>
  <c r="H14" i="39"/>
  <c r="F91" i="39"/>
  <c r="G91" i="39"/>
  <c r="H17" i="39"/>
  <c r="F17" i="39"/>
  <c r="J17" i="39"/>
  <c r="F95" i="39"/>
  <c r="G95" i="39"/>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c r="BA577" i="3"/>
  <c r="BL576" i="3"/>
  <c r="BA576" i="3"/>
  <c r="BA575" i="3"/>
  <c r="BL574" i="3"/>
  <c r="BA574" i="3"/>
  <c r="AZ574" i="3"/>
  <c r="BL573" i="3"/>
  <c r="BA573" i="3"/>
  <c r="BL572" i="3"/>
  <c r="BA572" i="3"/>
  <c r="AZ572" i="3"/>
  <c r="BA570" i="3"/>
  <c r="AZ570" i="3"/>
  <c r="BA569" i="3"/>
  <c r="AZ569" i="3"/>
  <c r="BL568" i="3"/>
  <c r="BA568" i="3"/>
  <c r="AZ568" i="3"/>
  <c r="BA567" i="3"/>
  <c r="BL566" i="3"/>
  <c r="BA566" i="3"/>
  <c r="BL565" i="3"/>
  <c r="BA565" i="3"/>
  <c r="BL564" i="3"/>
  <c r="BA564" i="3"/>
  <c r="BL562" i="3"/>
  <c r="AZ562" i="3"/>
  <c r="BA561" i="3"/>
  <c r="BL560" i="3"/>
  <c r="BA560" i="3"/>
  <c r="BA559" i="3"/>
  <c r="AZ559" i="3"/>
  <c r="BA558" i="3"/>
  <c r="BA557" i="3"/>
  <c r="BL556" i="3"/>
  <c r="BA556" i="3"/>
  <c r="AZ556" i="3"/>
  <c r="BL555" i="3"/>
  <c r="BA555" i="3"/>
  <c r="BL554" i="3"/>
  <c r="BA554" i="3"/>
  <c r="AZ554" i="3"/>
  <c r="BL552" i="3"/>
  <c r="BA552" i="3"/>
  <c r="AZ552" i="3"/>
  <c r="BA551" i="3"/>
  <c r="BL550" i="3"/>
  <c r="AZ550" i="3"/>
  <c r="BL549" i="3"/>
  <c r="BA549" i="3"/>
  <c r="AZ549" i="3"/>
  <c r="BL548" i="3"/>
  <c r="BA548" i="3"/>
  <c r="BA547" i="3"/>
  <c r="BA545" i="3"/>
  <c r="BL544" i="3"/>
  <c r="BA544" i="3"/>
  <c r="AZ544" i="3"/>
  <c r="BL543" i="3"/>
  <c r="AZ543" i="3"/>
  <c r="BL542" i="3"/>
  <c r="BA542" i="3"/>
  <c r="BA541" i="3"/>
  <c r="BL540" i="3"/>
  <c r="BA540" i="3"/>
  <c r="AZ540" i="3"/>
  <c r="BA539" i="3"/>
  <c r="BL538" i="3"/>
  <c r="AZ538" i="3"/>
  <c r="BA537" i="3"/>
  <c r="AZ537" i="3"/>
  <c r="BL536" i="3"/>
  <c r="BA536" i="3"/>
  <c r="BL534" i="3"/>
  <c r="BA534" i="3"/>
  <c r="BA533" i="3"/>
  <c r="AZ533" i="3"/>
  <c r="BL532" i="3"/>
  <c r="BA532" i="3"/>
  <c r="AZ532" i="3"/>
  <c r="BA531" i="3"/>
  <c r="AZ531" i="3"/>
  <c r="BL530" i="3"/>
  <c r="BA530" i="3"/>
  <c r="BA529" i="3"/>
  <c r="BL528" i="3"/>
  <c r="BL527" i="3"/>
  <c r="AZ527" i="3"/>
  <c r="AZ521" i="3"/>
  <c r="BQ5" i="3"/>
  <c r="F28" i="6"/>
  <c r="BS5" i="3"/>
  <c r="BK5" i="3"/>
  <c r="BE5" i="3"/>
  <c r="BH5" i="3"/>
  <c r="BL526" i="3"/>
  <c r="BA526" i="3"/>
  <c r="BL524" i="3"/>
  <c r="AZ524" i="3"/>
  <c r="BL522" i="3"/>
  <c r="BA522" i="3"/>
  <c r="BA519" i="3"/>
  <c r="BA515" i="3"/>
  <c r="BA511" i="3"/>
  <c r="AZ511" i="3"/>
  <c r="BA505" i="3"/>
  <c r="BL500" i="3"/>
  <c r="BA500" i="3"/>
  <c r="BL498" i="3"/>
  <c r="AZ498" i="3"/>
  <c r="BL496" i="3"/>
  <c r="AZ496" i="3"/>
  <c r="BG5" i="3"/>
  <c r="BA494" i="3"/>
  <c r="AZ494" i="3"/>
  <c r="BJ5" i="3"/>
  <c r="P16" i="1"/>
  <c r="C11" i="12"/>
  <c r="C15" i="12" s="1"/>
  <c r="C28" i="78"/>
  <c r="AZ22" i="3"/>
  <c r="AZ118" i="3"/>
  <c r="AZ252" i="3"/>
  <c r="AZ461" i="3"/>
  <c r="AZ449" i="3"/>
  <c r="BN5" i="3"/>
  <c r="G29" i="6"/>
  <c r="E29" i="6"/>
  <c r="K15" i="1"/>
  <c r="AZ337" i="3"/>
  <c r="AZ345" i="3"/>
  <c r="BL495" i="3"/>
  <c r="AZ495" i="3"/>
  <c r="BL499" i="3"/>
  <c r="AZ499" i="3"/>
  <c r="BL505" i="3"/>
  <c r="AZ505" i="3"/>
  <c r="BL509" i="3"/>
  <c r="AZ509" i="3"/>
  <c r="BL513" i="3"/>
  <c r="AZ513" i="3"/>
  <c r="BL519" i="3"/>
  <c r="AZ519" i="3"/>
  <c r="BL525" i="3"/>
  <c r="BL547" i="3"/>
  <c r="AZ547" i="3"/>
  <c r="BL551" i="3"/>
  <c r="BL569" i="3"/>
  <c r="BL575" i="3"/>
  <c r="BL579" i="3"/>
  <c r="AZ579" i="3"/>
  <c r="BL583" i="3"/>
  <c r="G557" i="3"/>
  <c r="AB30" i="35"/>
  <c r="U30" i="35"/>
  <c r="AA35" i="39"/>
  <c r="S35" i="39"/>
  <c r="F28" i="34"/>
  <c r="J28" i="34"/>
  <c r="AB8" i="35"/>
  <c r="U8" i="35"/>
  <c r="F32" i="36"/>
  <c r="H32" i="36"/>
  <c r="J32" i="36"/>
  <c r="AB31" i="36"/>
  <c r="U31" i="36"/>
  <c r="BA525" i="3"/>
  <c r="BL520" i="3"/>
  <c r="AZ520" i="3"/>
  <c r="BL518" i="3"/>
  <c r="BA518" i="3"/>
  <c r="BL516" i="3"/>
  <c r="AZ516" i="3"/>
  <c r="BL514" i="3"/>
  <c r="BA514" i="3"/>
  <c r="AZ514" i="3"/>
  <c r="BA510" i="3"/>
  <c r="AZ510" i="3"/>
  <c r="BL508" i="3"/>
  <c r="AZ508" i="3"/>
  <c r="BL506" i="3"/>
  <c r="BA506" i="3"/>
  <c r="AZ506" i="3"/>
  <c r="BL504" i="3"/>
  <c r="AZ504" i="3"/>
  <c r="BL502" i="3"/>
  <c r="AZ502" i="3"/>
  <c r="BA501" i="3"/>
  <c r="BA497" i="3"/>
  <c r="AZ497" i="3"/>
  <c r="BP5" i="3"/>
  <c r="BR5" i="3"/>
  <c r="G28" i="6"/>
  <c r="G30" i="6"/>
  <c r="G31" i="6"/>
  <c r="BF5" i="3"/>
  <c r="BA493" i="3"/>
  <c r="AZ493" i="3"/>
  <c r="AZ379" i="3"/>
  <c r="AZ303" i="3"/>
  <c r="AZ389" i="3"/>
  <c r="AZ347" i="3"/>
  <c r="AZ344" i="3"/>
  <c r="AZ321" i="3"/>
  <c r="AZ179" i="3"/>
  <c r="AZ120" i="3"/>
  <c r="AZ394" i="3"/>
  <c r="AZ360" i="3"/>
  <c r="BL497" i="3"/>
  <c r="BL501" i="3"/>
  <c r="BL507" i="3"/>
  <c r="AZ507" i="3"/>
  <c r="BL511" i="3"/>
  <c r="BL515" i="3"/>
  <c r="BL523" i="3"/>
  <c r="AZ523" i="3"/>
  <c r="BL529" i="3"/>
  <c r="BL533" i="3"/>
  <c r="BL539" i="3"/>
  <c r="AZ539" i="3"/>
  <c r="BL545" i="3"/>
  <c r="AZ545" i="3"/>
  <c r="BL553" i="3"/>
  <c r="AZ553" i="3"/>
  <c r="BL561" i="3"/>
  <c r="AZ561" i="3"/>
  <c r="BL567" i="3"/>
  <c r="AZ567" i="3"/>
  <c r="BL571" i="3"/>
  <c r="AZ571" i="3"/>
  <c r="BL577" i="3"/>
  <c r="BL581" i="3"/>
  <c r="AZ581" i="3"/>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c r="G124" i="39"/>
  <c r="H124" i="39"/>
  <c r="I124" i="39"/>
  <c r="J124" i="39"/>
  <c r="K124" i="39"/>
  <c r="L124" i="39"/>
  <c r="M124" i="39"/>
  <c r="F41" i="39"/>
  <c r="S9" i="40"/>
  <c r="AA9" i="40"/>
  <c r="AC32" i="40"/>
  <c r="W32" i="40"/>
  <c r="U41" i="21"/>
  <c r="AB41" i="21"/>
  <c r="G558" i="3"/>
  <c r="G556" i="3"/>
  <c r="G400" i="3"/>
  <c r="BL401" i="3"/>
  <c r="G402" i="3"/>
  <c r="BA403" i="3"/>
  <c r="BL403" i="3"/>
  <c r="BA404" i="3"/>
  <c r="AZ404" i="3"/>
  <c r="BA406" i="3"/>
  <c r="AZ406" i="3"/>
  <c r="BA408" i="3"/>
  <c r="AZ408" i="3"/>
  <c r="BA412" i="3"/>
  <c r="AZ412" i="3"/>
  <c r="BL414" i="3"/>
  <c r="BA415" i="3"/>
  <c r="AZ415" i="3"/>
  <c r="BA417" i="3"/>
  <c r="AZ417" i="3"/>
  <c r="BA419" i="3"/>
  <c r="AZ419" i="3"/>
  <c r="G420" i="3"/>
  <c r="BL421" i="3"/>
  <c r="G422" i="3"/>
  <c r="BL423" i="3"/>
  <c r="AZ423" i="3"/>
  <c r="G424" i="3"/>
  <c r="BL425" i="3"/>
  <c r="G426" i="3"/>
  <c r="BA427" i="3"/>
  <c r="AZ427" i="3"/>
  <c r="BL427" i="3"/>
  <c r="BL429" i="3"/>
  <c r="AZ429" i="3"/>
  <c r="G430" i="3"/>
  <c r="BL431" i="3"/>
  <c r="G432" i="3"/>
  <c r="G434" i="3"/>
  <c r="G438" i="3"/>
  <c r="G440" i="3"/>
  <c r="BL441" i="3"/>
  <c r="G442" i="3"/>
  <c r="BA443" i="3"/>
  <c r="BL443" i="3"/>
  <c r="BA444" i="3"/>
  <c r="AZ444" i="3"/>
  <c r="BA446" i="3"/>
  <c r="AZ446" i="3"/>
  <c r="BA449" i="3"/>
  <c r="BA451" i="3"/>
  <c r="AZ451" i="3"/>
  <c r="G452" i="3"/>
  <c r="BL453" i="3"/>
  <c r="G454" i="3"/>
  <c r="BL455" i="3"/>
  <c r="AZ455" i="3"/>
  <c r="G456" i="3"/>
  <c r="BA457" i="3"/>
  <c r="AZ457" i="3"/>
  <c r="BL457" i="3"/>
  <c r="BA459" i="3"/>
  <c r="AZ459" i="3"/>
  <c r="BA461" i="3"/>
  <c r="BL463" i="3"/>
  <c r="BA465" i="3"/>
  <c r="AZ465" i="3"/>
  <c r="G466" i="3"/>
  <c r="BL467" i="3"/>
  <c r="G468" i="3"/>
  <c r="G474" i="3"/>
  <c r="BL475" i="3"/>
  <c r="BL477" i="3"/>
  <c r="G478" i="3"/>
  <c r="BA479" i="3"/>
  <c r="BL479" i="3"/>
  <c r="BA481" i="3"/>
  <c r="BL481" i="3"/>
  <c r="BA482" i="3"/>
  <c r="AZ482" i="3"/>
  <c r="BA483" i="3"/>
  <c r="AZ483" i="3"/>
  <c r="BL484" i="3"/>
  <c r="AZ484" i="3"/>
  <c r="BA487" i="3"/>
  <c r="AZ487" i="3"/>
  <c r="G488" i="3"/>
  <c r="BL489" i="3"/>
  <c r="AZ489" i="3"/>
  <c r="G490" i="3"/>
  <c r="G492" i="3"/>
  <c r="BA303" i="3"/>
  <c r="BA307" i="3"/>
  <c r="AZ307" i="3"/>
  <c r="G315" i="3"/>
  <c r="BA316" i="3"/>
  <c r="AZ316" i="3"/>
  <c r="G327" i="3"/>
  <c r="BL328" i="3"/>
  <c r="AZ328" i="3"/>
  <c r="BA333" i="3"/>
  <c r="BL333" i="3"/>
  <c r="G351" i="3"/>
  <c r="BA352" i="3"/>
  <c r="AZ352" i="3"/>
  <c r="BA354" i="3"/>
  <c r="AZ354" i="3"/>
  <c r="BA370" i="3"/>
  <c r="AZ370" i="3"/>
  <c r="BA374" i="3"/>
  <c r="AZ374" i="3"/>
  <c r="G384" i="3"/>
  <c r="BL385" i="3"/>
  <c r="BA395" i="3"/>
  <c r="AZ395" i="3"/>
  <c r="G396" i="3"/>
  <c r="BA397" i="3"/>
  <c r="AZ397" i="3"/>
  <c r="BL397" i="3"/>
  <c r="BA209" i="3"/>
  <c r="AZ209" i="3"/>
  <c r="BL209" i="3"/>
  <c r="BA210" i="3"/>
  <c r="AZ210" i="3"/>
  <c r="BL212" i="3"/>
  <c r="AZ212" i="3"/>
  <c r="BA214" i="3"/>
  <c r="AZ214" i="3"/>
  <c r="G215" i="3"/>
  <c r="BA216" i="3"/>
  <c r="AZ216" i="3"/>
  <c r="BL216" i="3"/>
  <c r="BA218" i="3"/>
  <c r="AZ218" i="3"/>
  <c r="BL218" i="3"/>
  <c r="BA219" i="3"/>
  <c r="AZ219" i="3"/>
  <c r="BL221" i="3"/>
  <c r="BL223" i="3"/>
  <c r="AZ223" i="3"/>
  <c r="BL225" i="3"/>
  <c r="BL227" i="3"/>
  <c r="G228" i="3"/>
  <c r="BL229" i="3"/>
  <c r="G232" i="3"/>
  <c r="G234" i="3"/>
  <c r="BA238" i="3"/>
  <c r="AZ238" i="3"/>
  <c r="BA240" i="3"/>
  <c r="AZ240" i="3"/>
  <c r="BA242" i="3"/>
  <c r="AZ242" i="3"/>
  <c r="BL244" i="3"/>
  <c r="G247" i="3"/>
  <c r="G249" i="3"/>
  <c r="BL250" i="3"/>
  <c r="G251" i="3"/>
  <c r="BL252" i="3"/>
  <c r="G253" i="3"/>
  <c r="BA254" i="3"/>
  <c r="BL254" i="3"/>
  <c r="BA255" i="3"/>
  <c r="AZ255" i="3"/>
  <c r="BA257" i="3"/>
  <c r="AZ257" i="3"/>
  <c r="BA259" i="3"/>
  <c r="AZ259" i="3"/>
  <c r="BA261" i="3"/>
  <c r="AZ261" i="3"/>
  <c r="BA263" i="3"/>
  <c r="AZ263" i="3"/>
  <c r="BA265" i="3"/>
  <c r="AZ265" i="3"/>
  <c r="BL267" i="3"/>
  <c r="AZ267" i="3"/>
  <c r="BL269" i="3"/>
  <c r="AZ269" i="3"/>
  <c r="BL270" i="3"/>
  <c r="G271" i="3"/>
  <c r="BL272" i="3"/>
  <c r="AZ272" i="3"/>
  <c r="G273" i="3"/>
  <c r="BL274" i="3"/>
  <c r="G275" i="3"/>
  <c r="BL276" i="3"/>
  <c r="G277" i="3"/>
  <c r="G285" i="3"/>
  <c r="BA286" i="3"/>
  <c r="AZ286" i="3"/>
  <c r="G287" i="3"/>
  <c r="G289" i="3"/>
  <c r="BA290" i="3"/>
  <c r="BL290" i="3"/>
  <c r="BL292" i="3"/>
  <c r="AZ292" i="3"/>
  <c r="BA293" i="3"/>
  <c r="AZ293" i="3"/>
  <c r="BA295" i="3"/>
  <c r="AZ295" i="3"/>
  <c r="BA297" i="3"/>
  <c r="AZ297" i="3"/>
  <c r="BL299" i="3"/>
  <c r="AZ299" i="3"/>
  <c r="BA300" i="3"/>
  <c r="AZ300" i="3"/>
  <c r="BA114" i="3"/>
  <c r="AZ114" i="3"/>
  <c r="BA116" i="3"/>
  <c r="AZ116" i="3"/>
  <c r="BL118" i="3"/>
  <c r="G119" i="3"/>
  <c r="BA120" i="3"/>
  <c r="BL122" i="3"/>
  <c r="G123" i="3"/>
  <c r="BA124" i="3"/>
  <c r="AZ124" i="3"/>
  <c r="BA129" i="3"/>
  <c r="BL129" i="3"/>
  <c r="BL131" i="3"/>
  <c r="AZ131" i="3"/>
  <c r="G132" i="3"/>
  <c r="BA133" i="3"/>
  <c r="AZ133" i="3"/>
  <c r="G136" i="3"/>
  <c r="BL137" i="3"/>
  <c r="G140" i="3"/>
  <c r="BL141" i="3"/>
  <c r="AZ141" i="3"/>
  <c r="G144" i="3"/>
  <c r="BL145" i="3"/>
  <c r="AZ145" i="3"/>
  <c r="BL147" i="3"/>
  <c r="AZ147" i="3"/>
  <c r="BA150" i="3"/>
  <c r="BL150" i="3"/>
  <c r="BA153" i="3"/>
  <c r="AZ153" i="3"/>
  <c r="BA154" i="3"/>
  <c r="AZ154" i="3"/>
  <c r="BL158" i="3"/>
  <c r="G159" i="3"/>
  <c r="BA160" i="3"/>
  <c r="AZ160" i="3"/>
  <c r="G166" i="3"/>
  <c r="BA173" i="3"/>
  <c r="AZ173" i="3"/>
  <c r="G174" i="3"/>
  <c r="BA177" i="3"/>
  <c r="BL177" i="3"/>
  <c r="BL179" i="3"/>
  <c r="BA182" i="3"/>
  <c r="AZ182" i="3"/>
  <c r="BL182" i="3"/>
  <c r="BA185" i="3"/>
  <c r="AZ185" i="3"/>
  <c r="BA186" i="3"/>
  <c r="AZ186" i="3"/>
  <c r="BL190" i="3"/>
  <c r="G191" i="3"/>
  <c r="BA192" i="3"/>
  <c r="AZ192" i="3"/>
  <c r="G198" i="3"/>
  <c r="G206" i="3"/>
  <c r="BA207" i="3"/>
  <c r="BL207" i="3"/>
  <c r="BA20" i="3"/>
  <c r="BL20" i="3"/>
  <c r="BL22" i="3"/>
  <c r="BA23" i="3"/>
  <c r="AZ23" i="3"/>
  <c r="BA24" i="3"/>
  <c r="BA26" i="3"/>
  <c r="AZ26" i="3"/>
  <c r="BA28" i="3"/>
  <c r="AZ28" i="3"/>
  <c r="BA30" i="3"/>
  <c r="AZ30" i="3"/>
  <c r="BA32" i="3"/>
  <c r="G33" i="3"/>
  <c r="G35" i="3"/>
  <c r="C27" i="71"/>
  <c r="D27" i="71"/>
  <c r="D26" i="71"/>
  <c r="N100" i="43"/>
  <c r="U21" i="34"/>
  <c r="P61" i="15"/>
  <c r="D22" i="78"/>
  <c r="BA38" i="3"/>
  <c r="AZ38" i="3"/>
  <c r="BA39" i="3"/>
  <c r="AZ39" i="3"/>
  <c r="BA41" i="3"/>
  <c r="AZ41" i="3"/>
  <c r="BA42" i="3"/>
  <c r="BL44" i="3"/>
  <c r="G47" i="3"/>
  <c r="G58" i="3"/>
  <c r="BL59" i="3"/>
  <c r="G60" i="3"/>
  <c r="BL61" i="3"/>
  <c r="BL63" i="3"/>
  <c r="G64" i="3"/>
  <c r="G66" i="3"/>
  <c r="G71" i="3"/>
  <c r="BL72" i="3"/>
  <c r="G73" i="3"/>
  <c r="BL74" i="3"/>
  <c r="G77" i="3"/>
  <c r="G81" i="3"/>
  <c r="G83" i="3"/>
  <c r="BL84" i="3"/>
  <c r="G85" i="3"/>
  <c r="BA86" i="3"/>
  <c r="AZ86" i="3"/>
  <c r="BL86" i="3"/>
  <c r="BA88" i="3"/>
  <c r="AZ88" i="3"/>
  <c r="BA89" i="3"/>
  <c r="AZ89" i="3"/>
  <c r="BL92" i="3"/>
  <c r="BL94" i="3"/>
  <c r="G97" i="3"/>
  <c r="BA98" i="3"/>
  <c r="BL98" i="3"/>
  <c r="BA99" i="3"/>
  <c r="AZ99" i="3"/>
  <c r="BA101" i="3"/>
  <c r="AZ101" i="3"/>
  <c r="BA102" i="3"/>
  <c r="AZ102" i="3"/>
  <c r="BA105" i="3"/>
  <c r="AZ105" i="3"/>
  <c r="G106" i="3"/>
  <c r="G108" i="3"/>
  <c r="BA109" i="3"/>
  <c r="BL109" i="3"/>
  <c r="BA111" i="3"/>
  <c r="AZ111" i="3"/>
  <c r="G112" i="3"/>
  <c r="C54" i="71"/>
  <c r="D54" i="71"/>
  <c r="AB8" i="71"/>
  <c r="D18" i="71"/>
  <c r="AA12" i="71"/>
  <c r="Y9" i="71"/>
  <c r="Z9" i="71"/>
  <c r="F11" i="71"/>
  <c r="F12" i="71"/>
  <c r="V12" i="71"/>
  <c r="AB15" i="71"/>
  <c r="F19" i="71"/>
  <c r="F20" i="71"/>
  <c r="V20" i="71"/>
  <c r="AE10" i="43"/>
  <c r="J1" i="73"/>
  <c r="O16" i="1"/>
  <c r="C70" i="39"/>
  <c r="D68" i="39"/>
  <c r="AZ555" i="3"/>
  <c r="AZ565" i="3"/>
  <c r="AZ573" i="3"/>
  <c r="AZ577" i="3"/>
  <c r="D19" i="53"/>
  <c r="D17" i="53"/>
  <c r="B36" i="72"/>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c r="BA401" i="3"/>
  <c r="AZ401" i="3"/>
  <c r="BA402" i="3"/>
  <c r="AZ402" i="3"/>
  <c r="G406" i="3"/>
  <c r="G408" i="3"/>
  <c r="G409" i="3"/>
  <c r="BL409" i="3"/>
  <c r="AZ409" i="3"/>
  <c r="BL410" i="3"/>
  <c r="AZ410" i="3"/>
  <c r="BL411" i="3"/>
  <c r="AZ411" i="3"/>
  <c r="G414" i="3"/>
  <c r="G416" i="3"/>
  <c r="BL416" i="3"/>
  <c r="BL418" i="3"/>
  <c r="AZ418" i="3"/>
  <c r="BL420" i="3"/>
  <c r="AZ420" i="3"/>
  <c r="BA421" i="3"/>
  <c r="AZ421" i="3"/>
  <c r="BA422" i="3"/>
  <c r="AZ422" i="3"/>
  <c r="BL424" i="3"/>
  <c r="AZ424" i="3"/>
  <c r="BA425" i="3"/>
  <c r="BA428" i="3"/>
  <c r="AZ428" i="3"/>
  <c r="BL430" i="3"/>
  <c r="AZ430" i="3"/>
  <c r="BA431" i="3"/>
  <c r="AZ431" i="3"/>
  <c r="BA433" i="3"/>
  <c r="AZ433" i="3"/>
  <c r="G436" i="3"/>
  <c r="BL437" i="3"/>
  <c r="AZ437" i="3"/>
  <c r="BL439" i="3"/>
  <c r="AZ439" i="3"/>
  <c r="BA441" i="3"/>
  <c r="AZ441" i="3"/>
  <c r="BA442" i="3"/>
  <c r="AZ442" i="3"/>
  <c r="G446" i="3"/>
  <c r="G447" i="3"/>
  <c r="BL447" i="3"/>
  <c r="BL448" i="3"/>
  <c r="BL450" i="3"/>
  <c r="AZ450" i="3"/>
  <c r="BL452" i="3"/>
  <c r="AZ452" i="3"/>
  <c r="BA453" i="3"/>
  <c r="BA454" i="3"/>
  <c r="AZ454" i="3"/>
  <c r="BL456" i="3"/>
  <c r="AZ456" i="3"/>
  <c r="G459" i="3"/>
  <c r="G460" i="3"/>
  <c r="BL460" i="3"/>
  <c r="AZ460" i="3"/>
  <c r="BL462" i="3"/>
  <c r="AZ462" i="3"/>
  <c r="BA463" i="3"/>
  <c r="AZ463" i="3"/>
  <c r="BA464" i="3"/>
  <c r="AZ464" i="3"/>
  <c r="BL466" i="3"/>
  <c r="AZ466" i="3"/>
  <c r="G470" i="3"/>
  <c r="G472" i="3"/>
  <c r="BL473" i="3"/>
  <c r="AZ473" i="3"/>
  <c r="BA474" i="3"/>
  <c r="AZ474" i="3"/>
  <c r="BA475" i="3"/>
  <c r="BA477" i="3"/>
  <c r="AZ477" i="3"/>
  <c r="BA480" i="3"/>
  <c r="AZ480" i="3"/>
  <c r="G484" i="3"/>
  <c r="G486" i="3"/>
  <c r="BL486" i="3"/>
  <c r="BL488" i="3"/>
  <c r="AZ488" i="3"/>
  <c r="BA490" i="3"/>
  <c r="AZ490" i="3"/>
  <c r="BA491" i="3"/>
  <c r="AZ491" i="3"/>
  <c r="BL314" i="3"/>
  <c r="AZ314" i="3"/>
  <c r="BA317" i="3"/>
  <c r="AZ317" i="3"/>
  <c r="G323" i="3"/>
  <c r="BL324" i="3"/>
  <c r="AZ324" i="3"/>
  <c r="G331" i="3"/>
  <c r="G343" i="3"/>
  <c r="BL348" i="3"/>
  <c r="AZ348" i="3"/>
  <c r="BL350" i="3"/>
  <c r="AZ350" i="3"/>
  <c r="BA353" i="3"/>
  <c r="AZ353" i="3"/>
  <c r="BL363" i="3"/>
  <c r="AZ363" i="3"/>
  <c r="BA366" i="3"/>
  <c r="AZ366" i="3"/>
  <c r="G369" i="3"/>
  <c r="G382" i="3"/>
  <c r="BL393" i="3"/>
  <c r="AZ393" i="3"/>
  <c r="BA396" i="3"/>
  <c r="AZ396" i="3"/>
  <c r="BA208" i="3"/>
  <c r="AZ208" i="3"/>
  <c r="G212" i="3"/>
  <c r="BL213" i="3"/>
  <c r="AZ213" i="3"/>
  <c r="BA215" i="3"/>
  <c r="AZ215" i="3"/>
  <c r="BA217" i="3"/>
  <c r="AZ217" i="3"/>
  <c r="G221" i="3"/>
  <c r="G223" i="3"/>
  <c r="BL224" i="3"/>
  <c r="AZ224" i="3"/>
  <c r="BA225" i="3"/>
  <c r="AZ225" i="3"/>
  <c r="AZ260" i="3"/>
  <c r="AZ301" i="3"/>
  <c r="BA227" i="3"/>
  <c r="AZ227" i="3"/>
  <c r="BA229" i="3"/>
  <c r="BL231" i="3"/>
  <c r="AZ231" i="3"/>
  <c r="BL233" i="3"/>
  <c r="AZ233" i="3"/>
  <c r="G236" i="3"/>
  <c r="G238" i="3"/>
  <c r="G239" i="3"/>
  <c r="BL239" i="3"/>
  <c r="BL241" i="3"/>
  <c r="AZ241" i="3"/>
  <c r="BL243" i="3"/>
  <c r="AZ243" i="3"/>
  <c r="BA244" i="3"/>
  <c r="AZ244" i="3"/>
  <c r="BA246" i="3"/>
  <c r="AZ246" i="3"/>
  <c r="BL248" i="3"/>
  <c r="AZ248" i="3"/>
  <c r="BA250" i="3"/>
  <c r="AZ250" i="3"/>
  <c r="BA251" i="3"/>
  <c r="AZ251" i="3"/>
  <c r="BL253" i="3"/>
  <c r="AZ253" i="3"/>
  <c r="BL256" i="3"/>
  <c r="AZ256" i="3"/>
  <c r="G259" i="3"/>
  <c r="G260" i="3"/>
  <c r="BL260" i="3"/>
  <c r="G263" i="3"/>
  <c r="G264" i="3"/>
  <c r="BL264" i="3"/>
  <c r="AZ264" i="3"/>
  <c r="G267" i="3"/>
  <c r="G269" i="3"/>
  <c r="BA270" i="3"/>
  <c r="AZ270" i="3"/>
  <c r="BA271" i="3"/>
  <c r="AZ271" i="3"/>
  <c r="BL273" i="3"/>
  <c r="AZ273" i="3"/>
  <c r="BA274" i="3"/>
  <c r="AZ274" i="3"/>
  <c r="BA275" i="3"/>
  <c r="AZ275" i="3"/>
  <c r="BL279" i="3"/>
  <c r="AZ279" i="3"/>
  <c r="G282" i="3"/>
  <c r="G284" i="3"/>
  <c r="BL284" i="3"/>
  <c r="AZ284" i="3"/>
  <c r="BA285" i="3"/>
  <c r="AZ285" i="3"/>
  <c r="BA287" i="3"/>
  <c r="AZ287" i="3"/>
  <c r="BA288" i="3"/>
  <c r="AZ288" i="3"/>
  <c r="G292" i="3"/>
  <c r="G294" i="3"/>
  <c r="BL294" i="3"/>
  <c r="AZ294" i="3"/>
  <c r="BL296" i="3"/>
  <c r="AZ296" i="3"/>
  <c r="G299" i="3"/>
  <c r="G301" i="3"/>
  <c r="BL301" i="3"/>
  <c r="BL302" i="3"/>
  <c r="AZ302" i="3"/>
  <c r="BL113" i="3"/>
  <c r="AZ113" i="3"/>
  <c r="G116" i="3"/>
  <c r="BA117" i="3"/>
  <c r="AZ117" i="3"/>
  <c r="G120" i="3"/>
  <c r="BL121" i="3"/>
  <c r="AZ121" i="3"/>
  <c r="BA122" i="3"/>
  <c r="AZ122" i="3"/>
  <c r="BL123" i="3"/>
  <c r="AZ123" i="3"/>
  <c r="G128" i="3"/>
  <c r="BA130" i="3"/>
  <c r="AZ130" i="3"/>
  <c r="BA132" i="3"/>
  <c r="AZ132" i="3"/>
  <c r="G135" i="3"/>
  <c r="BA136" i="3"/>
  <c r="AZ136" i="3"/>
  <c r="G139" i="3"/>
  <c r="BA140" i="3"/>
  <c r="AZ140" i="3"/>
  <c r="G143" i="3"/>
  <c r="BA144" i="3"/>
  <c r="AZ144" i="3"/>
  <c r="G147" i="3"/>
  <c r="BA149" i="3"/>
  <c r="AZ149" i="3"/>
  <c r="G154" i="3"/>
  <c r="G156" i="3"/>
  <c r="BA158" i="3"/>
  <c r="AZ158" i="3"/>
  <c r="BL159" i="3"/>
  <c r="AZ159" i="3"/>
  <c r="G163" i="3"/>
  <c r="BA165" i="3"/>
  <c r="AZ165" i="3"/>
  <c r="G170" i="3"/>
  <c r="G172" i="3"/>
  <c r="BA174" i="3"/>
  <c r="AZ174" i="3"/>
  <c r="BL175" i="3"/>
  <c r="AZ175" i="3"/>
  <c r="G179" i="3"/>
  <c r="BA181" i="3"/>
  <c r="AZ181" i="3"/>
  <c r="G186" i="3"/>
  <c r="G188" i="3"/>
  <c r="BA190" i="3"/>
  <c r="BL191" i="3"/>
  <c r="AZ191" i="3"/>
  <c r="G195" i="3"/>
  <c r="BA197" i="3"/>
  <c r="AZ197" i="3"/>
  <c r="G202" i="3"/>
  <c r="G204" i="3"/>
  <c r="BL205" i="3"/>
  <c r="AZ205" i="3"/>
  <c r="BA19" i="3"/>
  <c r="AZ19" i="3"/>
  <c r="G22" i="3"/>
  <c r="G24" i="3"/>
  <c r="G26" i="3"/>
  <c r="G27" i="3"/>
  <c r="BL27" i="3"/>
  <c r="AZ27" i="3"/>
  <c r="BL29" i="3"/>
  <c r="AZ29" i="3"/>
  <c r="BL31" i="3"/>
  <c r="AZ31" i="3"/>
  <c r="BA33" i="3"/>
  <c r="AZ33" i="3"/>
  <c r="BL34" i="3"/>
  <c r="AZ34" i="3"/>
  <c r="G37" i="3"/>
  <c r="G39" i="3"/>
  <c r="G41" i="3"/>
  <c r="G42" i="3"/>
  <c r="BL43" i="3"/>
  <c r="AZ43" i="3"/>
  <c r="BA44" i="3"/>
  <c r="BA46" i="3"/>
  <c r="AZ46" i="3"/>
  <c r="G50" i="3"/>
  <c r="G51" i="3"/>
  <c r="G53" i="3"/>
  <c r="G55" i="3"/>
  <c r="G57" i="3"/>
  <c r="BL57" i="3"/>
  <c r="AZ57" i="3"/>
  <c r="BA59" i="3"/>
  <c r="AZ59" i="3"/>
  <c r="BA61" i="3"/>
  <c r="AZ61" i="3"/>
  <c r="BA63" i="3"/>
  <c r="BA65" i="3"/>
  <c r="AZ65" i="3"/>
  <c r="G68" i="3"/>
  <c r="G70" i="3"/>
  <c r="BL70" i="3"/>
  <c r="AZ70" i="3"/>
  <c r="BA72" i="3"/>
  <c r="AZ72" i="3"/>
  <c r="BA74" i="3"/>
  <c r="BA76" i="3"/>
  <c r="AZ76" i="3"/>
  <c r="G79" i="3"/>
  <c r="BL80" i="3"/>
  <c r="AZ80" i="3"/>
  <c r="BL82" i="3"/>
  <c r="AZ82" i="3"/>
  <c r="BA84" i="3"/>
  <c r="AZ84" i="3"/>
  <c r="BA85" i="3"/>
  <c r="AZ85" i="3"/>
  <c r="G88" i="3"/>
  <c r="G89" i="3"/>
  <c r="G91" i="3"/>
  <c r="BL91" i="3"/>
  <c r="BA92" i="3"/>
  <c r="AZ92" i="3"/>
  <c r="BA94" i="3"/>
  <c r="AZ94" i="3"/>
  <c r="BL96" i="3"/>
  <c r="AZ96" i="3"/>
  <c r="G101" i="3"/>
  <c r="G102" i="3"/>
  <c r="G104" i="3"/>
  <c r="BL104" i="3"/>
  <c r="AZ104" i="3"/>
  <c r="BA107" i="3"/>
  <c r="AZ107" i="3"/>
  <c r="BA108" i="3"/>
  <c r="AZ108" i="3"/>
  <c r="BA110" i="3"/>
  <c r="AZ110" i="3"/>
  <c r="B75" i="43"/>
  <c r="B55" i="43"/>
  <c r="C16" i="71"/>
  <c r="D16" i="71"/>
  <c r="D15" i="71"/>
  <c r="D30" i="71"/>
  <c r="C31" i="71"/>
  <c r="AZ91" i="3"/>
  <c r="I10" i="66"/>
  <c r="AB21" i="21"/>
  <c r="AC21" i="37"/>
  <c r="C23" i="71"/>
  <c r="C24" i="71"/>
  <c r="D22" i="71"/>
  <c r="D38" i="71"/>
  <c r="C39" i="71"/>
  <c r="N4" i="71"/>
  <c r="AD3" i="71"/>
  <c r="AA15" i="71"/>
  <c r="P74" i="67"/>
  <c r="J4" i="71"/>
  <c r="N5" i="71"/>
  <c r="I8" i="1"/>
  <c r="D22" i="79"/>
  <c r="D24" i="79"/>
  <c r="D24" i="80"/>
  <c r="S21" i="21"/>
  <c r="S18" i="36"/>
  <c r="D44" i="71"/>
  <c r="D35" i="71"/>
  <c r="AA6" i="71"/>
  <c r="B5" i="71"/>
  <c r="B12" i="71"/>
  <c r="S12" i="71"/>
  <c r="X5" i="71"/>
  <c r="E11" i="71"/>
  <c r="E12" i="71"/>
  <c r="U12" i="71"/>
  <c r="X10" i="71"/>
  <c r="AB10" i="71"/>
  <c r="Y11" i="71"/>
  <c r="Z11" i="71"/>
  <c r="X11" i="71"/>
  <c r="AB12" i="71"/>
  <c r="AB14" i="71"/>
  <c r="Y15" i="71"/>
  <c r="Z15" i="71"/>
  <c r="AB16" i="71"/>
  <c r="B20" i="71"/>
  <c r="S20" i="71"/>
  <c r="E23" i="71"/>
  <c r="E24" i="71"/>
  <c r="U24" i="71"/>
  <c r="B35" i="71"/>
  <c r="B36" i="71"/>
  <c r="S36" i="71"/>
  <c r="E35" i="71"/>
  <c r="E36" i="71"/>
  <c r="U36" i="71"/>
  <c r="B43" i="71"/>
  <c r="B44" i="71"/>
  <c r="S44" i="71"/>
  <c r="AH10" i="43"/>
  <c r="AD10" i="43"/>
  <c r="Z10" i="43"/>
  <c r="AG10" i="43"/>
  <c r="AC10" i="43"/>
  <c r="H31" i="77"/>
  <c r="F81" i="39"/>
  <c r="G81" i="39"/>
  <c r="H81" i="39"/>
  <c r="I81" i="39"/>
  <c r="J81" i="39"/>
  <c r="K81" i="39"/>
  <c r="L81" i="39"/>
  <c r="M81" i="39"/>
  <c r="J59" i="34"/>
  <c r="K59" i="34"/>
  <c r="L59" i="34"/>
  <c r="M59" i="34"/>
  <c r="N59" i="34"/>
  <c r="O59" i="34"/>
  <c r="I14" i="74"/>
  <c r="B8" i="74"/>
  <c r="D127" i="9"/>
  <c r="D13" i="52"/>
  <c r="D12" i="52"/>
  <c r="I58" i="21"/>
  <c r="J58" i="21"/>
  <c r="K58" i="21"/>
  <c r="L58" i="21"/>
  <c r="M58" i="21"/>
  <c r="N58" i="21"/>
  <c r="O58" i="21"/>
  <c r="J48" i="35"/>
  <c r="K48" i="35"/>
  <c r="L48" i="35"/>
  <c r="M48" i="35"/>
  <c r="N48" i="35"/>
  <c r="O48" i="35"/>
  <c r="H7" i="35"/>
  <c r="G52" i="37"/>
  <c r="L67" i="9"/>
  <c r="M67" i="9"/>
  <c r="L63" i="9"/>
  <c r="M63" i="9"/>
  <c r="M69" i="9"/>
  <c r="N69" i="9"/>
  <c r="L64" i="9"/>
  <c r="M64" i="9"/>
  <c r="L66" i="9"/>
  <c r="M66" i="9"/>
  <c r="L65" i="9"/>
  <c r="M65" i="9"/>
  <c r="J7" i="34"/>
  <c r="G46" i="36"/>
  <c r="C48" i="68"/>
  <c r="F30" i="6"/>
  <c r="U12" i="39"/>
  <c r="U12" i="37"/>
  <c r="W40" i="37"/>
  <c r="AC28" i="21"/>
  <c r="AC30" i="34"/>
  <c r="W11" i="36"/>
  <c r="AB30" i="21"/>
  <c r="AB11" i="35"/>
  <c r="AA14" i="33"/>
  <c r="AA44" i="33"/>
  <c r="C15" i="39"/>
  <c r="C25" i="39"/>
  <c r="G25" i="39"/>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c r="G1" i="80"/>
  <c r="G1" i="79"/>
  <c r="D36" i="71"/>
  <c r="T36" i="71"/>
  <c r="E7" i="71"/>
  <c r="E6" i="71"/>
  <c r="E5" i="71"/>
  <c r="E4" i="71"/>
  <c r="V8" i="71"/>
  <c r="D12" i="71"/>
  <c r="T12" i="71"/>
  <c r="AC21" i="34"/>
  <c r="AB21" i="33"/>
  <c r="O46" i="71"/>
  <c r="O45" i="71"/>
  <c r="D46" i="71"/>
  <c r="D19" i="71"/>
  <c r="C20" i="71"/>
  <c r="T16" i="71"/>
  <c r="T8" i="71"/>
  <c r="C7" i="71"/>
  <c r="D8" i="71"/>
  <c r="U8" i="71"/>
  <c r="D23" i="71"/>
  <c r="C29" i="39"/>
  <c r="B66" i="43"/>
  <c r="D47" i="71"/>
  <c r="AA7" i="71"/>
  <c r="AA5" i="71"/>
  <c r="AB7" i="71"/>
  <c r="AB5" i="71"/>
  <c r="X8" i="71"/>
  <c r="X7" i="71"/>
  <c r="AB17" i="71"/>
  <c r="AA16" i="71"/>
  <c r="AB13" i="71"/>
  <c r="Y13" i="71"/>
  <c r="Z13" i="71"/>
  <c r="X12" i="71"/>
  <c r="X17" i="71"/>
  <c r="AA9" i="71"/>
  <c r="S48" i="71"/>
  <c r="B47" i="71"/>
  <c r="Q4" i="71"/>
  <c r="AB3" i="71"/>
  <c r="AH3" i="71"/>
  <c r="Y6" i="1"/>
  <c r="N7" i="1"/>
  <c r="N8" i="1"/>
  <c r="Y8" i="1"/>
  <c r="J51" i="80"/>
  <c r="C31" i="66"/>
  <c r="E26" i="66"/>
  <c r="G31" i="77"/>
  <c r="I16" i="3"/>
  <c r="D9" i="53"/>
  <c r="B25" i="72"/>
  <c r="B24" i="72"/>
  <c r="C30" i="9"/>
  <c r="C24" i="9"/>
  <c r="C25" i="9"/>
  <c r="B22" i="49"/>
  <c r="B5" i="49"/>
  <c r="E9" i="49"/>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H7" i="34"/>
  <c r="F7" i="34"/>
  <c r="H8" i="1"/>
  <c r="G8" i="1"/>
  <c r="O4" i="71"/>
  <c r="Y3" i="71"/>
  <c r="Z3" i="71"/>
  <c r="AE3" i="71"/>
  <c r="AF3" i="71"/>
  <c r="X3" i="71"/>
  <c r="C32" i="71"/>
  <c r="D31" i="71"/>
  <c r="BL5" i="3"/>
  <c r="AB38" i="40"/>
  <c r="U38" i="40"/>
  <c r="AC23" i="36"/>
  <c r="W23" i="36"/>
  <c r="AC12" i="33"/>
  <c r="W12" i="33"/>
  <c r="U9" i="33"/>
  <c r="AB9" i="33"/>
  <c r="B38" i="72"/>
  <c r="D20" i="53"/>
  <c r="B40" i="72"/>
  <c r="C40" i="71"/>
  <c r="D39" i="71"/>
  <c r="I21" i="66"/>
  <c r="D1" i="66"/>
  <c r="E10" i="66"/>
  <c r="AA40" i="40"/>
  <c r="S40" i="40"/>
  <c r="AA44" i="39"/>
  <c r="S44" i="39"/>
  <c r="U12" i="33"/>
  <c r="AB12" i="33"/>
  <c r="AA9" i="33"/>
  <c r="S9" i="33"/>
  <c r="AC9" i="33"/>
  <c r="W9" i="33"/>
  <c r="E68" i="39"/>
  <c r="D70" i="39"/>
  <c r="U11" i="39"/>
  <c r="S11" i="39"/>
  <c r="BB16" i="3"/>
  <c r="I5" i="3"/>
  <c r="H16" i="3"/>
  <c r="Y7" i="1"/>
  <c r="F20" i="6"/>
  <c r="E20" i="6"/>
  <c r="D7" i="71"/>
  <c r="C6" i="71"/>
  <c r="D20" i="71"/>
  <c r="T20" i="71"/>
  <c r="AC34" i="35"/>
  <c r="W34" i="35"/>
  <c r="W12" i="35"/>
  <c r="AC12" i="35"/>
  <c r="H46" i="36"/>
  <c r="F7" i="35"/>
  <c r="J7" i="35"/>
  <c r="F7" i="21"/>
  <c r="H7" i="21"/>
  <c r="C38" i="39"/>
  <c r="A3" i="3"/>
  <c r="J31" i="77"/>
  <c r="P23" i="43"/>
  <c r="P24" i="43"/>
  <c r="B66" i="40"/>
  <c r="P22" i="43"/>
  <c r="P21" i="43"/>
  <c r="B71" i="39"/>
  <c r="P25" i="43"/>
  <c r="N47" i="71"/>
  <c r="B46" i="71"/>
  <c r="D24" i="71"/>
  <c r="T24" i="71"/>
  <c r="F4" i="71"/>
  <c r="AA34" i="35"/>
  <c r="S34" i="35"/>
  <c r="AB34" i="35"/>
  <c r="U34" i="35"/>
  <c r="AC7" i="34"/>
  <c r="V49" i="34"/>
  <c r="I49" i="34"/>
  <c r="W7" i="34"/>
  <c r="H52" i="37"/>
  <c r="I52" i="37"/>
  <c r="J52" i="37"/>
  <c r="K52" i="37"/>
  <c r="L52" i="37"/>
  <c r="M52" i="37"/>
  <c r="N52" i="37"/>
  <c r="O52" i="37"/>
  <c r="J7" i="37"/>
  <c r="AB7" i="35"/>
  <c r="T38" i="35"/>
  <c r="G38" i="35"/>
  <c r="U7" i="35"/>
  <c r="J7" i="21"/>
  <c r="U7" i="34"/>
  <c r="AB7" i="34"/>
  <c r="T49" i="34"/>
  <c r="G49" i="34"/>
  <c r="S7" i="34"/>
  <c r="AA7" i="34"/>
  <c r="R49" i="34"/>
  <c r="G65" i="40"/>
  <c r="H63" i="40"/>
  <c r="K14" i="1"/>
  <c r="M14" i="1"/>
  <c r="E30" i="6"/>
  <c r="F58" i="33"/>
  <c r="F68" i="39"/>
  <c r="E70" i="39"/>
  <c r="D40" i="71"/>
  <c r="T40" i="71"/>
  <c r="D32" i="71"/>
  <c r="T32" i="71"/>
  <c r="AC7" i="37"/>
  <c r="V42" i="37"/>
  <c r="I42" i="37"/>
  <c r="W7" i="37"/>
  <c r="I53" i="34"/>
  <c r="J53" i="34"/>
  <c r="N45" i="71"/>
  <c r="N46" i="71"/>
  <c r="I4" i="6"/>
  <c r="G3" i="43"/>
  <c r="AB7" i="21"/>
  <c r="T48" i="21"/>
  <c r="G48" i="21"/>
  <c r="U7" i="21"/>
  <c r="AC7" i="35"/>
  <c r="V38" i="35"/>
  <c r="I38" i="35"/>
  <c r="W7" i="35"/>
  <c r="H7" i="37"/>
  <c r="E49" i="34"/>
  <c r="R50" i="34"/>
  <c r="G53" i="34"/>
  <c r="H53" i="34"/>
  <c r="G54" i="34"/>
  <c r="H54" i="34"/>
  <c r="W7" i="21"/>
  <c r="AC7" i="21"/>
  <c r="V48" i="21"/>
  <c r="I48" i="21"/>
  <c r="G43" i="35"/>
  <c r="H43" i="35"/>
  <c r="G42" i="35"/>
  <c r="H42" i="35"/>
  <c r="F7" i="37"/>
  <c r="H38" i="39"/>
  <c r="J38" i="39"/>
  <c r="F38" i="39"/>
  <c r="S7" i="21"/>
  <c r="AA7" i="21"/>
  <c r="R48" i="21"/>
  <c r="AA7" i="35"/>
  <c r="R38" i="35"/>
  <c r="S7" i="35"/>
  <c r="I46" i="36"/>
  <c r="C5" i="71"/>
  <c r="D6" i="71"/>
  <c r="K7" i="1"/>
  <c r="H5" i="3"/>
  <c r="G16" i="3"/>
  <c r="G5" i="3"/>
  <c r="B3" i="3"/>
  <c r="I3" i="6"/>
  <c r="BA16" i="3"/>
  <c r="BB5" i="3"/>
  <c r="F25" i="66"/>
  <c r="U6" i="1"/>
  <c r="H65" i="40"/>
  <c r="I63" i="40"/>
  <c r="G58" i="33"/>
  <c r="F70" i="39"/>
  <c r="G68" i="39"/>
  <c r="U7" i="1"/>
  <c r="AZ16" i="3"/>
  <c r="AZ5" i="3"/>
  <c r="BA5" i="3"/>
  <c r="E27" i="6"/>
  <c r="E48" i="21"/>
  <c r="R49" i="21"/>
  <c r="W38" i="39"/>
  <c r="AC38" i="39"/>
  <c r="S7" i="37"/>
  <c r="AA7" i="37"/>
  <c r="R42" i="37"/>
  <c r="C49" i="34"/>
  <c r="C50" i="34"/>
  <c r="U7" i="37"/>
  <c r="AB7" i="37"/>
  <c r="T42" i="37"/>
  <c r="G42" i="37"/>
  <c r="I42" i="35"/>
  <c r="J42" i="35"/>
  <c r="G52" i="21"/>
  <c r="H52" i="21"/>
  <c r="G53" i="21"/>
  <c r="H53" i="2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E12" i="6"/>
  <c r="E15" i="6"/>
  <c r="E10" i="6"/>
  <c r="E14" i="6"/>
  <c r="E8" i="6"/>
  <c r="E13" i="6"/>
  <c r="E11" i="6"/>
  <c r="M7" i="1"/>
  <c r="H16" i="1"/>
  <c r="K16" i="1"/>
  <c r="G16" i="1"/>
  <c r="Q16" i="1"/>
  <c r="C34" i="69"/>
  <c r="C38" i="69" s="1"/>
  <c r="C4" i="71"/>
  <c r="D4" i="71"/>
  <c r="D5" i="71"/>
  <c r="M20" i="43"/>
  <c r="C19" i="43"/>
  <c r="J46" i="36"/>
  <c r="R39" i="35"/>
  <c r="E38" i="35"/>
  <c r="I43" i="35"/>
  <c r="J43" i="35"/>
  <c r="AA38" i="39"/>
  <c r="S38" i="39"/>
  <c r="AB38" i="39"/>
  <c r="U38" i="39"/>
  <c r="I52" i="21"/>
  <c r="J52" i="21"/>
  <c r="I53" i="21"/>
  <c r="J53" i="21"/>
  <c r="E54" i="34"/>
  <c r="F54" i="34"/>
  <c r="E53" i="34"/>
  <c r="F53" i="34"/>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c r="AD11" i="43"/>
  <c r="AD13" i="43"/>
  <c r="Z11" i="43"/>
  <c r="Z13" i="43"/>
  <c r="F22" i="43"/>
  <c r="F101" i="43"/>
  <c r="E22" i="43"/>
  <c r="D101" i="43"/>
  <c r="I101" i="43"/>
  <c r="AI11" i="43"/>
  <c r="AI13" i="43"/>
  <c r="AE11" i="43"/>
  <c r="AE13" i="43"/>
  <c r="AA11" i="43"/>
  <c r="AA13" i="43"/>
  <c r="J22" i="43"/>
  <c r="B113" i="43"/>
  <c r="C101" i="43"/>
  <c r="N104" i="46"/>
  <c r="H101" i="43"/>
  <c r="AJ11" i="43"/>
  <c r="AJ13" i="43"/>
  <c r="AF11" i="43"/>
  <c r="AF13" i="43"/>
  <c r="AB11" i="43"/>
  <c r="AB13" i="43"/>
  <c r="Z7" i="43"/>
  <c r="K101" i="43"/>
  <c r="N101" i="43"/>
  <c r="H22" i="43"/>
  <c r="M101" i="43"/>
  <c r="E101" i="43"/>
  <c r="AG11" i="43"/>
  <c r="AG13" i="43"/>
  <c r="AC11" i="43"/>
  <c r="AC13" i="43"/>
  <c r="Y11" i="43"/>
  <c r="Y13" i="43"/>
  <c r="I54" i="34"/>
  <c r="J54" i="34"/>
  <c r="I46" i="37"/>
  <c r="J46" i="37"/>
  <c r="H58" i="33"/>
  <c r="I65" i="40"/>
  <c r="J63" i="40"/>
  <c r="H6" i="3"/>
  <c r="H68" i="39"/>
  <c r="G70" i="39"/>
  <c r="C33" i="43"/>
  <c r="C35" i="43"/>
  <c r="C36" i="43"/>
  <c r="T11" i="43"/>
  <c r="V11" i="43"/>
  <c r="T16" i="43"/>
  <c r="V16" i="43"/>
  <c r="T14" i="43"/>
  <c r="V14" i="43"/>
  <c r="T12" i="43"/>
  <c r="V12" i="43"/>
  <c r="T9" i="43"/>
  <c r="V9" i="43"/>
  <c r="T8" i="43"/>
  <c r="V8" i="43"/>
  <c r="T15" i="43"/>
  <c r="V15" i="43"/>
  <c r="T13" i="43"/>
  <c r="V13" i="43"/>
  <c r="T10" i="43"/>
  <c r="V10" i="43"/>
  <c r="C39" i="43"/>
  <c r="E39" i="43"/>
  <c r="C37" i="43"/>
  <c r="C34" i="43"/>
  <c r="C38" i="43"/>
  <c r="E107" i="43"/>
  <c r="E109" i="43"/>
  <c r="E102" i="43"/>
  <c r="E104" i="43"/>
  <c r="E105" i="43"/>
  <c r="E106" i="43"/>
  <c r="E103" i="43"/>
  <c r="I115" i="43"/>
  <c r="J115" i="43"/>
  <c r="K115" i="43"/>
  <c r="L115" i="43"/>
  <c r="M115" i="43"/>
  <c r="B116" i="43"/>
  <c r="C116" i="43"/>
  <c r="B118" i="43"/>
  <c r="C118" i="43"/>
  <c r="D116" i="43"/>
  <c r="E116" i="43"/>
  <c r="F116" i="43"/>
  <c r="G116" i="43"/>
  <c r="H116" i="43"/>
  <c r="D118" i="43"/>
  <c r="E118" i="43"/>
  <c r="F118" i="43"/>
  <c r="D115" i="43"/>
  <c r="E115" i="43"/>
  <c r="F115" i="43"/>
  <c r="G115" i="43"/>
  <c r="H115" i="43"/>
  <c r="D117" i="43"/>
  <c r="E117" i="43"/>
  <c r="F117" i="43"/>
  <c r="G117" i="43"/>
  <c r="H117" i="43"/>
  <c r="I118" i="43"/>
  <c r="J118" i="43"/>
  <c r="K118" i="43"/>
  <c r="L118" i="43"/>
  <c r="M118" i="43"/>
  <c r="I117" i="43"/>
  <c r="J117" i="43"/>
  <c r="K117" i="43"/>
  <c r="L117" i="43"/>
  <c r="M117" i="43"/>
  <c r="G118" i="43"/>
  <c r="H118" i="43"/>
  <c r="B115" i="43"/>
  <c r="C115" i="43"/>
  <c r="B117" i="43"/>
  <c r="C117" i="43"/>
  <c r="I116" i="43"/>
  <c r="J116" i="43"/>
  <c r="K116" i="43"/>
  <c r="L116" i="43"/>
  <c r="M116" i="43"/>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C38" i="35"/>
  <c r="F27" i="69"/>
  <c r="C47" i="69" s="1"/>
  <c r="D45" i="69" s="1"/>
  <c r="F28" i="12"/>
  <c r="C29" i="12" s="1"/>
  <c r="D28" i="12" s="1"/>
  <c r="F27" i="11"/>
  <c r="E61" i="39"/>
  <c r="E56" i="40"/>
  <c r="F27" i="6"/>
  <c r="F31" i="6"/>
  <c r="E51" i="40"/>
  <c r="E56" i="39"/>
  <c r="E16" i="6"/>
  <c r="E62" i="39"/>
  <c r="E57" i="40"/>
  <c r="G46" i="37"/>
  <c r="H46" i="37"/>
  <c r="G47" i="37"/>
  <c r="H47" i="37"/>
  <c r="R43" i="37"/>
  <c r="E42" i="37"/>
  <c r="C48" i="21"/>
  <c r="C49" i="21"/>
  <c r="K24" i="6"/>
  <c r="M24" i="6"/>
  <c r="I24" i="6"/>
  <c r="S24" i="6"/>
  <c r="K21" i="6"/>
  <c r="K25" i="6"/>
  <c r="M25" i="6"/>
  <c r="I25" i="6"/>
  <c r="S25" i="6"/>
  <c r="K23" i="6"/>
  <c r="M23" i="6"/>
  <c r="I23" i="6"/>
  <c r="S23" i="6"/>
  <c r="K26" i="6"/>
  <c r="M26" i="6"/>
  <c r="I26" i="6"/>
  <c r="S26" i="6"/>
  <c r="K22" i="6"/>
  <c r="M22" i="6"/>
  <c r="I22" i="6"/>
  <c r="S22" i="6"/>
  <c r="K19" i="6"/>
  <c r="E31" i="6"/>
  <c r="K20" i="6"/>
  <c r="K103" i="43"/>
  <c r="K104" i="43"/>
  <c r="K102" i="43"/>
  <c r="K109" i="43"/>
  <c r="K107" i="43"/>
  <c r="K105" i="43"/>
  <c r="K106" i="43"/>
  <c r="L109" i="43"/>
  <c r="L107" i="43"/>
  <c r="L102" i="43"/>
  <c r="L104" i="43"/>
  <c r="L106" i="43"/>
  <c r="L103" i="43"/>
  <c r="L105" i="43"/>
  <c r="AC6" i="3"/>
  <c r="E6" i="3"/>
  <c r="E43" i="35"/>
  <c r="F43" i="35"/>
  <c r="E42" i="35"/>
  <c r="F42" i="35"/>
  <c r="K46" i="36"/>
  <c r="C35" i="69"/>
  <c r="H10" i="40"/>
  <c r="F10" i="39"/>
  <c r="J10" i="40"/>
  <c r="F10" i="40"/>
  <c r="J10" i="39"/>
  <c r="H10" i="39"/>
  <c r="M16" i="1"/>
  <c r="E58" i="40"/>
  <c r="E63" i="39"/>
  <c r="E59" i="40"/>
  <c r="E64" i="39"/>
  <c r="E65" i="39"/>
  <c r="E60" i="40"/>
  <c r="E52" i="21"/>
  <c r="F52" i="21"/>
  <c r="E53" i="21"/>
  <c r="F53" i="21"/>
  <c r="E3" i="6"/>
  <c r="AY6" i="3"/>
  <c r="J65" i="40"/>
  <c r="K63" i="40"/>
  <c r="I58" i="33"/>
  <c r="H70" i="39"/>
  <c r="I68" i="39"/>
  <c r="D3" i="34"/>
  <c r="B14" i="74"/>
  <c r="B1" i="74"/>
  <c r="D37" i="11"/>
  <c r="C37" i="11"/>
  <c r="M18" i="9"/>
  <c r="B118" i="9"/>
  <c r="D14" i="12"/>
  <c r="D17" i="12" s="1"/>
  <c r="C17" i="12" s="1"/>
  <c r="D3" i="21"/>
  <c r="L18" i="9"/>
  <c r="E6" i="6"/>
  <c r="D3" i="33"/>
  <c r="D19" i="11"/>
  <c r="C19" i="11"/>
  <c r="D3" i="37"/>
  <c r="C17" i="4"/>
  <c r="B4" i="52"/>
  <c r="B43" i="72"/>
  <c r="U10" i="39"/>
  <c r="AB10" i="39"/>
  <c r="AA10" i="40"/>
  <c r="S10" i="40"/>
  <c r="S10" i="39"/>
  <c r="AA10" i="39"/>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W10" i="39"/>
  <c r="AC10" i="39"/>
  <c r="AC10" i="40"/>
  <c r="W10" i="40"/>
  <c r="U10" i="40"/>
  <c r="AB10" i="40"/>
  <c r="L46" i="36"/>
  <c r="S7" i="1"/>
  <c r="M20" i="6"/>
  <c r="I20" i="6"/>
  <c r="S20" i="6"/>
  <c r="S6" i="1"/>
  <c r="M19" i="6"/>
  <c r="K27" i="6"/>
  <c r="C43" i="37"/>
  <c r="C42" i="37"/>
  <c r="C47" i="11"/>
  <c r="D45" i="11"/>
  <c r="C29" i="11"/>
  <c r="D27" i="11"/>
  <c r="D113" i="43"/>
  <c r="G34" i="43"/>
  <c r="I34" i="43"/>
  <c r="E34" i="43"/>
  <c r="E36" i="43"/>
  <c r="G36" i="43"/>
  <c r="I36" i="43"/>
  <c r="G33" i="43"/>
  <c r="I33" i="43"/>
  <c r="E33" i="43"/>
  <c r="S8" i="1"/>
  <c r="M21" i="6"/>
  <c r="I21" i="6"/>
  <c r="S21" i="6"/>
  <c r="E47" i="37"/>
  <c r="F47" i="37"/>
  <c r="E46" i="37"/>
  <c r="F46" i="37"/>
  <c r="I47" i="37"/>
  <c r="J47" i="37"/>
  <c r="E66" i="39"/>
  <c r="S5" i="43"/>
  <c r="T5" i="43"/>
  <c r="V5" i="43"/>
  <c r="S6" i="43"/>
  <c r="T6" i="43"/>
  <c r="V6" i="43"/>
  <c r="S3" i="43"/>
  <c r="T3" i="43"/>
  <c r="V3" i="43"/>
  <c r="S7" i="43"/>
  <c r="T7" i="43"/>
  <c r="V7" i="43"/>
  <c r="C23" i="43"/>
  <c r="C21" i="43"/>
  <c r="S4" i="43"/>
  <c r="T4" i="43"/>
  <c r="V4" i="43"/>
  <c r="S2" i="43"/>
  <c r="T2" i="43"/>
  <c r="V2" i="43"/>
  <c r="G38" i="43"/>
  <c r="I38" i="43"/>
  <c r="E38" i="43"/>
  <c r="G37" i="43"/>
  <c r="I37" i="43"/>
  <c r="E37" i="43"/>
  <c r="G35" i="43"/>
  <c r="I35" i="43"/>
  <c r="E35" i="43"/>
  <c r="J58" i="33"/>
  <c r="K65" i="40"/>
  <c r="L63" i="40"/>
  <c r="J68" i="39"/>
  <c r="I70" i="39"/>
  <c r="I19" i="6"/>
  <c r="H19" i="6"/>
  <c r="M27" i="6"/>
  <c r="C38" i="11"/>
  <c r="C35" i="11"/>
  <c r="H20" i="6"/>
  <c r="M19" i="9"/>
  <c r="C118" i="9"/>
  <c r="D19" i="6"/>
  <c r="D26" i="6"/>
  <c r="C18" i="4"/>
  <c r="D8" i="6"/>
  <c r="D23" i="6"/>
  <c r="D14" i="6"/>
  <c r="D5" i="6"/>
  <c r="D12" i="6"/>
  <c r="D11" i="6"/>
  <c r="D13" i="6"/>
  <c r="D28" i="6"/>
  <c r="E61" i="40"/>
  <c r="H22" i="6"/>
  <c r="H21" i="6"/>
  <c r="H24" i="6"/>
  <c r="C14" i="74"/>
  <c r="B2" i="74"/>
  <c r="D25" i="6"/>
  <c r="D15" i="6"/>
  <c r="D22" i="6"/>
  <c r="D21" i="6"/>
  <c r="D24" i="6"/>
  <c r="D20" i="6"/>
  <c r="R20" i="6"/>
  <c r="D6" i="6"/>
  <c r="D9" i="6"/>
  <c r="D10" i="6"/>
  <c r="L19" i="9"/>
  <c r="D29" i="6"/>
  <c r="H25" i="6"/>
  <c r="R25" i="6"/>
  <c r="H23" i="6"/>
  <c r="H26" i="6"/>
  <c r="C20" i="11"/>
  <c r="C29" i="43"/>
  <c r="E8" i="70"/>
  <c r="AQ8" i="1"/>
  <c r="T8" i="1"/>
  <c r="AR8" i="1"/>
  <c r="AR6" i="1"/>
  <c r="E6" i="70"/>
  <c r="AQ6" i="1"/>
  <c r="S16" i="1"/>
  <c r="T6" i="1"/>
  <c r="AQ7" i="1"/>
  <c r="AR7" i="1"/>
  <c r="T7" i="1"/>
  <c r="E7" i="70"/>
  <c r="M46" i="36"/>
  <c r="N46" i="36"/>
  <c r="O46" i="36"/>
  <c r="J7" i="36"/>
  <c r="F50" i="11"/>
  <c r="F50" i="68"/>
  <c r="F50" i="69"/>
  <c r="D10" i="11"/>
  <c r="C10" i="11"/>
  <c r="D20" i="12"/>
  <c r="C20" i="12" s="1"/>
  <c r="D10" i="69"/>
  <c r="C10" i="69" s="1"/>
  <c r="C7" i="74"/>
  <c r="C8" i="74"/>
  <c r="K58" i="33"/>
  <c r="L58" i="33"/>
  <c r="M58" i="33"/>
  <c r="N58" i="33"/>
  <c r="O58" i="33"/>
  <c r="J7" i="33"/>
  <c r="F7" i="33"/>
  <c r="F7" i="36"/>
  <c r="R24" i="6"/>
  <c r="R22" i="6"/>
  <c r="L65" i="40"/>
  <c r="M63" i="40"/>
  <c r="H7" i="33"/>
  <c r="C33" i="11"/>
  <c r="K68" i="39"/>
  <c r="J70" i="39"/>
  <c r="S7" i="36"/>
  <c r="AA7" i="36"/>
  <c r="R36" i="36"/>
  <c r="T16" i="1"/>
  <c r="R21" i="6"/>
  <c r="D7" i="74"/>
  <c r="D8" i="74"/>
  <c r="D30" i="6"/>
  <c r="R23" i="6"/>
  <c r="A7" i="51"/>
  <c r="B7" i="72"/>
  <c r="A10" i="51"/>
  <c r="B9" i="72"/>
  <c r="C4" i="52"/>
  <c r="B45" i="72"/>
  <c r="D27" i="6"/>
  <c r="D31" i="6"/>
  <c r="R19" i="6"/>
  <c r="S19" i="6"/>
  <c r="S27" i="6"/>
  <c r="I27" i="6"/>
  <c r="W7" i="36"/>
  <c r="AC7" i="36"/>
  <c r="V36" i="36"/>
  <c r="I36" i="36"/>
  <c r="E2" i="70"/>
  <c r="E29" i="43"/>
  <c r="C26" i="43"/>
  <c r="C30" i="43"/>
  <c r="E30" i="43"/>
  <c r="C27" i="43"/>
  <c r="C28" i="11"/>
  <c r="C27" i="11"/>
  <c r="H27" i="6"/>
  <c r="D16" i="6"/>
  <c r="R26" i="6"/>
  <c r="R27" i="6"/>
  <c r="C39" i="11"/>
  <c r="H7" i="36"/>
  <c r="AB7" i="33"/>
  <c r="T48" i="33"/>
  <c r="G48" i="33"/>
  <c r="G52" i="33"/>
  <c r="H52" i="33"/>
  <c r="U7" i="33"/>
  <c r="W7" i="33"/>
  <c r="AC7" i="33"/>
  <c r="V48" i="33"/>
  <c r="I48" i="33"/>
  <c r="M65" i="40"/>
  <c r="N63" i="40"/>
  <c r="S7" i="33"/>
  <c r="AA7" i="33"/>
  <c r="R48" i="33"/>
  <c r="K70" i="39"/>
  <c r="L68" i="39"/>
  <c r="C46" i="11"/>
  <c r="C45" i="11"/>
  <c r="U7" i="36"/>
  <c r="AB7" i="36"/>
  <c r="T36" i="36"/>
  <c r="G36" i="36"/>
  <c r="B2" i="43"/>
  <c r="I40" i="36"/>
  <c r="J40" i="36"/>
  <c r="I5" i="6"/>
  <c r="I6" i="6"/>
  <c r="E36" i="36"/>
  <c r="R37" i="36"/>
  <c r="E48" i="33"/>
  <c r="R49" i="33"/>
  <c r="G53" i="33"/>
  <c r="H53" i="33"/>
  <c r="I52" i="33"/>
  <c r="J52" i="33"/>
  <c r="O63" i="40"/>
  <c r="O65" i="40"/>
  <c r="N65" i="40"/>
  <c r="L70" i="39"/>
  <c r="M68" i="39"/>
  <c r="B3" i="43"/>
  <c r="G40" i="36"/>
  <c r="H40" i="36"/>
  <c r="G41" i="36"/>
  <c r="H41" i="36"/>
  <c r="E40" i="36"/>
  <c r="F40" i="36"/>
  <c r="E41" i="36"/>
  <c r="F41" i="36"/>
  <c r="C36" i="36"/>
  <c r="C37" i="36"/>
  <c r="I41" i="36"/>
  <c r="J41" i="36"/>
  <c r="F7" i="40"/>
  <c r="H7" i="40"/>
  <c r="E53" i="33"/>
  <c r="F53" i="33"/>
  <c r="E52" i="33"/>
  <c r="F52" i="33"/>
  <c r="J7" i="40"/>
  <c r="I53" i="33"/>
  <c r="J53" i="33"/>
  <c r="C49" i="33"/>
  <c r="C48" i="33"/>
  <c r="M70" i="39"/>
  <c r="N68" i="39"/>
  <c r="AB7" i="40"/>
  <c r="T42" i="40"/>
  <c r="G42" i="40"/>
  <c r="U7" i="40"/>
  <c r="W7" i="40"/>
  <c r="AC7" i="40"/>
  <c r="V42" i="40"/>
  <c r="I42" i="40"/>
  <c r="AA7" i="40"/>
  <c r="R42" i="40"/>
  <c r="S7" i="40"/>
  <c r="N70" i="39"/>
  <c r="O68" i="39"/>
  <c r="O70" i="39"/>
  <c r="H7" i="39"/>
  <c r="F7" i="39"/>
  <c r="J7" i="39"/>
  <c r="I46" i="40"/>
  <c r="J46" i="40"/>
  <c r="R43" i="40"/>
  <c r="E42" i="40"/>
  <c r="G47" i="40"/>
  <c r="H47" i="40"/>
  <c r="G46" i="40"/>
  <c r="H46" i="40"/>
  <c r="AC7" i="39"/>
  <c r="I47" i="39"/>
  <c r="I51" i="39"/>
  <c r="J51" i="39"/>
  <c r="W7" i="39"/>
  <c r="AB7" i="39"/>
  <c r="G47" i="39"/>
  <c r="U7" i="39"/>
  <c r="AA7" i="39"/>
  <c r="S7" i="39"/>
  <c r="E46" i="40"/>
  <c r="F46" i="40"/>
  <c r="E47" i="40"/>
  <c r="F47" i="40"/>
  <c r="I47" i="40"/>
  <c r="J47" i="40"/>
  <c r="C43" i="40"/>
  <c r="C42" i="40"/>
  <c r="G52" i="39"/>
  <c r="H52" i="39"/>
  <c r="G51" i="39"/>
  <c r="H51" i="39"/>
  <c r="E47" i="39"/>
  <c r="B57" i="40"/>
  <c r="F57" i="40"/>
  <c r="B56" i="40"/>
  <c r="F56" i="40"/>
  <c r="B53" i="40"/>
  <c r="F53" i="40"/>
  <c r="B52" i="40"/>
  <c r="F52" i="40"/>
  <c r="B55" i="40"/>
  <c r="F55" i="40"/>
  <c r="B59" i="40"/>
  <c r="F59" i="40"/>
  <c r="B54" i="40"/>
  <c r="F54" i="40"/>
  <c r="B58" i="40"/>
  <c r="F58" i="40"/>
  <c r="B51" i="40"/>
  <c r="F51" i="40"/>
  <c r="B60" i="40"/>
  <c r="F60" i="40"/>
  <c r="F61" i="40"/>
  <c r="B2" i="40"/>
  <c r="B3" i="40"/>
  <c r="E52" i="39"/>
  <c r="F52" i="39"/>
  <c r="E51" i="39"/>
  <c r="F51" i="39"/>
  <c r="I52" i="39"/>
  <c r="J52" i="39"/>
  <c r="C47" i="39"/>
  <c r="B3" i="39"/>
  <c r="D5" i="73"/>
  <c r="F9" i="15"/>
  <c r="F26" i="15"/>
  <c r="F13" i="15"/>
  <c r="F38" i="15"/>
  <c r="L48" i="15"/>
  <c r="F8" i="80"/>
  <c r="C14" i="80"/>
  <c r="F43" i="80"/>
  <c r="F40" i="80"/>
  <c r="M9" i="80"/>
  <c r="F7" i="78"/>
  <c r="C14" i="78"/>
  <c r="F43" i="78"/>
  <c r="F7" i="15"/>
  <c r="F16" i="15"/>
  <c r="F35" i="15"/>
  <c r="M8" i="15"/>
  <c r="F6" i="80"/>
  <c r="F13" i="80"/>
  <c r="F42" i="80"/>
  <c r="M8" i="78"/>
  <c r="M26" i="78"/>
  <c r="AO9" i="1"/>
  <c r="AO11" i="1"/>
  <c r="AO13" i="1"/>
  <c r="F42" i="67"/>
  <c r="F9" i="78"/>
  <c r="B13" i="76"/>
  <c r="M22" i="67"/>
  <c r="L47" i="15"/>
  <c r="E7" i="76"/>
  <c r="F26" i="67"/>
  <c r="F8" i="78"/>
  <c r="J15" i="67"/>
  <c r="F8" i="67"/>
  <c r="F20" i="31"/>
  <c r="D2" i="21"/>
  <c r="M28" i="15"/>
  <c r="M26" i="15"/>
  <c r="D2" i="35"/>
  <c r="D2" i="33"/>
  <c r="B11" i="76"/>
  <c r="F13" i="78"/>
  <c r="F6" i="78"/>
  <c r="F38" i="78"/>
  <c r="F36" i="80"/>
  <c r="L48" i="80"/>
  <c r="M22" i="78"/>
  <c r="M23" i="78"/>
  <c r="M28" i="78"/>
  <c r="F41" i="78"/>
  <c r="L48" i="67"/>
  <c r="F40" i="67"/>
  <c r="B10" i="76"/>
  <c r="M26" i="67"/>
  <c r="F36" i="67"/>
  <c r="F6" i="67"/>
  <c r="M28" i="67"/>
  <c r="E8" i="76"/>
  <c r="E2" i="68"/>
  <c r="F13" i="67"/>
  <c r="M8" i="67"/>
  <c r="M27" i="15"/>
  <c r="F38" i="67"/>
  <c r="D2" i="34"/>
  <c r="F43" i="67"/>
  <c r="M29" i="67"/>
  <c r="E11" i="76"/>
  <c r="F37" i="78"/>
  <c r="M27" i="79"/>
  <c r="M26" i="79"/>
  <c r="M9" i="79"/>
  <c r="D3" i="73"/>
  <c r="M27" i="80"/>
  <c r="M24" i="80"/>
  <c r="M28" i="79"/>
  <c r="D7" i="73"/>
  <c r="F26" i="79"/>
  <c r="F7" i="79"/>
  <c r="M21" i="80"/>
  <c r="F35" i="78"/>
  <c r="M29" i="78"/>
  <c r="C76" i="78"/>
  <c r="L48" i="79"/>
  <c r="F16" i="79"/>
  <c r="M24" i="79"/>
  <c r="F31" i="78"/>
  <c r="F38" i="79"/>
  <c r="M22" i="80"/>
  <c r="M22" i="79"/>
  <c r="F6" i="79"/>
  <c r="M21" i="15"/>
  <c r="D6" i="73"/>
  <c r="F8" i="15"/>
  <c r="F4" i="73"/>
  <c r="F36" i="15"/>
  <c r="F37" i="15"/>
  <c r="F42" i="15"/>
  <c r="M6" i="15"/>
  <c r="F9" i="80"/>
  <c r="F16" i="80"/>
  <c r="F35" i="80"/>
  <c r="M8" i="80"/>
  <c r="M6" i="78"/>
  <c r="M9" i="78"/>
  <c r="F16" i="78"/>
  <c r="F6" i="15"/>
  <c r="C14" i="15"/>
  <c r="F43" i="15"/>
  <c r="F40" i="15"/>
  <c r="M9" i="15"/>
  <c r="F26" i="80"/>
  <c r="F38" i="80"/>
  <c r="M6" i="80"/>
  <c r="F26" i="78"/>
  <c r="F40" i="78"/>
  <c r="AO10" i="1"/>
  <c r="AO12" i="1"/>
  <c r="E2" i="69"/>
  <c r="M23" i="15"/>
  <c r="L47" i="67"/>
  <c r="F3" i="73"/>
  <c r="D2" i="37"/>
  <c r="D2" i="36"/>
  <c r="F5" i="73"/>
  <c r="M21" i="67"/>
  <c r="F37" i="67"/>
  <c r="B7" i="76"/>
  <c r="F16" i="67"/>
  <c r="M24" i="15"/>
  <c r="E10" i="76"/>
  <c r="M6" i="67"/>
  <c r="E9" i="76"/>
  <c r="J15" i="15"/>
  <c r="M29" i="15"/>
  <c r="M27" i="67"/>
  <c r="F36" i="78"/>
  <c r="F42" i="78"/>
  <c r="F7" i="80"/>
  <c r="F37" i="80"/>
  <c r="M21" i="78"/>
  <c r="J15" i="78"/>
  <c r="M24" i="78"/>
  <c r="L48" i="78"/>
  <c r="F41" i="67"/>
  <c r="M9" i="67"/>
  <c r="E13" i="76"/>
  <c r="F35" i="67"/>
  <c r="M24" i="67"/>
  <c r="F7" i="73"/>
  <c r="F9" i="67"/>
  <c r="B9" i="76"/>
  <c r="C76" i="15"/>
  <c r="F6" i="73"/>
  <c r="M23" i="67"/>
  <c r="B12" i="76"/>
  <c r="C76" i="67"/>
  <c r="F7" i="67"/>
  <c r="M22" i="15"/>
  <c r="E12" i="76"/>
  <c r="B8" i="76"/>
  <c r="L47" i="78"/>
  <c r="M23" i="80"/>
  <c r="J15" i="79"/>
  <c r="C76" i="79"/>
  <c r="F37" i="79"/>
  <c r="M23" i="79"/>
  <c r="D4" i="73"/>
  <c r="M28" i="80"/>
  <c r="L47" i="79"/>
  <c r="F13" i="79"/>
  <c r="M29" i="79"/>
  <c r="F31" i="80"/>
  <c r="M21" i="79"/>
  <c r="E6" i="76"/>
  <c r="F31" i="67"/>
  <c r="M8" i="79"/>
  <c r="L47" i="80"/>
  <c r="F36" i="79"/>
  <c r="C76" i="80"/>
  <c r="M26" i="80"/>
  <c r="M6" i="79"/>
  <c r="F9" i="79"/>
  <c r="F42" i="79"/>
  <c r="F40" i="79"/>
  <c r="M29" i="80"/>
  <c r="F31" i="15"/>
  <c r="F35" i="79"/>
  <c r="B6" i="76"/>
  <c r="F8" i="79"/>
  <c r="F31" i="79" s="1"/>
  <c r="J15" i="80"/>
  <c r="F43" i="79"/>
  <c r="C14" i="79"/>
  <c r="E4" i="49" l="1"/>
  <c r="B11" i="49"/>
  <c r="B14" i="49"/>
  <c r="E16" i="49"/>
  <c r="B10" i="49"/>
  <c r="B8" i="49"/>
  <c r="D19" i="69"/>
  <c r="C19" i="69" s="1"/>
  <c r="B6" i="49"/>
  <c r="E21" i="49"/>
  <c r="B13" i="49"/>
  <c r="E22" i="49"/>
  <c r="B7" i="49"/>
  <c r="B23" i="49"/>
  <c r="E6" i="49"/>
  <c r="E10" i="49"/>
  <c r="E11" i="49"/>
  <c r="B9" i="49"/>
  <c r="E4" i="4" s="1"/>
  <c r="B5" i="62" s="1"/>
  <c r="B73" i="72" s="1"/>
  <c r="E7" i="49"/>
  <c r="E8" i="49"/>
  <c r="R16" i="1"/>
  <c r="C8" i="69"/>
  <c r="C5" i="69" s="1"/>
  <c r="C12" i="12"/>
  <c r="D19" i="68"/>
  <c r="D37" i="68" s="1"/>
  <c r="C37" i="68" s="1"/>
  <c r="C36" i="68"/>
  <c r="C5" i="68"/>
  <c r="H9" i="68"/>
  <c r="C47" i="68"/>
  <c r="D45" i="68" s="1"/>
  <c r="C18" i="12"/>
  <c r="C29" i="69"/>
  <c r="D27" i="69" s="1"/>
  <c r="C14" i="12"/>
  <c r="B2" i="76"/>
  <c r="J20" i="15"/>
  <c r="F63" i="79"/>
  <c r="C62" i="79" s="1"/>
  <c r="C34" i="79"/>
  <c r="C15" i="79"/>
  <c r="C18" i="79"/>
  <c r="C6" i="79"/>
  <c r="C43" i="79"/>
  <c r="F71" i="79"/>
  <c r="F68" i="79"/>
  <c r="F51" i="79"/>
  <c r="F66" i="79"/>
  <c r="Q71" i="80"/>
  <c r="F64" i="79"/>
  <c r="L59" i="80"/>
  <c r="M59" i="80"/>
  <c r="N59" i="80"/>
  <c r="L58" i="80"/>
  <c r="I54" i="79"/>
  <c r="L56" i="79"/>
  <c r="J57" i="79"/>
  <c r="J55" i="79" s="1"/>
  <c r="J58" i="79" s="1"/>
  <c r="Q50" i="79" s="1"/>
  <c r="J60" i="79"/>
  <c r="Q48" i="79" s="1"/>
  <c r="J59" i="79"/>
  <c r="L46" i="79"/>
  <c r="L57" i="79"/>
  <c r="J53" i="79"/>
  <c r="L60" i="79"/>
  <c r="Q71" i="78"/>
  <c r="E2" i="76"/>
  <c r="C34" i="78"/>
  <c r="F63" i="78"/>
  <c r="C62" i="78" s="1"/>
  <c r="J20" i="79"/>
  <c r="J20" i="80"/>
  <c r="F50" i="79"/>
  <c r="M7" i="79"/>
  <c r="C27" i="79"/>
  <c r="L59" i="79"/>
  <c r="M59" i="79"/>
  <c r="N59" i="79"/>
  <c r="L58" i="79"/>
  <c r="E20" i="43"/>
  <c r="F65" i="79"/>
  <c r="Q71" i="79"/>
  <c r="F65" i="78"/>
  <c r="N59" i="78"/>
  <c r="L59" i="78"/>
  <c r="L58" i="78"/>
  <c r="M59" i="78"/>
  <c r="F71" i="67"/>
  <c r="B2" i="34"/>
  <c r="B3" i="34" s="1"/>
  <c r="M7" i="67"/>
  <c r="J6" i="67" s="1"/>
  <c r="F50" i="67"/>
  <c r="F66" i="67"/>
  <c r="Q71" i="67"/>
  <c r="Q71" i="15"/>
  <c r="C6" i="67"/>
  <c r="F64" i="67"/>
  <c r="C34" i="67"/>
  <c r="F63" i="67"/>
  <c r="C62" i="67" s="1"/>
  <c r="F68" i="67"/>
  <c r="I54" i="67"/>
  <c r="L56" i="67"/>
  <c r="J57" i="67"/>
  <c r="J55" i="67" s="1"/>
  <c r="J58" i="67" s="1"/>
  <c r="Q50" i="67" s="1"/>
  <c r="F69" i="67"/>
  <c r="F69" i="78"/>
  <c r="J53" i="78"/>
  <c r="J57" i="78"/>
  <c r="J55" i="78" s="1"/>
  <c r="J58" i="78" s="1"/>
  <c r="Q50" i="78" s="1"/>
  <c r="I54" i="78"/>
  <c r="J60" i="78"/>
  <c r="Q48" i="78" s="1"/>
  <c r="L57" i="78"/>
  <c r="J59" i="78"/>
  <c r="L56" i="78"/>
  <c r="L60" i="78"/>
  <c r="J20" i="78"/>
  <c r="J53" i="80"/>
  <c r="J60" i="80"/>
  <c r="Q48" i="80" s="1"/>
  <c r="J59" i="80"/>
  <c r="J57" i="80"/>
  <c r="J55" i="80" s="1"/>
  <c r="J58" i="80" s="1"/>
  <c r="Q50" i="80" s="1"/>
  <c r="I54" i="80"/>
  <c r="L60" i="80"/>
  <c r="L56" i="80"/>
  <c r="L57" i="80"/>
  <c r="F65" i="80"/>
  <c r="F64" i="80"/>
  <c r="M7" i="80"/>
  <c r="J6" i="80" s="1"/>
  <c r="F50" i="80"/>
  <c r="F66" i="78"/>
  <c r="C6" i="78"/>
  <c r="F64" i="78"/>
  <c r="B2" i="33"/>
  <c r="B3" i="33" s="1"/>
  <c r="B2" i="35"/>
  <c r="B3" i="35" s="1"/>
  <c r="B2" i="21"/>
  <c r="B3" i="21" s="1"/>
  <c r="B20" i="31"/>
  <c r="F51" i="67"/>
  <c r="C49" i="67" s="1"/>
  <c r="F65" i="67"/>
  <c r="F51" i="78"/>
  <c r="J20" i="67"/>
  <c r="C27" i="67"/>
  <c r="B2" i="36"/>
  <c r="B3" i="36" s="1"/>
  <c r="M59" i="15"/>
  <c r="N59" i="15"/>
  <c r="L58" i="15"/>
  <c r="L59" i="15"/>
  <c r="B2" i="37"/>
  <c r="B3" i="37" s="1"/>
  <c r="L59" i="67"/>
  <c r="N59" i="67"/>
  <c r="L58" i="67"/>
  <c r="M59" i="67"/>
  <c r="F70" i="67"/>
  <c r="B13" i="70"/>
  <c r="B12" i="70"/>
  <c r="B11" i="70"/>
  <c r="B10" i="70"/>
  <c r="B9" i="70"/>
  <c r="F68" i="78"/>
  <c r="C27" i="78"/>
  <c r="F66" i="80"/>
  <c r="C27" i="80"/>
  <c r="C6" i="80"/>
  <c r="F68" i="15"/>
  <c r="C34" i="15"/>
  <c r="F63" i="15"/>
  <c r="C62" i="15" s="1"/>
  <c r="F71" i="15"/>
  <c r="C15" i="15"/>
  <c r="C18" i="15"/>
  <c r="M7" i="15"/>
  <c r="J6" i="15" s="1"/>
  <c r="F50" i="15"/>
  <c r="C6" i="15"/>
  <c r="C43" i="78"/>
  <c r="F71" i="78"/>
  <c r="C18" i="78"/>
  <c r="C15" i="78"/>
  <c r="M7" i="78"/>
  <c r="J6" i="78" s="1"/>
  <c r="F50" i="78"/>
  <c r="F68" i="80"/>
  <c r="C34" i="80"/>
  <c r="F63" i="80"/>
  <c r="C62" i="80" s="1"/>
  <c r="F71" i="80"/>
  <c r="C18" i="80"/>
  <c r="C15" i="80"/>
  <c r="F51" i="80"/>
  <c r="J60" i="15"/>
  <c r="Q48" i="15" s="1"/>
  <c r="J53" i="15"/>
  <c r="I54" i="15"/>
  <c r="J57" i="15"/>
  <c r="J55" i="15" s="1"/>
  <c r="J58" i="15" s="1"/>
  <c r="Q50" i="15" s="1"/>
  <c r="J59" i="15"/>
  <c r="L56" i="15"/>
  <c r="L60" i="15"/>
  <c r="L57" i="15"/>
  <c r="F66" i="15"/>
  <c r="F65" i="15"/>
  <c r="F64" i="15"/>
  <c r="C27" i="15"/>
  <c r="I1" i="73"/>
  <c r="B39" i="1" s="1"/>
  <c r="F51" i="15"/>
  <c r="K1" i="73"/>
  <c r="C20" i="68"/>
  <c r="C28" i="68" s="1"/>
  <c r="C27" i="68" s="1"/>
  <c r="C38" i="68"/>
  <c r="C17" i="79"/>
  <c r="F59" i="15"/>
  <c r="F59" i="80"/>
  <c r="C16" i="15"/>
  <c r="M17" i="78"/>
  <c r="F59" i="79"/>
  <c r="C14" i="67"/>
  <c r="M17" i="80"/>
  <c r="G1" i="73"/>
  <c r="M17" i="79"/>
  <c r="F59" i="67"/>
  <c r="C17" i="15"/>
  <c r="M17" i="15"/>
  <c r="C16" i="78"/>
  <c r="C17" i="80"/>
  <c r="F59" i="78"/>
  <c r="C16" i="67"/>
  <c r="M17" i="67"/>
  <c r="C16" i="79"/>
  <c r="C17" i="67"/>
  <c r="C17" i="78"/>
  <c r="C16" i="80"/>
  <c r="C49" i="80" l="1"/>
  <c r="C20" i="69"/>
  <c r="C28" i="69" s="1"/>
  <c r="C27" i="69" s="1"/>
  <c r="D37" i="69"/>
  <c r="C37" i="69" s="1"/>
  <c r="C33" i="69" s="1"/>
  <c r="C39" i="69" s="1"/>
  <c r="C46" i="69" s="1"/>
  <c r="C45" i="69" s="1"/>
  <c r="K4" i="4"/>
  <c r="B46" i="48" s="1"/>
  <c r="B4" i="72" s="1"/>
  <c r="C16" i="12"/>
  <c r="C21" i="12" s="1"/>
  <c r="C22" i="12" s="1"/>
  <c r="C30" i="12" s="1"/>
  <c r="C28" i="12" s="1"/>
  <c r="C33" i="68"/>
  <c r="C39" i="68" s="1"/>
  <c r="C46" i="68" s="1"/>
  <c r="C45" i="68" s="1"/>
  <c r="L46" i="78"/>
  <c r="C19" i="79"/>
  <c r="B40" i="1"/>
  <c r="C18" i="67"/>
  <c r="C15" i="67"/>
  <c r="C19" i="15"/>
  <c r="C19" i="80"/>
  <c r="C19" i="78"/>
  <c r="L46" i="15"/>
  <c r="Q60" i="15"/>
  <c r="Q73" i="15"/>
  <c r="C49" i="78"/>
  <c r="C49" i="15"/>
  <c r="Q57" i="15"/>
  <c r="Q66" i="15"/>
  <c r="F1" i="15"/>
  <c r="Q52" i="15"/>
  <c r="Q60" i="67"/>
  <c r="Q73" i="67"/>
  <c r="Q61" i="67"/>
  <c r="Q74" i="67"/>
  <c r="Q61" i="15"/>
  <c r="Q74" i="15"/>
  <c r="L46" i="80"/>
  <c r="Q66" i="78"/>
  <c r="Q57" i="78"/>
  <c r="Q52" i="78"/>
  <c r="F1" i="78"/>
  <c r="Q60" i="78"/>
  <c r="Q73" i="78"/>
  <c r="N17" i="43"/>
  <c r="M17" i="43"/>
  <c r="O17" i="43"/>
  <c r="P17" i="43"/>
  <c r="Q74" i="79"/>
  <c r="Q61" i="79"/>
  <c r="F1" i="79"/>
  <c r="Q52" i="79"/>
  <c r="Q60" i="80"/>
  <c r="Q73" i="80"/>
  <c r="J6" i="79"/>
  <c r="F11" i="80"/>
  <c r="M11" i="80"/>
  <c r="J10" i="80" s="1"/>
  <c r="J5" i="80" s="1"/>
  <c r="M11" i="78"/>
  <c r="J10" i="78" s="1"/>
  <c r="J5" i="78" s="1"/>
  <c r="F11" i="15"/>
  <c r="M11" i="15"/>
  <c r="J10" i="15" s="1"/>
  <c r="J5" i="15" s="1"/>
  <c r="F11" i="67"/>
  <c r="M11" i="67"/>
  <c r="J10" i="67" s="1"/>
  <c r="J5" i="67" s="1"/>
  <c r="M11" i="79"/>
  <c r="J10" i="79" s="1"/>
  <c r="F11" i="78"/>
  <c r="F11" i="79"/>
  <c r="Q57" i="80"/>
  <c r="Q66" i="80"/>
  <c r="F1" i="80"/>
  <c r="Q52" i="80"/>
  <c r="Q74" i="78"/>
  <c r="Q61" i="78"/>
  <c r="Q60" i="79"/>
  <c r="Q73" i="79"/>
  <c r="Q66" i="79"/>
  <c r="Q57" i="79"/>
  <c r="Q61" i="80"/>
  <c r="Q74" i="80"/>
  <c r="C49" i="79"/>
  <c r="B3" i="76"/>
  <c r="AE7" i="1"/>
  <c r="F41" i="79"/>
  <c r="AE8" i="1"/>
  <c r="AE6" i="1"/>
  <c r="F41" i="80"/>
  <c r="C19" i="67" l="1"/>
  <c r="C20" i="67" s="1"/>
  <c r="C26" i="67" s="1"/>
  <c r="F69" i="80"/>
  <c r="F69" i="79"/>
  <c r="AG8" i="1"/>
  <c r="J24" i="67"/>
  <c r="J18" i="67"/>
  <c r="J26" i="67"/>
  <c r="J29" i="67" s="1"/>
  <c r="J26" i="15"/>
  <c r="J18" i="15"/>
  <c r="J24" i="15"/>
  <c r="J18" i="78"/>
  <c r="J24" i="78"/>
  <c r="J26" i="80"/>
  <c r="J29" i="80" s="1"/>
  <c r="J24" i="80"/>
  <c r="J18" i="80"/>
  <c r="C53" i="78"/>
  <c r="C48" i="78" s="1"/>
  <c r="C10" i="78"/>
  <c r="C5" i="78" s="1"/>
  <c r="C10" i="80"/>
  <c r="C5" i="80" s="1"/>
  <c r="C53" i="80"/>
  <c r="C48" i="80" s="1"/>
  <c r="J5" i="79"/>
  <c r="C20" i="15"/>
  <c r="C26" i="15" s="1"/>
  <c r="F24" i="15"/>
  <c r="C24" i="15" s="1"/>
  <c r="F22" i="68"/>
  <c r="F24" i="80"/>
  <c r="C24" i="80" s="1"/>
  <c r="F24" i="78"/>
  <c r="C24" i="78" s="1"/>
  <c r="F24" i="67"/>
  <c r="C24" i="67" s="1"/>
  <c r="F25" i="12"/>
  <c r="F24" i="79"/>
  <c r="C24" i="79" s="1"/>
  <c r="F22" i="69"/>
  <c r="F22" i="11"/>
  <c r="C10" i="79"/>
  <c r="C5" i="79" s="1"/>
  <c r="C53" i="79"/>
  <c r="C48" i="79" s="1"/>
  <c r="C10" i="67"/>
  <c r="C5" i="67" s="1"/>
  <c r="C53" i="67"/>
  <c r="C48" i="67" s="1"/>
  <c r="C10" i="15"/>
  <c r="C5" i="15" s="1"/>
  <c r="C53" i="15"/>
  <c r="C48" i="15" s="1"/>
  <c r="C20" i="78"/>
  <c r="C23" i="78" s="1"/>
  <c r="C20" i="80"/>
  <c r="C20" i="79"/>
  <c r="C26" i="79" s="1"/>
  <c r="F41" i="15"/>
  <c r="M27" i="78"/>
  <c r="F69" i="15" l="1"/>
  <c r="J29" i="15"/>
  <c r="C23" i="80"/>
  <c r="C23" i="79"/>
  <c r="C29" i="79" s="1"/>
  <c r="C23" i="67"/>
  <c r="C29" i="67" s="1"/>
  <c r="C26" i="80"/>
  <c r="C26" i="78"/>
  <c r="C29" i="78" s="1"/>
  <c r="J14" i="78" s="1"/>
  <c r="C23" i="15"/>
  <c r="C29" i="15" s="1"/>
  <c r="C36" i="15" s="1"/>
  <c r="C60" i="15"/>
  <c r="C66" i="15"/>
  <c r="C60" i="79"/>
  <c r="C66" i="79"/>
  <c r="C66" i="78"/>
  <c r="C60" i="78"/>
  <c r="C32" i="15"/>
  <c r="C38" i="15"/>
  <c r="C38" i="67"/>
  <c r="C32" i="67"/>
  <c r="C38" i="79"/>
  <c r="C32" i="79"/>
  <c r="C44" i="11"/>
  <c r="D41" i="11" s="1"/>
  <c r="C26" i="11"/>
  <c r="D22" i="11" s="1"/>
  <c r="C23" i="11"/>
  <c r="C24" i="11"/>
  <c r="C25" i="11"/>
  <c r="C42" i="11"/>
  <c r="C43" i="11"/>
  <c r="C66" i="80"/>
  <c r="C60" i="80"/>
  <c r="C38" i="78"/>
  <c r="C32" i="78"/>
  <c r="C66" i="67"/>
  <c r="C60" i="67"/>
  <c r="C23" i="69"/>
  <c r="C24" i="69"/>
  <c r="C26" i="69"/>
  <c r="D22" i="69" s="1"/>
  <c r="C44" i="69"/>
  <c r="D41" i="69" s="1"/>
  <c r="C42" i="69"/>
  <c r="C43" i="69"/>
  <c r="C25" i="69"/>
  <c r="C26" i="12"/>
  <c r="D25" i="12" s="1"/>
  <c r="C27" i="12"/>
  <c r="C25" i="12" s="1"/>
  <c r="C44" i="68"/>
  <c r="D41" i="68" s="1"/>
  <c r="C24" i="68"/>
  <c r="C26" i="68"/>
  <c r="D22" i="68" s="1"/>
  <c r="C23" i="68"/>
  <c r="C42" i="68"/>
  <c r="C25" i="68"/>
  <c r="C43" i="68"/>
  <c r="J26" i="79"/>
  <c r="J29" i="79" s="1"/>
  <c r="J18" i="79"/>
  <c r="J24" i="79"/>
  <c r="C38" i="80"/>
  <c r="C32" i="80"/>
  <c r="C33" i="15" l="1"/>
  <c r="C31" i="15" s="1"/>
  <c r="C13" i="79"/>
  <c r="C56" i="79" s="1"/>
  <c r="C65" i="79" s="1"/>
  <c r="C57" i="79"/>
  <c r="C61" i="79" s="1"/>
  <c r="C59" i="79" s="1"/>
  <c r="C29" i="80"/>
  <c r="C33" i="80" s="1"/>
  <c r="C31" i="80" s="1"/>
  <c r="C33" i="79"/>
  <c r="C31" i="79" s="1"/>
  <c r="J19" i="15"/>
  <c r="J17" i="15" s="1"/>
  <c r="J14" i="67"/>
  <c r="J13" i="67" s="1"/>
  <c r="J23" i="67" s="1"/>
  <c r="C33" i="67"/>
  <c r="C31" i="67" s="1"/>
  <c r="J59" i="67"/>
  <c r="J60" i="67" s="1"/>
  <c r="Q48" i="67" s="1"/>
  <c r="C36" i="80"/>
  <c r="J14" i="15"/>
  <c r="J13" i="15" s="1"/>
  <c r="J23" i="15" s="1"/>
  <c r="C13" i="15"/>
  <c r="C37" i="15" s="1"/>
  <c r="C57" i="78"/>
  <c r="C64" i="78" s="1"/>
  <c r="C33" i="78"/>
  <c r="C31" i="78" s="1"/>
  <c r="J19" i="78"/>
  <c r="J17" i="78" s="1"/>
  <c r="C36" i="78"/>
  <c r="C13" i="78"/>
  <c r="C56" i="78" s="1"/>
  <c r="C65" i="78" s="1"/>
  <c r="Q49" i="78"/>
  <c r="C57" i="15"/>
  <c r="C61" i="15" s="1"/>
  <c r="C59" i="15" s="1"/>
  <c r="Q49" i="15"/>
  <c r="C32" i="12"/>
  <c r="B2" i="12" s="1"/>
  <c r="B3" i="12" s="1"/>
  <c r="C41" i="69"/>
  <c r="C49" i="69" s="1"/>
  <c r="C51" i="69" s="1"/>
  <c r="Q49" i="79"/>
  <c r="J19" i="79"/>
  <c r="J17" i="79" s="1"/>
  <c r="J19" i="67"/>
  <c r="J17" i="67" s="1"/>
  <c r="C13" i="67"/>
  <c r="Q70" i="67" s="1"/>
  <c r="C36" i="79"/>
  <c r="J14" i="79"/>
  <c r="J22" i="79" s="1"/>
  <c r="C57" i="67"/>
  <c r="C64" i="67" s="1"/>
  <c r="C36" i="67"/>
  <c r="Q49" i="67"/>
  <c r="C41" i="68"/>
  <c r="C49" i="68" s="1"/>
  <c r="C51" i="68" s="1"/>
  <c r="C41" i="11"/>
  <c r="C49" i="11" s="1"/>
  <c r="C51" i="11" s="1"/>
  <c r="J22" i="78"/>
  <c r="J13" i="78"/>
  <c r="J23" i="78" s="1"/>
  <c r="B2" i="79"/>
  <c r="B3" i="79" s="1"/>
  <c r="Q56" i="79"/>
  <c r="Q62" i="79" s="1"/>
  <c r="Q65" i="79"/>
  <c r="Q75" i="79" s="1"/>
  <c r="Q47" i="79"/>
  <c r="Q53" i="79" s="1"/>
  <c r="C22" i="68"/>
  <c r="C31" i="68" s="1"/>
  <c r="C22" i="69"/>
  <c r="C31" i="69" s="1"/>
  <c r="C22" i="11"/>
  <c r="C31" i="11" s="1"/>
  <c r="C75" i="79" l="1"/>
  <c r="C83" i="79"/>
  <c r="C82" i="79" s="1"/>
  <c r="C37" i="78"/>
  <c r="C30" i="78" s="1"/>
  <c r="C39" i="78" s="1"/>
  <c r="C56" i="15"/>
  <c r="C65" i="15" s="1"/>
  <c r="C57" i="80"/>
  <c r="C64" i="80" s="1"/>
  <c r="C61" i="78"/>
  <c r="C59" i="78" s="1"/>
  <c r="C58" i="78" s="1"/>
  <c r="C67" i="78" s="1"/>
  <c r="C68" i="78" s="1"/>
  <c r="L46" i="67"/>
  <c r="J22" i="15"/>
  <c r="J16" i="15" s="1"/>
  <c r="J25" i="15" s="1"/>
  <c r="C64" i="79"/>
  <c r="C58" i="79" s="1"/>
  <c r="C67" i="79" s="1"/>
  <c r="C68" i="79" s="1"/>
  <c r="J13" i="79"/>
  <c r="J23" i="79" s="1"/>
  <c r="J16" i="79" s="1"/>
  <c r="J25" i="79" s="1"/>
  <c r="Q70" i="79"/>
  <c r="C37" i="79"/>
  <c r="C64" i="15"/>
  <c r="Q70" i="78"/>
  <c r="J19" i="80"/>
  <c r="J17" i="80" s="1"/>
  <c r="J22" i="67"/>
  <c r="J16" i="67" s="1"/>
  <c r="J25" i="67" s="1"/>
  <c r="Q70" i="15"/>
  <c r="C30" i="79"/>
  <c r="C39" i="79" s="1"/>
  <c r="C13" i="80"/>
  <c r="Q70" i="80" s="1"/>
  <c r="C61" i="67"/>
  <c r="C59" i="67" s="1"/>
  <c r="C75" i="15"/>
  <c r="Q49" i="80"/>
  <c r="J14" i="80"/>
  <c r="C83" i="78"/>
  <c r="C82" i="78" s="1"/>
  <c r="C37" i="67"/>
  <c r="C30" i="67" s="1"/>
  <c r="C39" i="67" s="1"/>
  <c r="C40" i="67" s="1"/>
  <c r="C52" i="11"/>
  <c r="B2" i="11" s="1"/>
  <c r="B3" i="11" s="1"/>
  <c r="C52" i="68"/>
  <c r="B2" i="68" s="1"/>
  <c r="B3" i="68" s="1"/>
  <c r="C56" i="67"/>
  <c r="C65" i="67" s="1"/>
  <c r="C75" i="78"/>
  <c r="J16" i="78"/>
  <c r="J25" i="78" s="1"/>
  <c r="J26" i="78" s="1"/>
  <c r="J29" i="78" s="1"/>
  <c r="B2" i="78" s="1"/>
  <c r="C52" i="69"/>
  <c r="B2" i="69" s="1"/>
  <c r="B3" i="69" s="1"/>
  <c r="C75" i="67"/>
  <c r="C30" i="15"/>
  <c r="C39" i="15" s="1"/>
  <c r="C20" i="9"/>
  <c r="AO8" i="1"/>
  <c r="L51" i="79"/>
  <c r="L51" i="67"/>
  <c r="C19" i="9"/>
  <c r="C80" i="79" l="1"/>
  <c r="C79" i="79" s="1"/>
  <c r="C58" i="15"/>
  <c r="C67" i="15" s="1"/>
  <c r="C68" i="15" s="1"/>
  <c r="C71" i="15" s="1"/>
  <c r="C61" i="80"/>
  <c r="C59" i="80" s="1"/>
  <c r="Q69" i="79"/>
  <c r="Q68" i="79" s="1"/>
  <c r="C57" i="68"/>
  <c r="C56" i="68" s="1"/>
  <c r="C58" i="67"/>
  <c r="C67" i="67" s="1"/>
  <c r="C68" i="67" s="1"/>
  <c r="C71" i="67" s="1"/>
  <c r="Q69" i="67"/>
  <c r="Q68" i="67" s="1"/>
  <c r="C80" i="67"/>
  <c r="C79" i="67" s="1"/>
  <c r="Q65" i="78"/>
  <c r="Q75" i="78" s="1"/>
  <c r="C37" i="80"/>
  <c r="C30" i="80" s="1"/>
  <c r="C39" i="80" s="1"/>
  <c r="C75" i="80"/>
  <c r="C56" i="80"/>
  <c r="C65" i="80" s="1"/>
  <c r="J22" i="80"/>
  <c r="J13" i="80"/>
  <c r="J23" i="80" s="1"/>
  <c r="C57" i="69"/>
  <c r="C56" i="69" s="1"/>
  <c r="C102" i="9"/>
  <c r="C21" i="9"/>
  <c r="C56" i="11"/>
  <c r="C57" i="11" s="1"/>
  <c r="Q56" i="78"/>
  <c r="Q62" i="78" s="1"/>
  <c r="Q47" i="78"/>
  <c r="Q53" i="78" s="1"/>
  <c r="Q67" i="67"/>
  <c r="L57" i="67"/>
  <c r="L60" i="67" s="1"/>
  <c r="B8" i="70"/>
  <c r="Q67" i="79"/>
  <c r="C103" i="9"/>
  <c r="Q69" i="78"/>
  <c r="Q68" i="78" s="1"/>
  <c r="C46" i="78"/>
  <c r="C71" i="78"/>
  <c r="C71" i="79"/>
  <c r="C46" i="79"/>
  <c r="B3" i="78"/>
  <c r="C40" i="15"/>
  <c r="Q69" i="15"/>
  <c r="Q68" i="15" s="1"/>
  <c r="C80" i="15"/>
  <c r="C79" i="15" s="1"/>
  <c r="Q47" i="67"/>
  <c r="Q53" i="67" s="1"/>
  <c r="Q65" i="67"/>
  <c r="D2" i="67"/>
  <c r="C43" i="67"/>
  <c r="Q56" i="67"/>
  <c r="C83" i="67"/>
  <c r="C82" i="67" s="1"/>
  <c r="C80" i="78"/>
  <c r="C79" i="78" s="1"/>
  <c r="C45" i="67"/>
  <c r="C46" i="67" s="1"/>
  <c r="L51" i="80"/>
  <c r="L51" i="15"/>
  <c r="L51" i="78"/>
  <c r="C58" i="80" l="1"/>
  <c r="C67" i="80" s="1"/>
  <c r="C68" i="80" s="1"/>
  <c r="C71" i="80" s="1"/>
  <c r="C80" i="80"/>
  <c r="C79" i="80" s="1"/>
  <c r="Q67" i="80"/>
  <c r="C40" i="80"/>
  <c r="Q69" i="80"/>
  <c r="Q68" i="80" s="1"/>
  <c r="J16" i="80"/>
  <c r="J25" i="80" s="1"/>
  <c r="Q67" i="15"/>
  <c r="Q67" i="78"/>
  <c r="Q66" i="67"/>
  <c r="Q75" i="67" s="1"/>
  <c r="Q57" i="67"/>
  <c r="Q62" i="67" s="1"/>
  <c r="B3" i="67"/>
  <c r="B2" i="67"/>
  <c r="B2" i="15"/>
  <c r="Q47" i="15"/>
  <c r="Q53" i="15" s="1"/>
  <c r="Q56" i="15"/>
  <c r="Q62" i="15" s="1"/>
  <c r="C43" i="15"/>
  <c r="Q65" i="15"/>
  <c r="Q75" i="15" s="1"/>
  <c r="C83" i="15"/>
  <c r="C82" i="15" s="1"/>
  <c r="C46" i="15"/>
  <c r="AO6" i="1"/>
  <c r="C43" i="80" l="1"/>
  <c r="B2" i="80"/>
  <c r="Q65" i="80"/>
  <c r="Q75" i="80" s="1"/>
  <c r="Q56" i="80"/>
  <c r="Q62" i="80" s="1"/>
  <c r="C46" i="80"/>
  <c r="Q47" i="80"/>
  <c r="Q53" i="80" s="1"/>
  <c r="C83" i="80"/>
  <c r="C82" i="80" s="1"/>
  <c r="B6" i="70"/>
  <c r="B3" i="15"/>
  <c r="AO7" i="1"/>
  <c r="B7" i="70" l="1"/>
  <c r="B2" i="70" s="1"/>
  <c r="B3" i="80"/>
  <c r="D19" i="9"/>
  <c r="D102" i="9" l="1"/>
  <c r="G19" i="9"/>
  <c r="C32" i="9" s="1"/>
  <c r="H118" i="9" s="1"/>
  <c r="K8" i="81" s="1"/>
  <c r="D21" i="9"/>
  <c r="D22" i="9"/>
  <c r="B3" i="70"/>
  <c r="D20" i="9"/>
  <c r="K15" i="81" l="1"/>
  <c r="E23" i="81" s="1"/>
  <c r="F35" i="9"/>
  <c r="C35" i="9" s="1"/>
  <c r="F118" i="9" s="1"/>
  <c r="G21" i="9"/>
  <c r="D103" i="9"/>
  <c r="G20" i="9"/>
  <c r="H101" i="9"/>
  <c r="C104" i="9"/>
  <c r="D14" i="74"/>
  <c r="H119" i="9"/>
  <c r="H5" i="52" s="1"/>
  <c r="H4" i="52"/>
  <c r="I118" i="9"/>
  <c r="J8" i="81" s="1"/>
  <c r="E41" i="81" s="1"/>
  <c r="F53" i="81" s="1"/>
  <c r="E3" i="81" l="1"/>
  <c r="F3" i="81" s="1"/>
  <c r="F23" i="81"/>
  <c r="K14" i="81"/>
  <c r="E2" i="81" s="1"/>
  <c r="K11" i="81"/>
  <c r="E7" i="81" s="1"/>
  <c r="E16" i="81" s="1"/>
  <c r="E25" i="81" s="1"/>
  <c r="F25" i="81" s="1"/>
  <c r="K13" i="81"/>
  <c r="E21" i="81" s="1"/>
  <c r="E22" i="81" s="1"/>
  <c r="K12" i="81"/>
  <c r="E4" i="81" s="1"/>
  <c r="D35" i="9"/>
  <c r="F119" i="9"/>
  <c r="F5" i="52" s="1"/>
  <c r="B53" i="72" s="1"/>
  <c r="F4" i="52"/>
  <c r="B51" i="72" s="1"/>
  <c r="G118" i="9"/>
  <c r="G4" i="52" s="1"/>
  <c r="B52" i="72" s="1"/>
  <c r="C105" i="9"/>
  <c r="I4" i="52"/>
  <c r="H102" i="9"/>
  <c r="D7" i="53" s="1"/>
  <c r="B21" i="72" s="1"/>
  <c r="E14" i="74"/>
  <c r="B5" i="74"/>
  <c r="F14" i="74"/>
  <c r="J101" i="9"/>
  <c r="H107" i="9"/>
  <c r="D45" i="9"/>
  <c r="D5" i="53"/>
  <c r="M48" i="9"/>
  <c r="F34" i="9"/>
  <c r="C34" i="9" s="1"/>
  <c r="F16" i="81" l="1"/>
  <c r="E39" i="81"/>
  <c r="F51" i="81" s="1"/>
  <c r="E13" i="81"/>
  <c r="F13" i="81" s="1"/>
  <c r="E8" i="81"/>
  <c r="F8" i="81" s="1"/>
  <c r="E17" i="81"/>
  <c r="F17" i="81" s="1"/>
  <c r="E19" i="81"/>
  <c r="F19" i="81" s="1"/>
  <c r="F2" i="81"/>
  <c r="F7" i="81"/>
  <c r="E14" i="81"/>
  <c r="F14" i="81" s="1"/>
  <c r="E18" i="81"/>
  <c r="F18" i="81" s="1"/>
  <c r="E20" i="81"/>
  <c r="F20" i="81" s="1"/>
  <c r="F22" i="81"/>
  <c r="F4" i="81"/>
  <c r="D118" i="9"/>
  <c r="D34" i="9"/>
  <c r="D6" i="53"/>
  <c r="B22" i="72" s="1"/>
  <c r="B20" i="72"/>
  <c r="H108" i="9"/>
  <c r="D15" i="53" s="1"/>
  <c r="B31" i="72" s="1"/>
  <c r="D122" i="9"/>
  <c r="D13" i="53"/>
  <c r="C78" i="9"/>
  <c r="C73" i="9" s="1"/>
  <c r="D52" i="9"/>
  <c r="D53" i="9"/>
  <c r="D55" i="9"/>
  <c r="M53" i="9" s="1"/>
  <c r="C64" i="9"/>
  <c r="C63" i="9" s="1"/>
  <c r="C67" i="9" s="1"/>
  <c r="C68" i="9" s="1"/>
  <c r="D54" i="9" s="1"/>
  <c r="C72" i="9"/>
  <c r="C85" i="9"/>
  <c r="C93" i="9"/>
  <c r="C86" i="9" s="1"/>
  <c r="C5" i="74"/>
  <c r="D5" i="74"/>
  <c r="E9" i="81" l="1"/>
  <c r="F9" i="81" s="1"/>
  <c r="F21" i="81"/>
  <c r="F24" i="81" s="1"/>
  <c r="E12" i="81"/>
  <c r="E5" i="81"/>
  <c r="F5" i="81" s="1"/>
  <c r="F6" i="81" s="1"/>
  <c r="E10" i="81"/>
  <c r="F10" i="81" s="1"/>
  <c r="C79" i="9"/>
  <c r="C80" i="9" s="1"/>
  <c r="E80" i="9" s="1"/>
  <c r="E81" i="9" s="1"/>
  <c r="C95" i="9"/>
  <c r="G14" i="74"/>
  <c r="B6" i="74" s="1"/>
  <c r="D123" i="9"/>
  <c r="D9" i="52" s="1"/>
  <c r="D8" i="52"/>
  <c r="D14" i="53"/>
  <c r="B32" i="72" s="1"/>
  <c r="B30" i="72"/>
  <c r="D119" i="9"/>
  <c r="D5" i="52" s="1"/>
  <c r="B49" i="72" s="1"/>
  <c r="E118" i="9"/>
  <c r="E4" i="52" s="1"/>
  <c r="B48" i="72" s="1"/>
  <c r="D4" i="52"/>
  <c r="B47" i="72" s="1"/>
  <c r="F38" i="81" l="1"/>
  <c r="E50" i="81" s="1"/>
  <c r="E24" i="81"/>
  <c r="E38" i="81" s="1"/>
  <c r="F50" i="81" s="1"/>
  <c r="F35" i="81"/>
  <c r="E47" i="81" s="1"/>
  <c r="E6" i="81"/>
  <c r="E35" i="81" s="1"/>
  <c r="F47" i="81" s="1"/>
  <c r="F12" i="81"/>
  <c r="F15" i="81" s="1"/>
  <c r="F11" i="81"/>
  <c r="C6" i="74"/>
  <c r="D6" i="74"/>
  <c r="C81" i="9"/>
  <c r="C96" i="9"/>
  <c r="E96" i="9" s="1"/>
  <c r="E97" i="9" s="1"/>
  <c r="F26" i="81" l="1"/>
  <c r="E26" i="81" s="1"/>
  <c r="F37" i="81"/>
  <c r="E49" i="81" s="1"/>
  <c r="E15" i="81"/>
  <c r="E37" i="81" s="1"/>
  <c r="F49" i="81" s="1"/>
  <c r="F36" i="81"/>
  <c r="E48" i="81" s="1"/>
  <c r="E11" i="81"/>
  <c r="E36" i="81" s="1"/>
  <c r="F48" i="81" s="1"/>
  <c r="C97" i="9"/>
  <c r="D58" i="9" s="1"/>
  <c r="D56" i="9" s="1"/>
  <c r="M54" i="9" s="1"/>
  <c r="N57" i="9" s="1"/>
  <c r="P57" i="9" s="1"/>
  <c r="N59" i="9" l="1"/>
  <c r="N60" i="9" s="1"/>
  <c r="N58" i="9"/>
  <c r="N61" i="9" l="1"/>
  <c r="F27" i="81" l="1"/>
  <c r="F39" i="81"/>
  <c r="E51" i="81" s="1"/>
  <c r="G27" i="81" l="1"/>
  <c r="F41" i="81"/>
  <c r="E53" i="81" s="1"/>
  <c r="E40" i="81"/>
  <c r="F52" i="81" s="1"/>
  <c r="F40" i="81"/>
  <c r="E52"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<sst xmlns="http://schemas.openxmlformats.org/spreadsheetml/2006/main" count="8732" uniqueCount="3206">
  <si>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</si>
  <si>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</si>
  <si>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</si>
  <si>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</si>
  <si>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</si>
  <si>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</si>
  <si>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</si>
  <si>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</si>
  <si>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</si>
  <si>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</si>
  <si>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</si>
  <si>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</si>
  <si>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</si>
  <si>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</si>
  <si>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</si>
  <si>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</si>
  <si>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</si>
  <si>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</si>
  <si>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</si>
  <si>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</si>
  <si>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</si>
  <si>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</si>
  <si>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</si>
  <si>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</si>
  <si>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</si>
  <si>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</si>
  <si>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</si>
  <si>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</si>
  <si>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</si>
  <si>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</si>
  <si>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</si>
  <si>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</si>
  <si>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</si>
  <si>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</si>
  <si>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</si>
  <si>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</si>
  <si>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</si>
  <si>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</si>
  <si>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</si>
  <si>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</si>
  <si>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</si>
  <si>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</si>
  <si>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</si>
  <si>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</si>
  <si>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</si>
  <si>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</si>
  <si>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</si>
  <si>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</si>
  <si>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</si>
  <si>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</si>
  <si>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</si>
  <si>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</si>
  <si>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</si>
  <si>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</si>
  <si>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</si>
  <si>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</si>
  <si>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</si>
  <si>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</si>
  <si>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</si>
  <si>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</si>
  <si>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</si>
  <si>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</si>
  <si>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</si>
  <si>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</si>
  <si>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</si>
  <si>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</si>
  <si>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</si>
  <si>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</si>
  <si>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</si>
  <si>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</si>
  <si>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</si>
  <si>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</si>
  <si>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</si>
  <si>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</si>
  <si>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</si>
  <si>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</si>
  <si>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</si>
  <si>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</si>
  <si>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</si>
  <si>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</si>
  <si>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</si>
  <si>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</si>
  <si>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</si>
  <si>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</si>
  <si>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</si>
  <si>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</si>
  <si>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</si>
  <si>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</si>
  <si>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</si>
  <si>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</si>
  <si>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</si>
  <si>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</si>
  <si>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</si>
  <si>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</si>
  <si>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</si>
  <si>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</si>
  <si>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</si>
  <si>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</si>
  <si>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</si>
  <si>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</si>
  <si>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</si>
  <si>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</si>
  <si>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</si>
  <si>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</si>
  <si>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</si>
  <si>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</si>
  <si>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</si>
  <si>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</si>
  <si>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</si>
  <si>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</si>
  <si>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</si>
  <si>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</si>
  <si>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</si>
  <si>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</si>
  <si>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</si>
  <si>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</si>
  <si>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</si>
  <si>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</si>
  <si>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</si>
  <si>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</si>
  <si>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</si>
  <si>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</si>
  <si>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</si>
  <si>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</si>
  <si>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</si>
  <si>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</si>
  <si>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</si>
  <si>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</si>
  <si>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</si>
  <si>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</si>
  <si>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</si>
  <si>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</si>
  <si>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</si>
  <si>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</si>
  <si>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</si>
  <si>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</si>
  <si>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</si>
  <si>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</si>
  <si>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</si>
  <si>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</si>
  <si>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</si>
  <si>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</si>
  <si>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</si>
  <si>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</si>
  <si>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</si>
  <si>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</si>
  <si>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</si>
  <si>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</si>
  <si>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</si>
  <si>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</si>
  <si>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</si>
  <si>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</si>
  <si>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</si>
  <si>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</si>
  <si>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</si>
  <si>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</si>
  <si>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</si>
  <si>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</si>
  <si>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</si>
  <si>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</si>
  <si>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</si>
  <si>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</si>
  <si>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</si>
  <si>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</si>
  <si>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</si>
  <si>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</si>
  <si>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</si>
  <si>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</si>
  <si>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</si>
  <si>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</si>
  <si>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</si>
  <si>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</si>
  <si>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</si>
  <si>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</si>
  <si>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</si>
  <si>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</si>
  <si>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</si>
  <si>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</si>
  <si>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</si>
  <si>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</si>
  <si>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</si>
  <si>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</si>
  <si>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</si>
  <si>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</si>
  <si>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</si>
  <si>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</si>
  <si>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</si>
  <si>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</si>
  <si>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</si>
  <si>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</si>
  <si>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</si>
  <si>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</si>
  <si>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</si>
  <si>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</si>
  <si>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</si>
  <si>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</si>
  <si>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</si>
  <si>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</si>
  <si>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</si>
  <si>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</si>
  <si>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</si>
  <si>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</si>
  <si>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</si>
  <si>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</si>
  <si>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</si>
  <si>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</si>
  <si>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</si>
  <si>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</si>
  <si>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</si>
  <si>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</si>
  <si>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</si>
  <si>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</si>
  <si>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</si>
  <si>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</si>
  <si>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</si>
  <si>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</si>
  <si>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</si>
  <si>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</si>
  <si>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</si>
  <si>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</si>
  <si>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</si>
  <si>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</si>
  <si>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</si>
  <si>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</si>
  <si>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</si>
  <si>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</si>
  <si>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</si>
  <si>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</si>
  <si>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</si>
  <si>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</si>
  <si>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</si>
  <si>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</si>
  <si>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</si>
  <si>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</si>
  <si>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</si>
  <si>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</si>
  <si>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</si>
  <si>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</si>
  <si>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</si>
  <si>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</si>
  <si>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</si>
  <si>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</si>
  <si>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</si>
  <si>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</si>
  <si>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</si>
  <si>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</si>
  <si>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</si>
  <si>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</si>
  <si>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</si>
  <si>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</si>
  <si>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</si>
  <si>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</si>
  <si>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</si>
  <si>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</si>
  <si>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</si>
  <si>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</si>
  <si>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</si>
  <si>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</si>
  <si>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</si>
  <si>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</si>
  <si>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</si>
  <si>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</si>
  <si>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</si>
  <si>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</si>
  <si>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</si>
  <si>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</si>
  <si>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</si>
  <si>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</si>
  <si>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</si>
  <si>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</si>
  <si>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</si>
  <si>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</si>
  <si>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</si>
  <si>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</si>
  <si>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</si>
  <si>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</si>
  <si>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</si>
  <si>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</si>
  <si>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</si>
  <si>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</si>
  <si>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</si>
  <si>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</si>
  <si>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</si>
  <si>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</si>
  <si>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</si>
  <si>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</si>
  <si>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</si>
  <si>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</si>
  <si>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</si>
  <si>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</si>
  <si>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</si>
  <si>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</si>
  <si>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</si>
  <si>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</si>
  <si>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</si>
  <si>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</si>
  <si>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</si>
  <si>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</si>
  <si>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</si>
  <si>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</si>
  <si>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</si>
  <si>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</si>
  <si>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</si>
  <si>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</si>
  <si>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</si>
  <si>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</si>
  <si>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</si>
  <si>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</si>
  <si>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</si>
  <si>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</si>
  <si>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</si>
  <si>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</si>
  <si>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</si>
  <si>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</si>
  <si>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</si>
  <si>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</si>
  <si>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</si>
  <si>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</si>
  <si>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</si>
  <si>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</si>
  <si>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</si>
  <si>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</si>
  <si>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</si>
  <si>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</si>
  <si>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</si>
  <si>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</si>
  <si>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</si>
  <si>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</si>
  <si>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</si>
  <si>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</si>
  <si>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</si>
  <si>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</si>
  <si>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</si>
  <si>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</si>
  <si>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</si>
  <si>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</si>
  <si>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</si>
  <si>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</si>
  <si>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</si>
  <si>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</si>
  <si>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</si>
  <si>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</si>
  <si>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</si>
  <si>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</si>
  <si>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</si>
  <si>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</si>
  <si>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</si>
  <si>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</si>
  <si>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</si>
  <si>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</si>
  <si>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</si>
  <si>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</si>
  <si>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</si>
  <si>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</si>
  <si>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</si>
  <si>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</si>
  <si>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</si>
  <si>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</si>
  <si>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</si>
  <si>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</si>
  <si>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</si>
  <si>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</si>
  <si>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</si>
  <si>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</si>
  <si>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</si>
  <si>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</si>
  <si>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</si>
  <si>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</si>
  <si>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</si>
  <si>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</si>
  <si>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</si>
  <si>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</si>
  <si>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</si>
  <si>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</si>
  <si>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</si>
  <si>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</si>
  <si>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</si>
  <si>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</si>
  <si>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</si>
  <si>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</si>
  <si>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</si>
  <si>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</si>
  <si>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</si>
  <si>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</si>
  <si>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</si>
  <si>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</si>
  <si>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</si>
  <si>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</si>
  <si>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</si>
  <si>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</si>
  <si>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</si>
  <si>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</si>
  <si>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</si>
  <si>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</si>
  <si>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</si>
  <si>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</si>
  <si>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</si>
  <si>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</si>
  <si>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</si>
  <si>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</si>
  <si>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</si>
  <si>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</si>
  <si>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</si>
  <si>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</si>
  <si>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</si>
  <si>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</si>
  <si>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</si>
  <si>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</si>
  <si>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</si>
  <si>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</si>
  <si>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</si>
  <si>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</si>
  <si>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</si>
  <si>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</si>
  <si>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</si>
  <si>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</si>
  <si>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</si>
  <si>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</si>
  <si>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</si>
  <si>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</si>
  <si>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</si>
  <si>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</si>
  <si>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</si>
  <si>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</si>
  <si>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</si>
  <si>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</si>
  <si>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</si>
  <si>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</si>
  <si>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</si>
  <si>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</si>
  <si>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</si>
  <si>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</si>
  <si>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</si>
  <si>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</si>
  <si>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</si>
  <si>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</si>
  <si>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</si>
  <si>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</si>
  <si>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</si>
  <si>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</si>
  <si>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</si>
  <si>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</si>
  <si>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</si>
  <si>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</si>
  <si>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</si>
  <si>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</si>
  <si>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</si>
  <si>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</si>
  <si>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</si>
  <si>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</si>
  <si>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</si>
  <si>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</si>
  <si>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</si>
  <si>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</si>
  <si>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</si>
  <si>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</si>
  <si>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</si>
  <si>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</si>
  <si>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</si>
  <si>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</si>
  <si>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</si>
  <si>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</si>
  <si>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</si>
  <si>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</si>
  <si>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</si>
  <si>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</si>
  <si>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</si>
  <si>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</si>
  <si>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</si>
  <si>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</si>
  <si>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</si>
  <si>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</si>
  <si>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</si>
  <si>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</si>
  <si>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</si>
  <si>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</si>
  <si>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</si>
  <si>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</si>
  <si>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</si>
  <si>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</si>
  <si>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</si>
  <si>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</si>
  <si>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</si>
  <si>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</si>
  <si>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</si>
  <si>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</si>
  <si>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</si>
  <si>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</si>
  <si>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</si>
  <si>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</si>
  <si>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</si>
  <si>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</si>
  <si>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</si>
  <si>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</si>
  <si>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</si>
  <si>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</si>
  <si>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</si>
  <si>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</si>
  <si>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</si>
  <si>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</si>
  <si>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</si>
  <si>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</si>
  <si>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</si>
  <si>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</si>
  <si>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</si>
  <si>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</si>
  <si>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</si>
  <si>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</si>
  <si>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</si>
  <si>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</si>
  <si>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</si>
  <si>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</si>
  <si>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</si>
  <si>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</si>
  <si>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</si>
  <si>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</si>
  <si>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</si>
  <si>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</si>
  <si>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</si>
  <si>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</si>
  <si>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</si>
  <si>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</si>
  <si>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</si>
  <si>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</si>
  <si>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</si>
  <si>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</si>
  <si>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</si>
  <si>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</si>
  <si>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</si>
  <si>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</si>
  <si>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</si>
  <si>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</si>
  <si>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</si>
  <si>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</si>
  <si>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</si>
  <si>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</si>
  <si>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</si>
  <si>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</si>
  <si>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</si>
  <si>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</si>
  <si>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</si>
  <si>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</si>
  <si>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</si>
  <si>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</si>
  <si>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</si>
  <si>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</si>
  <si>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</si>
  <si>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</si>
  <si>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</si>
  <si>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</si>
  <si>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</si>
  <si>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</si>
  <si>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</si>
  <si>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</si>
  <si>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</si>
  <si>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</si>
  <si>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</si>
  <si>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</si>
  <si>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</si>
  <si>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</si>
  <si>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</si>
  <si>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</si>
  <si>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</si>
  <si>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</si>
  <si>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</si>
  <si>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</si>
  <si>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</si>
  <si>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</si>
  <si>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</si>
  <si>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</si>
  <si>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</si>
  <si>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</si>
  <si>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</si>
  <si>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</si>
  <si>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</si>
  <si>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</si>
  <si>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</si>
  <si>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</si>
  <si>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</si>
  <si>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</si>
  <si>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</si>
  <si>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</si>
  <si>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</si>
  <si>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</si>
  <si>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</si>
  <si>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</si>
  <si>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</si>
  <si>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</si>
  <si>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</si>
  <si>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</si>
  <si>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</si>
  <si>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</si>
  <si>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</si>
  <si>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</si>
  <si>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</si>
  <si>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</si>
  <si>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</si>
  <si>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</si>
  <si>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</si>
  <si>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</si>
  <si>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</si>
  <si>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</si>
  <si>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</si>
  <si>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</si>
  <si>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</si>
  <si>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</si>
  <si>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</si>
  <si>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</si>
  <si>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</si>
  <si>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</si>
  <si>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</si>
  <si>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</si>
  <si>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</si>
  <si>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</si>
  <si>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</si>
  <si>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</si>
  <si>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</si>
  <si>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</si>
  <si>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</si>
  <si>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</si>
  <si>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</si>
  <si>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</si>
  <si>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</si>
  <si>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</si>
  <si>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</si>
  <si>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</si>
  <si>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</si>
  <si>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</si>
  <si>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</si>
  <si>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</si>
  <si>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</si>
  <si>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</si>
  <si>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</si>
  <si>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</si>
  <si>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</si>
  <si>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</si>
  <si>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</si>
  <si>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</si>
  <si>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</si>
  <si>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</si>
  <si>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</si>
  <si>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</si>
  <si>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</si>
  <si>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</si>
  <si>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</si>
  <si>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</si>
  <si>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</si>
  <si>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</si>
  <si>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</si>
  <si>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</si>
  <si>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</si>
  <si>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</si>
  <si>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</si>
  <si>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</si>
  <si>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</si>
  <si>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</si>
  <si>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</si>
  <si>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</si>
  <si>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</si>
  <si>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</si>
  <si>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</si>
  <si>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</si>
  <si>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</si>
  <si>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</si>
  <si>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</si>
  <si>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</si>
  <si>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</si>
  <si>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</si>
  <si>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</si>
  <si>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</si>
  <si>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</si>
  <si>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</si>
  <si>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</si>
  <si>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</si>
  <si>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</si>
  <si>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</si>
  <si>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</si>
  <si>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</si>
  <si>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</si>
  <si>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</si>
  <si>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</si>
  <si>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</si>
  <si>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</si>
  <si>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</si>
  <si>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</si>
  <si>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</si>
  <si>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</si>
  <si>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</si>
  <si>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</si>
  <si>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</si>
  <si>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</si>
  <si>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</si>
  <si>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</si>
  <si>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</si>
  <si>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</si>
  <si>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</si>
  <si>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</si>
  <si>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</si>
  <si>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</si>
  <si>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</si>
  <si>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</si>
  <si>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</si>
  <si>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</si>
  <si>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</si>
  <si>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</si>
  <si>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</si>
  <si>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</si>
  <si>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</si>
  <si>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</si>
  <si>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</si>
  <si>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</si>
  <si>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</si>
  <si>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</si>
  <si>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</si>
  <si>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</si>
  <si>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</si>
  <si>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</si>
  <si>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</si>
  <si>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</si>
  <si>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</si>
  <si>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</si>
  <si>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</si>
  <si>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</si>
  <si>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</si>
  <si>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</si>
  <si>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</si>
  <si>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</si>
  <si>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</si>
  <si>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</si>
  <si>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</si>
  <si>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</si>
  <si>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</si>
  <si>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</si>
  <si>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</si>
  <si>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</si>
  <si>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</si>
  <si>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</si>
  <si>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</si>
  <si>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</si>
  <si>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</si>
  <si>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</si>
  <si>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</si>
  <si>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</si>
  <si>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</si>
  <si>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</si>
  <si>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</si>
  <si>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</si>
  <si>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</si>
  <si>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</si>
  <si>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</si>
  <si>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</si>
  <si>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</si>
  <si>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</si>
  <si>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</si>
  <si>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</si>
  <si>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</si>
  <si>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</si>
  <si>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</si>
  <si>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</si>
  <si>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</si>
  <si>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</si>
  <si>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</si>
  <si>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</si>
  <si>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</si>
  <si>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</si>
  <si>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</si>
  <si>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</si>
  <si>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</si>
  <si>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</si>
  <si>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</si>
  <si>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</si>
  <si>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</si>
  <si>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</si>
  <si>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</si>
  <si>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</si>
  <si>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</si>
  <si>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</si>
  <si>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</si>
  <si>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</si>
  <si>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</si>
  <si>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</si>
  <si>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</si>
  <si>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</si>
  <si>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</si>
  <si>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</si>
  <si>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</si>
  <si>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</si>
  <si>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</si>
  <si>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</si>
  <si>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</si>
  <si>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</si>
  <si>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</si>
  <si>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</si>
  <si>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</si>
  <si>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</si>
  <si>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</si>
  <si>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</si>
  <si>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</si>
  <si>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</si>
  <si>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</si>
  <si>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</si>
  <si>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</si>
  <si>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</si>
  <si>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</si>
  <si>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</si>
  <si>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</si>
  <si>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</si>
  <si>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</si>
  <si>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</si>
  <si>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</si>
  <si>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</si>
  <si>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</si>
  <si>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</si>
  <si>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</si>
  <si>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</si>
  <si>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</si>
  <si>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</si>
  <si>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</si>
  <si>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</si>
  <si>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</si>
  <si>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</si>
  <si>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</si>
  <si>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</si>
  <si>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</si>
  <si>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</si>
  <si>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</si>
  <si>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</si>
  <si>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</si>
  <si>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</si>
  <si>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</si>
  <si>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</si>
  <si>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</si>
  <si>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</si>
  <si>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</si>
  <si>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</si>
  <si>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</si>
  <si>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</si>
  <si>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</si>
  <si>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</si>
  <si>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</si>
  <si>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</si>
  <si>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</si>
  <si>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</si>
  <si>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</si>
  <si>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</si>
  <si>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</si>
  <si>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</si>
  <si>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</si>
  <si>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</si>
  <si>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</si>
  <si>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</si>
  <si>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</si>
  <si>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</si>
  <si>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</si>
  <si>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</si>
  <si>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</si>
  <si>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</si>
  <si>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</si>
  <si>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</si>
  <si>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</si>
  <si>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</si>
  <si>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</si>
  <si>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</si>
  <si>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</si>
  <si>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</si>
  <si>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</si>
  <si>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</si>
  <si>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</si>
  <si>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</si>
  <si>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</si>
  <si>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</si>
  <si>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</si>
  <si>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</si>
  <si>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</si>
  <si>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</si>
  <si>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</si>
  <si>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</si>
  <si>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</si>
  <si>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</si>
  <si>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</si>
  <si>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</si>
  <si>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</si>
  <si>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</si>
  <si>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</si>
  <si>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</si>
  <si>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</si>
  <si>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</si>
  <si>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</si>
  <si>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</si>
  <si>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</si>
  <si>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</si>
  <si>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</si>
  <si>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</si>
  <si>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</si>
  <si>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</si>
  <si>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</si>
  <si>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</si>
  <si>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</si>
  <si>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</si>
  <si>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</si>
  <si>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</si>
  <si>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</si>
  <si>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</si>
  <si>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</si>
  <si>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</si>
  <si>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</si>
  <si>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</si>
  <si>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</si>
  <si>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</si>
  <si>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</si>
  <si>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</si>
  <si>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</si>
  <si>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</si>
  <si>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</si>
  <si>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</si>
  <si>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</si>
  <si>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</si>
  <si>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</si>
  <si>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</si>
  <si>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</si>
  <si>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</si>
  <si>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</si>
  <si>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</si>
  <si>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</si>
  <si>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</si>
  <si>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</si>
  <si>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</si>
  <si>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</si>
  <si>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</si>
  <si>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</si>
  <si>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</si>
  <si>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</si>
  <si>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</si>
  <si>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</si>
  <si>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</si>
  <si>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</si>
  <si>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</si>
  <si>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</si>
  <si>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</si>
  <si>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</si>
  <si>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</si>
  <si>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</si>
  <si>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</si>
  <si>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</si>
  <si>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</si>
  <si>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</si>
  <si>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</si>
  <si>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</si>
  <si>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</si>
  <si>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</si>
  <si>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</si>
  <si>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</si>
  <si>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</si>
  <si>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</si>
  <si>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</si>
  <si>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</si>
  <si>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</si>
  <si>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</si>
  <si>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</si>
  <si>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</si>
  <si>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</si>
  <si>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</si>
  <si>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</si>
  <si>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</si>
  <si>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</si>
  <si>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</si>
  <si>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</si>
  <si>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</si>
  <si>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</si>
  <si>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</si>
  <si>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</si>
  <si>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</si>
  <si>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</si>
  <si>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</si>
  <si>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</si>
  <si>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</si>
  <si>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</si>
  <si>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</si>
  <si>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</si>
  <si>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</si>
  <si>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</si>
  <si>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</si>
  <si>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</si>
  <si>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</si>
  <si>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</si>
  <si>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</si>
  <si>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</si>
  <si>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</si>
  <si>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</si>
  <si>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</si>
  <si>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</si>
  <si>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</si>
  <si>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</si>
  <si>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</si>
  <si>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</si>
  <si>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</si>
  <si>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</si>
  <si>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</si>
  <si>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</si>
  <si>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</si>
  <si>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</si>
  <si>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</si>
  <si>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</si>
  <si>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</si>
  <si>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</si>
  <si>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</si>
  <si>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</si>
  <si>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</si>
  <si>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</si>
  <si>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</si>
  <si>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</si>
  <si>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</si>
  <si>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</si>
  <si>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</si>
  <si>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</si>
  <si>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</si>
  <si>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</si>
  <si>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</si>
  <si>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</si>
  <si>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</si>
  <si>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</si>
  <si>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</si>
  <si>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</si>
  <si>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</si>
  <si>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</si>
  <si>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</si>
  <si>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</si>
  <si>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</si>
  <si>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</si>
  <si>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</si>
  <si>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</si>
  <si>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</si>
  <si>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</si>
  <si>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</si>
  <si>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</si>
  <si>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</si>
  <si>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</si>
  <si>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</si>
  <si>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</si>
  <si>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</si>
  <si>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</si>
  <si>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</si>
  <si>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</si>
  <si>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</si>
  <si>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</si>
  <si>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</si>
  <si>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</si>
  <si>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</si>
  <si>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</si>
  <si>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</si>
  <si>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</si>
  <si>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</si>
  <si>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</si>
  <si>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</si>
  <si>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</si>
  <si>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</si>
  <si>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</si>
  <si>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</si>
  <si>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</si>
  <si>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</si>
  <si>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</si>
  <si>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</si>
  <si>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</si>
  <si>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</si>
  <si>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</si>
  <si>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</si>
  <si>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</si>
  <si>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</si>
  <si>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</si>
  <si>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</si>
  <si>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</si>
  <si>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</si>
  <si>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</si>
  <si>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</si>
  <si>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</si>
  <si>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</si>
  <si>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</si>
  <si>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</si>
  <si>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</si>
  <si>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</si>
  <si>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</si>
  <si>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</si>
  <si>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</si>
  <si>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</si>
  <si>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</si>
  <si>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</si>
  <si>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</si>
  <si>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</si>
  <si>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</si>
  <si>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</si>
  <si>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</si>
  <si>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</si>
  <si>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</si>
  <si>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</si>
  <si>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</si>
  <si>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</si>
  <si>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</si>
  <si>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</si>
  <si>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</si>
  <si>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</si>
  <si>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</si>
  <si>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</si>
  <si>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</si>
  <si>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</si>
  <si>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</si>
  <si>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</si>
  <si>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</si>
  <si>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</si>
  <si>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</si>
  <si>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</si>
  <si>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</si>
  <si>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</si>
  <si>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</si>
  <si>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</si>
  <si>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</si>
  <si>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</si>
  <si>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</si>
  <si>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</si>
  <si>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</si>
  <si>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</si>
  <si>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</si>
  <si>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</si>
  <si>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</si>
  <si>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</si>
  <si>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</si>
  <si>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</si>
  <si>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</si>
  <si>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</si>
  <si>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</si>
  <si>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</si>
  <si>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</si>
  <si>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</si>
  <si>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</si>
  <si>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</si>
  <si>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</si>
  <si>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</si>
  <si>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</si>
  <si>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</si>
  <si>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</si>
  <si>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</si>
  <si>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</si>
  <si>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</si>
  <si>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</si>
  <si>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</si>
  <si>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</si>
  <si>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</si>
  <si>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</si>
  <si>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</si>
  <si>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</si>
  <si>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</si>
  <si>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</si>
  <si>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</si>
  <si>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</si>
  <si>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</si>
  <si>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</si>
  <si>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</si>
  <si>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</si>
  <si>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</si>
  <si>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</si>
  <si>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</si>
  <si>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</si>
  <si>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</si>
  <si>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</si>
  <si>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</si>
  <si>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</si>
  <si>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</si>
  <si>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</si>
  <si>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</si>
  <si>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</si>
  <si>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</si>
  <si>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</si>
  <si>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</si>
  <si>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</si>
  <si>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</si>
  <si>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</si>
  <si>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</si>
  <si>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</si>
  <si>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</si>
  <si>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</si>
  <si>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</si>
  <si>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</si>
  <si>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</si>
  <si>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</si>
  <si>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</si>
  <si>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</si>
  <si>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</si>
  <si>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</si>
  <si>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</si>
  <si>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</si>
  <si>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</si>
  <si>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</si>
  <si>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</si>
  <si>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</si>
  <si>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</si>
  <si>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</si>
  <si>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</si>
  <si>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</si>
  <si>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</si>
  <si>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</si>
  <si>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</si>
  <si>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</si>
  <si>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</si>
  <si>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</si>
  <si>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</si>
  <si>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</si>
  <si>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</si>
  <si>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</si>
  <si>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</si>
  <si>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</si>
  <si>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</si>
  <si>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</si>
  <si>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</si>
  <si>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</si>
  <si>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</si>
  <si>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</si>
  <si>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</si>
  <si>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</si>
  <si>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</si>
  <si>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</si>
  <si>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</si>
  <si>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</si>
  <si>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</si>
  <si>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</si>
  <si>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</si>
  <si>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</si>
  <si>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</si>
  <si>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</si>
  <si>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</si>
  <si>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</si>
  <si>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</si>
  <si>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</si>
  <si>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</si>
  <si>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</si>
  <si>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</si>
  <si>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</si>
  <si>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</si>
  <si>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</si>
  <si>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</si>
  <si>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</si>
  <si>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</si>
  <si>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</si>
  <si>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</si>
  <si>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</si>
  <si>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</si>
  <si>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</si>
  <si>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</si>
  <si>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</si>
  <si>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</si>
  <si>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</si>
  <si>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</si>
  <si>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</si>
  <si>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</si>
  <si>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</si>
  <si>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</si>
  <si>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</si>
  <si>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</si>
  <si>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</si>
  <si>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</si>
  <si>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</si>
  <si>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</si>
  <si>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</si>
  <si>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</si>
  <si>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</si>
  <si>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</si>
  <si>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</si>
  <si>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</si>
  <si>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</si>
  <si>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</si>
  <si>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</si>
  <si>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</si>
  <si>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</si>
  <si>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</si>
  <si>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</si>
  <si>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</si>
  <si>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</si>
  <si>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</si>
  <si>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</si>
  <si>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</si>
  <si>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</si>
  <si>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</si>
  <si>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</si>
  <si>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</si>
  <si>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</si>
  <si>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</si>
  <si>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</si>
  <si>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</si>
  <si>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</si>
  <si>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</si>
  <si>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</si>
  <si>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</si>
  <si>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</si>
  <si>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</si>
  <si>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</si>
  <si>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</si>
  <si>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</si>
  <si>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</si>
  <si>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</si>
  <si>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</si>
  <si>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</si>
  <si>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</si>
  <si>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</si>
  <si>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</si>
  <si>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</si>
  <si>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</si>
  <si>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</si>
  <si>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</si>
  <si>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</si>
  <si>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</si>
  <si>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</si>
  <si>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</si>
  <si>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</si>
  <si>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</si>
  <si>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</si>
  <si>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</si>
  <si>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</si>
  <si>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</si>
  <si>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</si>
  <si>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</si>
  <si>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</si>
  <si>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</si>
  <si>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</si>
  <si>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</si>
  <si>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</si>
  <si>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</si>
  <si>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</si>
  <si>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</si>
  <si>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</si>
  <si>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</si>
  <si>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</si>
  <si>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</si>
  <si>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</si>
  <si>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</si>
  <si>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</si>
  <si>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</si>
  <si>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</si>
  <si>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</si>
  <si>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</si>
  <si>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</si>
  <si>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</si>
  <si>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</si>
  <si>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</si>
  <si>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</si>
  <si>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</si>
  <si>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</si>
  <si>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</si>
  <si>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</si>
  <si>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</si>
  <si>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</si>
  <si>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</si>
  <si>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</si>
  <si>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</si>
  <si>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</si>
  <si>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</si>
  <si>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</si>
  <si>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</si>
  <si>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</si>
  <si>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</si>
  <si>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</si>
  <si>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</si>
  <si>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</si>
  <si>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</si>
  <si>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</si>
  <si>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</si>
  <si>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</si>
  <si>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</si>
  <si>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</si>
  <si>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</si>
  <si>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</si>
  <si>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</si>
  <si>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</si>
  <si>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</si>
  <si>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</si>
  <si>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</si>
  <si>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</si>
  <si>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</si>
  <si>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</si>
  <si>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</si>
  <si>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</si>
  <si>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</si>
  <si>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</si>
  <si>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</si>
  <si>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</si>
  <si>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</si>
  <si>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</si>
  <si>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</si>
  <si>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</si>
  <si>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</si>
  <si>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</si>
  <si>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</si>
  <si>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</si>
  <si>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</si>
  <si>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</si>
  <si>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</si>
  <si>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</si>
  <si>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</si>
  <si>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</si>
  <si>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</si>
  <si>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</si>
  <si>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</si>
  <si>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</si>
  <si>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</si>
  <si>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</si>
  <si>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</si>
  <si>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</si>
  <si>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</si>
  <si>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</si>
  <si>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</si>
  <si>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</si>
  <si>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</si>
  <si>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</si>
  <si>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</si>
  <si>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</si>
  <si>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</si>
  <si>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</si>
  <si>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</si>
  <si>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</si>
  <si>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</si>
  <si>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</si>
  <si>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</si>
  <si>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</si>
  <si>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</si>
  <si>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</si>
  <si>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</si>
  <si>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</si>
  <si>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</si>
  <si>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</si>
  <si>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</si>
  <si>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</si>
  <si>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</si>
  <si>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</si>
  <si>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</si>
  <si>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</si>
  <si>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</si>
  <si>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</si>
  <si>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</si>
  <si>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</si>
  <si>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</si>
  <si>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</si>
  <si>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</si>
  <si>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</si>
  <si>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</si>
  <si>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</si>
  <si>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</si>
  <si>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</si>
  <si>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</si>
  <si>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</si>
  <si>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</si>
  <si>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</si>
  <si>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</si>
  <si>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</si>
  <si>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</si>
  <si>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</si>
  <si>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</si>
  <si>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</si>
  <si>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</si>
  <si>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</si>
  <si>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</si>
  <si>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</si>
  <si>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</si>
  <si>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</si>
  <si>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</si>
  <si>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</si>
  <si>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</si>
  <si>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</si>
  <si>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</si>
  <si>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</si>
  <si>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</si>
  <si>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</si>
  <si>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</si>
  <si>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</si>
  <si>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</si>
  <si>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</si>
  <si>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</si>
  <si>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</si>
  <si>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</si>
  <si>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</si>
  <si>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</si>
  <si>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</si>
  <si>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</si>
  <si>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</si>
  <si>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</si>
  <si>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</si>
  <si>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</si>
  <si>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</si>
  <si>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</si>
  <si>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</si>
  <si>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</si>
  <si>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</si>
  <si>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</si>
  <si>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</si>
  <si>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</si>
  <si>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</si>
  <si>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</si>
  <si>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</si>
  <si>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</si>
  <si>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</si>
  <si>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</si>
  <si>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</si>
  <si>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</si>
  <si>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</si>
  <si>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</si>
  <si>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</si>
  <si>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</si>
  <si>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</si>
  <si>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</si>
  <si>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</si>
  <si>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</si>
  <si>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</si>
  <si>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</si>
  <si>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</si>
  <si>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</si>
  <si>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</si>
  <si>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</si>
  <si>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</si>
  <si>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</si>
  <si>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</si>
  <si>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</si>
  <si>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</si>
  <si>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</si>
  <si>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</si>
  <si>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</si>
  <si>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</si>
  <si>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</si>
  <si>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</si>
  <si>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</si>
  <si>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</si>
  <si>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</si>
  <si>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</si>
  <si>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</si>
  <si>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</si>
  <si>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</si>
  <si>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</si>
  <si>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</si>
  <si>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</si>
  <si>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</si>
  <si>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</si>
  <si>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</si>
  <si>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</si>
  <si>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</si>
  <si>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</si>
  <si>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</si>
  <si>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</si>
  <si>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</si>
  <si>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</si>
  <si>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</si>
  <si>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</si>
  <si>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</si>
  <si>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</si>
  <si>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</si>
  <si>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</si>
  <si>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</si>
  <si>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</si>
  <si>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</si>
  <si>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</si>
  <si>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</si>
  <si>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</si>
  <si>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</si>
  <si>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</si>
  <si>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</si>
  <si>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</si>
  <si>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</si>
  <si>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</si>
  <si>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</si>
  <si>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</si>
  <si>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</si>
  <si>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</si>
  <si>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</si>
  <si>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</si>
  <si>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</si>
  <si>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</si>
  <si>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</si>
  <si>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</si>
  <si>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</si>
  <si>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</si>
  <si>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</si>
  <si>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</si>
  <si>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</si>
  <si>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</si>
  <si>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</si>
  <si>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</si>
  <si>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</si>
  <si>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</si>
  <si>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</si>
  <si>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</si>
  <si>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</si>
  <si>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</si>
  <si>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</si>
  <si>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</si>
  <si>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</si>
  <si>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</si>
  <si>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</si>
  <si>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</si>
  <si>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</si>
  <si>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</si>
  <si>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</si>
  <si>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</si>
  <si>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</si>
  <si>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</si>
  <si>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</si>
  <si>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</si>
  <si>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</si>
  <si>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</si>
  <si>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</si>
  <si>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</si>
  <si>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</si>
  <si>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</si>
  <si>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</si>
  <si>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</si>
  <si>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</si>
  <si>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</si>
  <si>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</si>
  <si>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</si>
  <si>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</si>
  <si>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</si>
  <si>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</si>
  <si>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</si>
  <si>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</si>
  <si>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</si>
  <si>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</si>
  <si>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</si>
  <si>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</si>
  <si>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</si>
  <si>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</si>
  <si>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</si>
  <si>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</si>
  <si>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</si>
  <si>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</si>
  <si>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</si>
  <si>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</si>
  <si>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</si>
  <si>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</si>
  <si>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</si>
  <si>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</si>
  <si>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</si>
  <si>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</si>
  <si>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</si>
  <si>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</si>
  <si>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</si>
  <si>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</si>
  <si>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</si>
  <si>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</si>
  <si>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</si>
  <si>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</si>
  <si>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</si>
  <si>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</si>
  <si>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</si>
  <si>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</si>
  <si>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</si>
  <si>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</si>
  <si>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</si>
  <si>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</si>
  <si>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</si>
  <si>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</si>
  <si>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</si>
  <si>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</si>
  <si>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</si>
  <si>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</si>
  <si>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</si>
  <si>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</si>
  <si>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</si>
  <si>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</si>
  <si>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</si>
  <si>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</si>
  <si>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</si>
  <si>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</si>
  <si>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</si>
  <si>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</si>
  <si>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</si>
  <si>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</si>
  <si>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</si>
  <si>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</si>
  <si>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</si>
  <si>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</si>
  <si>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</si>
  <si>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</si>
  <si>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</si>
  <si>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</si>
  <si>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</si>
  <si>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</si>
  <si>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</si>
  <si>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</si>
  <si>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</si>
  <si>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</si>
  <si>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</si>
  <si>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</si>
  <si>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</si>
  <si>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</si>
  <si>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</si>
  <si>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</si>
  <si>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</si>
  <si>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</si>
  <si>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</si>
  <si>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</si>
  <si>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</si>
  <si>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</si>
  <si>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</si>
  <si>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</si>
  <si>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</si>
  <si>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</si>
  <si>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</si>
  <si>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</si>
  <si>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</si>
  <si>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</si>
  <si>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</si>
  <si>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</si>
  <si>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</si>
  <si>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</si>
  <si>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</si>
  <si>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</si>
  <si>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</si>
  <si>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</si>
  <si>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</si>
  <si>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</si>
  <si>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</si>
  <si>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</si>
  <si>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</si>
  <si>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</si>
  <si>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</si>
  <si>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</si>
  <si>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</si>
  <si>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</si>
  <si>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</si>
  <si>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</si>
  <si>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</si>
  <si>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</si>
  <si>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</si>
  <si>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</si>
  <si>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</si>
  <si>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</si>
  <si>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</si>
  <si>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</si>
  <si>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</si>
  <si>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</si>
  <si>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</si>
  <si>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</si>
  <si>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</si>
  <si>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</si>
  <si>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</si>
  <si>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</si>
  <si>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</si>
  <si>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</si>
  <si>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</si>
  <si>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</si>
  <si>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</si>
  <si>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</si>
  <si>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</si>
  <si>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</si>
  <si>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</si>
  <si>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</si>
  <si>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</si>
  <si>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</si>
  <si>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</si>
  <si>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</si>
  <si>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</si>
  <si>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</si>
  <si>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</si>
  <si>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</si>
  <si>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</si>
  <si>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</si>
  <si>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</si>
  <si>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</si>
  <si>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</si>
  <si>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</si>
  <si>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</si>
  <si>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</si>
  <si>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</si>
  <si>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</si>
  <si>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</si>
  <si>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</si>
  <si>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</si>
  <si>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</si>
  <si>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</si>
  <si>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</si>
  <si>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</si>
  <si>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</si>
  <si>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</si>
  <si>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</si>
  <si>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</si>
  <si>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</si>
  <si>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</si>
  <si>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</si>
  <si>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</si>
  <si>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</si>
  <si>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</si>
  <si>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</si>
  <si>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</si>
  <si>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</si>
  <si>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</si>
  <si>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</si>
  <si>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</si>
  <si>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</si>
  <si>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</si>
  <si>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</si>
  <si>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</si>
  <si>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</si>
  <si>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</si>
  <si>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</si>
  <si>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</si>
  <si>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</si>
  <si>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</si>
  <si>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</si>
  <si>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</si>
  <si>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</si>
  <si>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</si>
  <si>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</si>
  <si>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</si>
  <si>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</si>
  <si>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</si>
  <si>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</si>
  <si>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</si>
  <si>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</si>
  <si>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</si>
  <si>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</si>
  <si>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</si>
  <si>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</si>
  <si>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</si>
  <si>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</si>
  <si>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</si>
  <si>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</si>
  <si>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</si>
  <si>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</si>
  <si>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</si>
  <si>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</si>
  <si>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</si>
  <si>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</si>
  <si>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</si>
  <si>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</si>
  <si>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</si>
  <si>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</si>
  <si>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</si>
  <si>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</si>
  <si>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</si>
  <si>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</si>
  <si>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</si>
  <si>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</si>
  <si>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</si>
  <si>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</si>
  <si>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</si>
  <si>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</si>
  <si>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</si>
  <si>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</si>
  <si>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</si>
  <si>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</si>
  <si>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</si>
  <si>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</si>
  <si>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</si>
  <si>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</si>
  <si>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</si>
  <si>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</si>
  <si>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</si>
  <si>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</si>
  <si>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</si>
  <si>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</si>
  <si>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</si>
  <si>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</si>
  <si>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</si>
  <si>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</si>
  <si>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</si>
  <si>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</si>
  <si>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</si>
  <si>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</si>
  <si>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</si>
  <si>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</si>
  <si>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</si>
  <si>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</si>
  <si>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</si>
  <si>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</si>
  <si>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</si>
  <si>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</si>
  <si>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</si>
  <si>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</si>
  <si>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</si>
  <si>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</si>
  <si>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</si>
  <si>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</si>
  <si>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</si>
  <si>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</si>
  <si>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</si>
  <si>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</si>
  <si>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</si>
  <si>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</si>
  <si>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</si>
  <si>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</si>
  <si>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</si>
  <si>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</si>
  <si>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</si>
  <si>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</si>
  <si>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</si>
  <si>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</si>
  <si>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</si>
  <si>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</si>
  <si>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</si>
  <si>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</si>
  <si>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</si>
  <si>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</si>
  <si>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</si>
  <si>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</si>
  <si>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</si>
  <si>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</si>
  <si>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</si>
  <si>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</si>
  <si>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</si>
  <si>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</si>
  <si>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</si>
  <si>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</si>
  <si>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</si>
  <si>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</si>
  <si>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</si>
  <si>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</si>
  <si>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</si>
  <si>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</si>
  <si>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</si>
  <si>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</si>
  <si>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</si>
  <si>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</si>
  <si>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</si>
  <si>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</si>
  <si>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</si>
  <si>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</si>
  <si>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</si>
  <si>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</si>
  <si>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</si>
  <si>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</si>
  <si>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</si>
  <si>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</si>
  <si>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</si>
  <si>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</si>
  <si>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</si>
  <si>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</si>
  <si>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</si>
  <si>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</si>
  <si>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</si>
  <si>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</si>
  <si>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</si>
  <si>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</si>
  <si>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</si>
  <si>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</si>
  <si>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</si>
  <si>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</si>
  <si>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</si>
  <si>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</si>
  <si>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</si>
  <si>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</si>
  <si>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</si>
  <si>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</si>
  <si>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</si>
  <si>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</si>
  <si>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</si>
  <si>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</si>
  <si>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</si>
  <si>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</si>
  <si>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</si>
  <si>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</si>
  <si>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</si>
  <si>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</si>
  <si>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</si>
  <si>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</si>
  <si>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</si>
  <si>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</si>
  <si>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</si>
  <si>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</si>
  <si>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</si>
  <si>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</si>
  <si>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</si>
  <si>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</si>
  <si>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</si>
  <si>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</si>
  <si>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</si>
  <si>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</si>
  <si>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</si>
  <si>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</si>
  <si>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</si>
  <si>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</si>
  <si>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</si>
  <si>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</si>
  <si>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</si>
  <si>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</si>
  <si>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</si>
  <si>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</si>
  <si>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</si>
  <si>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</si>
  <si>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</si>
  <si>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</si>
  <si>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</si>
  <si>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</si>
  <si>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</si>
  <si>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</si>
  <si>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</si>
  <si>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</si>
  <si>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</si>
  <si>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</si>
  <si>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</si>
  <si>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</si>
  <si>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</si>
  <si>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</si>
  <si>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</si>
  <si>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</si>
  <si>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</si>
  <si>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</si>
  <si>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</si>
  <si>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</si>
  <si>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</si>
  <si>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</si>
  <si>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</si>
  <si>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</si>
  <si>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</si>
  <si>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</si>
  <si>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</si>
  <si>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</si>
  <si>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</si>
  <si>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</si>
  <si>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</si>
  <si>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</si>
  <si>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</si>
  <si>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</si>
  <si>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</si>
  <si>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</si>
  <si>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</si>
  <si>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</si>
  <si>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</si>
  <si>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</si>
  <si>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</si>
  <si>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</si>
  <si>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</si>
  <si>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</si>
  <si>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</si>
  <si>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</si>
  <si>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</si>
  <si>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</si>
  <si>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</si>
  <si>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</si>
  <si>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</si>
  <si>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</si>
  <si>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</si>
  <si>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</si>
  <si>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</si>
  <si>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</si>
  <si>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</si>
  <si>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</si>
  <si>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</si>
  <si>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</si>
  <si>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</si>
  <si>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</si>
  <si>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</si>
  <si>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</si>
  <si>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</si>
  <si>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</si>
  <si>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</si>
  <si>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</si>
  <si>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</si>
  <si>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</si>
  <si>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</si>
  <si>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</si>
  <si>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</si>
  <si>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</si>
  <si>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</si>
  <si>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</si>
  <si>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</si>
  <si>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</si>
  <si>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</si>
  <si>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</si>
  <si>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</si>
  <si>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</si>
  <si>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</si>
  <si>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</si>
  <si>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</si>
  <si>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</si>
  <si>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</si>
  <si>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</si>
  <si>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</si>
  <si>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</si>
  <si>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</si>
  <si>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</si>
  <si>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</si>
  <si>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</si>
  <si>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</si>
  <si>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</si>
  <si>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</si>
  <si>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</si>
  <si>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</si>
  <si>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</si>
  <si>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</si>
  <si>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</si>
  <si>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</si>
  <si>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</si>
  <si>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</si>
  <si>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</si>
  <si>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</si>
  <si>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</si>
  <si>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</si>
  <si>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</si>
  <si>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</si>
  <si>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</si>
  <si>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</si>
  <si>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</si>
  <si>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</si>
  <si>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</si>
  <si>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</si>
  <si>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</si>
  <si>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</si>
  <si>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</si>
  <si>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</si>
  <si>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</si>
  <si>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</si>
  <si>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</si>
  <si>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</si>
  <si>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</si>
  <si>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</si>
  <si>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</si>
  <si>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</si>
  <si>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</si>
  <si>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</si>
  <si>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</si>
  <si>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</si>
  <si>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</si>
  <si>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</si>
  <si>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</si>
  <si>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</si>
  <si>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</si>
  <si>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</si>
  <si>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</si>
  <si>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</si>
  <si>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</si>
  <si>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</si>
  <si>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</si>
  <si>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</si>
  <si>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</si>
  <si>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</si>
  <si>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</si>
  <si>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</si>
  <si>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</si>
  <si>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</si>
  <si>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</si>
  <si>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</si>
  <si>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</si>
  <si>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</si>
  <si>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</si>
  <si>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</si>
  <si>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</si>
  <si>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</si>
  <si>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</si>
  <si>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</si>
  <si>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</si>
  <si>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</si>
  <si>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</si>
  <si>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</si>
  <si>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</si>
  <si>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</si>
  <si>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</si>
  <si>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</si>
  <si>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</si>
  <si>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</si>
  <si>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</si>
  <si>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</si>
  <si>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</si>
  <si>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</si>
  <si>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</si>
  <si>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</si>
  <si>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</si>
  <si>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</si>
  <si>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</si>
  <si>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</si>
  <si>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</si>
  <si>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</si>
  <si>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</si>
  <si>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</si>
  <si>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</si>
  <si>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</si>
  <si>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</si>
  <si>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</si>
  <si>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</si>
  <si>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</si>
  <si>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</si>
  <si>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</si>
  <si>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</si>
  <si>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</si>
  <si>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</si>
  <si>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</si>
  <si>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</si>
  <si>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</si>
  <si>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</si>
  <si>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</si>
  <si>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</si>
  <si>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</si>
  <si>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</si>
  <si>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</si>
  <si>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</si>
  <si>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</si>
  <si>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</si>
  <si>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</si>
  <si>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</si>
  <si>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</si>
  <si>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</si>
  <si>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</si>
  <si>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</si>
  <si>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</si>
  <si>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</si>
  <si>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</si>
  <si>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</si>
  <si>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</si>
  <si>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</si>
  <si>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</si>
  <si>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</si>
  <si>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</si>
  <si>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</si>
  <si>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</si>
  <si>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</si>
  <si>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</si>
  <si>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</si>
  <si>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</si>
  <si>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</si>
  <si>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</si>
  <si>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</si>
  <si>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</si>
  <si>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</si>
  <si>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</si>
  <si>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</si>
  <si>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</si>
  <si>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</si>
  <si>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</si>
  <si>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</si>
  <si>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</si>
  <si>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</si>
  <si>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</si>
  <si>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</si>
  <si>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</si>
  <si>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</si>
  <si>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</si>
  <si>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</si>
  <si>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</si>
  <si>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</si>
  <si>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</si>
  <si>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</si>
  <si>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</si>
  <si>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</si>
  <si>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</si>
  <si>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</si>
  <si>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</si>
  <si>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</si>
  <si>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</si>
  <si>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</si>
  <si>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</si>
  <si>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</si>
  <si>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</si>
  <si>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</si>
  <si>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</si>
  <si>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</si>
  <si>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</si>
  <si>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</si>
  <si>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</si>
  <si>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</si>
  <si>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</si>
  <si>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</si>
  <si>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</si>
  <si>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</si>
  <si>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</si>
  <si>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</si>
  <si>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</si>
  <si>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</si>
  <si>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</si>
  <si>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</si>
  <si>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</si>
  <si>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</si>
  <si>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</si>
  <si>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</si>
  <si>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</si>
  <si>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</si>
  <si>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</si>
  <si>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</si>
  <si>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</si>
  <si>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</si>
  <si>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</si>
  <si>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</si>
  <si>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</si>
  <si>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</si>
  <si>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</si>
  <si>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</si>
  <si>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</si>
  <si>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</si>
  <si>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</si>
  <si>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</si>
  <si>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</si>
  <si>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</si>
  <si>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</si>
  <si>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</si>
  <si>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</si>
  <si>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</si>
  <si>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</si>
  <si>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</si>
  <si>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</si>
  <si>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</si>
  <si>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</si>
  <si>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</si>
  <si>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</si>
  <si>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</si>
  <si>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</si>
  <si>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</si>
  <si>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</si>
  <si>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</si>
  <si>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</si>
  <si>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</si>
  <si>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</si>
  <si>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</si>
  <si>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</si>
  <si>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</si>
  <si>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</si>
  <si>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</si>
  <si>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</si>
  <si>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</si>
  <si>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</si>
  <si>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</si>
  <si>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</si>
  <si>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</si>
  <si>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</si>
  <si>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</si>
  <si>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</si>
  <si>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</si>
  <si>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</si>
  <si>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</si>
  <si>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</si>
  <si>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</si>
  <si>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</si>
  <si>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</si>
  <si>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</si>
  <si>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</si>
  <si>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</si>
  <si>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</si>
  <si>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</si>
  <si>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</si>
  <si>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</si>
  <si>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</si>
  <si>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</si>
  <si>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</si>
  <si>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</si>
  <si>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</si>
  <si>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</si>
  <si>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</si>
  <si>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</si>
  <si>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</si>
  <si>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</si>
  <si>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</si>
  <si>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</si>
  <si>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</si>
  <si>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</si>
  <si>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</si>
  <si>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</si>
  <si>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</si>
  <si>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</si>
  <si>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</si>
  <si>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</si>
  <si>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</si>
  <si>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</si>
  <si>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</si>
  <si>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</si>
  <si>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</si>
  <si>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</si>
  <si>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</si>
  <si>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</si>
  <si>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</si>
  <si>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</si>
  <si>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</si>
  <si>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</si>
  <si>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</si>
  <si>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</si>
  <si>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</si>
  <si>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</si>
  <si>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</si>
  <si>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</si>
  <si>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</si>
  <si>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</si>
  <si>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</si>
  <si>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</si>
  <si>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</si>
  <si>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</si>
  <si>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</si>
  <si>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</si>
  <si>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</si>
  <si>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</si>
  <si>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</si>
  <si>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</si>
  <si>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</si>
  <si>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</si>
  <si>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</si>
  <si>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</si>
  <si>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</si>
  <si>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</si>
  <si>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</si>
  <si>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</si>
  <si>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</si>
  <si>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</si>
  <si>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</si>
  <si>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</si>
  <si>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</si>
  <si>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</si>
  <si>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</si>
  <si>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</si>
  <si>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</si>
  <si>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</si>
  <si>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</si>
  <si>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</si>
  <si>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</si>
  <si>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</si>
  <si>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</si>
  <si>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</si>
  <si>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</si>
  <si>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</si>
  <si>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</si>
  <si>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</si>
  <si>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</si>
  <si>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</si>
  <si>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</si>
  <si>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</si>
  <si>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</si>
  <si>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</si>
  <si>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</si>
  <si>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</si>
  <si>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</si>
  <si>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</si>
  <si>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</si>
  <si>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</si>
  <si>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</si>
  <si>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</si>
  <si>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</si>
  <si>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</si>
  <si>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</si>
  <si>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</si>
  <si>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</si>
  <si>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</si>
  <si>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</si>
  <si>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</si>
  <si>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</si>
  <si>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</si>
  <si>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</si>
  <si>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</si>
  <si>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</si>
  <si>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</si>
  <si>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</si>
  <si>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</si>
  <si>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</si>
  <si>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</si>
  <si>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</si>
  <si>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</si>
  <si>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</si>
  <si>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</si>
  <si>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</si>
  <si>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</si>
  <si>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</si>
  <si>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</si>
  <si>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</si>
  <si>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</si>
  <si>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</si>
  <si>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</si>
  <si>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</si>
  <si>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</si>
  <si>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</si>
  <si>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</si>
  <si>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</si>
  <si>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</si>
  <si>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</si>
  <si>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</si>
  <si>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</si>
  <si>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</si>
  <si>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</si>
  <si>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</si>
  <si>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</si>
  <si>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</si>
  <si>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</si>
  <si>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</si>
  <si>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</si>
  <si>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</si>
  <si>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</si>
  <si>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</si>
  <si>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</si>
  <si>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</si>
  <si>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</si>
  <si>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</si>
  <si>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</si>
  <si>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</si>
  <si>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</si>
  <si>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</si>
  <si>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</si>
  <si>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</si>
  <si>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</si>
  <si>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</si>
  <si>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</si>
  <si>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</si>
  <si>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</si>
  <si>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</si>
  <si>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</si>
  <si>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</si>
  <si>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</si>
  <si>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</si>
  <si>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</si>
  <si>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</si>
  <si>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</si>
  <si>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</si>
  <si>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</si>
  <si>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</si>
  <si>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</si>
  <si>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</si>
  <si>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</si>
  <si>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</si>
  <si>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</si>
  <si>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</si>
  <si>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</si>
  <si>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</si>
  <si>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</si>
  <si>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</si>
  <si>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</si>
  <si>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</si>
  <si>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</si>
  <si>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</si>
  <si>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</si>
  <si>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</si>
  <si>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</si>
  <si>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</si>
  <si>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</si>
  <si>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</si>
  <si>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</si>
  <si>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</si>
  <si>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</si>
  <si>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</si>
  <si>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</si>
  <si>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</si>
  <si>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</si>
  <si>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</si>
  <si>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</si>
  <si>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</si>
  <si>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</si>
  <si>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</si>
  <si>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</si>
  <si>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</si>
  <si>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</si>
  <si>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</si>
  <si>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</si>
  <si>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</si>
  <si>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</si>
  <si>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</si>
  <si>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</si>
  <si>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</si>
  <si>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</si>
  <si>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</si>
  <si>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</si>
  <si>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</si>
  <si>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</si>
  <si>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</si>
  <si>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</si>
  <si>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</si>
  <si>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</si>
  <si>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</si>
  <si>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</si>
  <si>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</si>
  <si>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</si>
  <si>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</si>
  <si>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</si>
  <si>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</si>
  <si>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</si>
  <si>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</si>
  <si>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</si>
  <si>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</si>
  <si>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</si>
  <si>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</si>
  <si>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</si>
  <si>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</si>
  <si>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</si>
  <si>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</si>
  <si>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</si>
  <si>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</si>
  <si>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</si>
  <si>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</si>
  <si>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</si>
  <si>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</si>
  <si>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</si>
  <si>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</si>
  <si>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</si>
  <si>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</si>
  <si>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</si>
  <si>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</si>
  <si>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</si>
  <si>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</si>
  <si>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</si>
  <si>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</si>
  <si>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</si>
  <si>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</si>
  <si>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</si>
  <si>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</si>
  <si>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</si>
  <si>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</si>
  <si>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</si>
  <si>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</si>
  <si>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</si>
  <si>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</si>
  <si>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</si>
  <si>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</si>
  <si>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</si>
  <si>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</si>
  <si>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</si>
  <si>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</si>
  <si>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</si>
  <si>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</si>
  <si>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</si>
  <si>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</si>
  <si>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</si>
  <si>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</si>
  <si>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</si>
  <si>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</si>
  <si>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</si>
  <si>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</si>
  <si>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</si>
  <si>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</si>
  <si>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</si>
  <si>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</si>
  <si>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</si>
  <si>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</si>
  <si>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</si>
  <si>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</si>
  <si>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</si>
  <si>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</si>
  <si>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</si>
  <si>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</si>
  <si>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</si>
  <si>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</si>
  <si>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</si>
  <si>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</si>
  <si>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</si>
  <si>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</si>
  <si>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</si>
  <si>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</si>
  <si>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</si>
  <si>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</si>
  <si>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</si>
  <si>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</si>
  <si>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</si>
  <si>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</si>
  <si>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</si>
  <si>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</si>
  <si>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</si>
  <si>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</si>
  <si>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</si>
  <si>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</si>
  <si>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</si>
  <si>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</si>
  <si>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</si>
  <si>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</si>
  <si>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</si>
  <si>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</si>
  <si>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</si>
  <si>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</si>
  <si>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</si>
  <si>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</si>
  <si>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</si>
  <si>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</si>
  <si>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</si>
  <si>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</si>
  <si>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</si>
  <si>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</si>
  <si>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</si>
  <si>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</si>
  <si>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</si>
  <si>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</si>
  <si>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</si>
  <si>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</si>
  <si>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</si>
  <si>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</si>
  <si>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</si>
  <si>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</si>
  <si>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</si>
  <si>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</si>
  <si>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</si>
  <si>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</si>
  <si>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</si>
  <si>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</si>
  <si>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</si>
  <si>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</si>
  <si>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</si>
  <si>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</si>
  <si>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</si>
  <si>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</si>
  <si>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</si>
  <si>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</si>
  <si>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</si>
  <si>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</si>
  <si>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</si>
  <si>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</si>
  <si>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</si>
  <si>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</si>
  <si>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</si>
  <si>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</si>
  <si>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</si>
  <si>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</si>
  <si>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</si>
  <si>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</si>
  <si>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</si>
  <si>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</si>
  <si>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</si>
  <si>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</si>
  <si>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</si>
  <si>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</si>
  <si>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</si>
  <si>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</si>
  <si>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</si>
  <si>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</si>
  <si>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</si>
  <si>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</si>
  <si>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</si>
  <si>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</si>
  <si>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</si>
  <si>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</si>
  <si>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</si>
  <si>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</si>
  <si>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</si>
  <si>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</si>
  <si>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</si>
  <si>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</si>
  <si>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</si>
  <si>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</si>
  <si>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</si>
  <si>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</si>
  <si>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</si>
  <si>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</si>
  <si>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</si>
  <si>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</si>
  <si>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</si>
  <si>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</si>
  <si>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</si>
  <si>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</si>
  <si>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</si>
  <si>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</si>
  <si>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</si>
  <si>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</si>
  <si>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</si>
  <si>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</si>
  <si>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</si>
  <si>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</si>
  <si>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</si>
  <si>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</si>
  <si>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</si>
  <si>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</si>
  <si>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</si>
  <si>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</si>
  <si>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</si>
  <si>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</si>
  <si>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</si>
  <si>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</si>
  <si>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</si>
  <si>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</si>
  <si>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</si>
  <si>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</si>
  <si>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</si>
  <si>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</si>
  <si>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</si>
  <si>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</si>
  <si>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</si>
  <si>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</si>
  <si>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</si>
  <si>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</si>
  <si>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</si>
  <si>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</si>
  <si>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</si>
  <si>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</si>
  <si>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</si>
  <si>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</si>
  <si>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</si>
  <si>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</si>
  <si>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</si>
  <si>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</si>
  <si>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</si>
  <si>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</si>
  <si>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</si>
  <si>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</si>
  <si>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</si>
  <si>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</si>
  <si>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</si>
  <si>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</si>
  <si>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</si>
  <si>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</si>
  <si>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</si>
  <si>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</si>
  <si>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</si>
  <si>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</si>
  <si>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</si>
  <si>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</si>
  <si>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</si>
  <si>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</si>
  <si>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</si>
  <si>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</si>
  <si>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</si>
  <si>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</si>
  <si>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</si>
  <si>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</si>
  <si>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</si>
  <si>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</si>
  <si>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</si>
  <si>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</si>
  <si>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</si>
  <si>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</si>
  <si>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</si>
  <si>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</si>
  <si>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</si>
  <si>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</si>
  <si>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</si>
  <si>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</si>
  <si>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</si>
  <si>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</si>
  <si>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</si>
  <si>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</si>
  <si>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</si>
  <si>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</si>
  <si>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</si>
  <si>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</si>
  <si>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</si>
  <si>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</si>
  <si>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</si>
  <si>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</si>
  <si>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</si>
  <si>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</si>
  <si>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</si>
  <si>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</si>
  <si>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</si>
  <si>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</si>
  <si>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</si>
  <si>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</si>
  <si>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</si>
  <si>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</si>
  <si>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</si>
  <si>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</si>
  <si>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</si>
  <si>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</si>
  <si>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</si>
  <si>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</si>
  <si>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</si>
  <si>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</si>
  <si>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</si>
  <si>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</si>
  <si>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</si>
  <si>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</si>
  <si>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</si>
  <si>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</si>
  <si>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</si>
  <si>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</si>
  <si>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</si>
  <si>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</si>
  <si>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</si>
  <si>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</si>
  <si>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</si>
  <si>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</si>
  <si>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</si>
  <si>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</si>
  <si>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</si>
  <si>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</si>
  <si>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</si>
  <si>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</si>
  <si>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</si>
  <si>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</si>
  <si>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</si>
  <si>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</si>
  <si>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</si>
  <si>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</si>
  <si>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</si>
  <si>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</si>
  <si>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</si>
  <si>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</si>
  <si>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</si>
  <si>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</si>
  <si>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</si>
  <si>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</si>
  <si>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</si>
  <si>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</si>
  <si>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</si>
  <si>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</si>
  <si>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</si>
  <si>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</si>
  <si>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</si>
  <si>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</si>
  <si>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</si>
  <si>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</si>
  <si>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</si>
  <si>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</si>
  <si>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</si>
  <si>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</si>
  <si>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</si>
  <si>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</si>
  <si>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</si>
  <si>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</si>
  <si>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</si>
  <si>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</si>
  <si>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</si>
  <si>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</si>
  <si>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</si>
  <si>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</si>
  <si>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</si>
  <si>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</si>
  <si>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</si>
  <si>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</si>
  <si>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</si>
  <si>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</si>
  <si>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</si>
  <si>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</si>
  <si>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</si>
  <si>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</si>
  <si>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</si>
  <si>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</si>
  <si>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</si>
  <si>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</si>
  <si>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</si>
  <si>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</si>
  <si>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</si>
  <si>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</si>
  <si>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</si>
  <si>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</si>
  <si>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</si>
  <si>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</si>
  <si>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</si>
  <si>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</si>
  <si>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</si>
  <si>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</si>
  <si>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</si>
  <si>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</si>
  <si>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</si>
  <si>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</si>
  <si>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</si>
  <si>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</si>
  <si>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</si>
  <si>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</si>
  <si>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</si>
  <si>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</si>
  <si>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</si>
  <si>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</si>
  <si>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</si>
  <si>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</si>
  <si>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</si>
  <si>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</si>
  <si>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</si>
  <si>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</si>
  <si>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</si>
  <si>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</si>
  <si>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</si>
  <si>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</si>
  <si>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</si>
  <si>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</si>
  <si>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</si>
  <si>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</si>
  <si>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</si>
  <si>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</si>
  <si>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</si>
  <si>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</si>
  <si>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</si>
  <si>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</si>
  <si>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</si>
  <si>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</si>
  <si>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</si>
  <si>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</si>
  <si>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</si>
  <si>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</si>
  <si>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</si>
  <si>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</si>
  <si>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</si>
  <si>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</si>
  <si>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</si>
  <si>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</si>
  <si>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</si>
  <si>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</si>
  <si>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</si>
  <si>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</si>
  <si>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</si>
  <si>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</si>
  <si>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</si>
  <si>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</si>
  <si>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</si>
  <si>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</si>
  <si>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</si>
  <si>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</si>
  <si>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</si>
  <si>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</si>
  <si>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</si>
  <si>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</si>
  <si>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</si>
  <si>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</si>
  <si>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</si>
  <si>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</si>
  <si>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</si>
  <si>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</si>
  <si>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</si>
  <si>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</si>
  <si>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</si>
  <si>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</si>
  <si>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</si>
  <si>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</si>
  <si>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</si>
  <si>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</si>
  <si>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</si>
  <si>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</si>
  <si>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</si>
  <si>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</si>
  <si>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</si>
  <si>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</si>
  <si>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</si>
  <si>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</si>
  <si>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</si>
  <si>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</si>
  <si>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</si>
  <si>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</si>
  <si>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</si>
  <si>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</si>
  <si>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</si>
  <si>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</si>
  <si>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</si>
  <si>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</si>
  <si>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</si>
  <si>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</si>
  <si>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</si>
  <si>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</si>
  <si>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</si>
  <si>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</si>
  <si>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</si>
  <si>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</si>
  <si>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</si>
  <si>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</si>
  <si>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</si>
  <si>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</si>
  <si>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</si>
  <si>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</si>
  <si>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</si>
  <si>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</si>
  <si>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</si>
  <si>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</si>
  <si>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</si>
  <si>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</si>
  <si>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</si>
  <si>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</si>
  <si>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</si>
  <si>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</si>
  <si>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</si>
  <si>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</si>
  <si>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</si>
  <si>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</si>
  <si>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</si>
  <si>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</si>
  <si>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</si>
  <si>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</si>
  <si>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</si>
  <si>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</si>
  <si>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</si>
  <si>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</si>
  <si>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</si>
  <si>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</si>
  <si>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</si>
  <si>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</si>
  <si>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</si>
  <si>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</si>
  <si>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</si>
  <si>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</si>
  <si>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</si>
  <si>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</si>
  <si>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</si>
  <si>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</si>
  <si>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</si>
  <si>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</si>
  <si>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</si>
  <si>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</si>
  <si>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</si>
  <si>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</si>
  <si>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</si>
  <si>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</si>
  <si>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</si>
  <si>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</si>
  <si>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</si>
  <si>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</si>
  <si>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</si>
  <si>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</si>
  <si>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</si>
  <si>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</si>
  <si>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</si>
  <si>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</si>
  <si>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</si>
  <si>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</si>
  <si>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</si>
  <si>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</si>
  <si>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</si>
  <si>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</si>
  <si>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</si>
  <si>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</si>
  <si>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</si>
  <si>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</si>
  <si>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</si>
  <si>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</si>
  <si>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</si>
  <si>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</si>
  <si>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</si>
  <si>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</si>
  <si>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</si>
  <si>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</si>
  <si>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</si>
  <si>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</si>
  <si>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</si>
  <si>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</si>
  <si>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</si>
  <si>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</si>
  <si>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</si>
  <si>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</si>
  <si>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</si>
  <si>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</si>
  <si>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</si>
  <si>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</si>
  <si>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</si>
  <si>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</si>
  <si>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</si>
  <si>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</si>
  <si>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</si>
  <si>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</si>
  <si>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</si>
  <si>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</si>
  <si>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</si>
  <si>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</si>
  <si>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</si>
  <si>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</si>
  <si>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</si>
  <si>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</si>
  <si>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</si>
  <si>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</si>
  <si>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</si>
  <si>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</si>
  <si>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</si>
  <si>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</si>
  <si>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</si>
  <si>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</si>
  <si>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</si>
  <si>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</si>
  <si>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</si>
  <si>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</si>
  <si>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</si>
  <si>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</si>
  <si>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</si>
  <si>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</si>
  <si>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</si>
  <si>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</si>
  <si>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</si>
  <si>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</si>
  <si>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</si>
  <si>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</si>
  <si>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</si>
  <si>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</si>
  <si>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</si>
  <si>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</si>
  <si>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</si>
  <si>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</si>
  <si>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</si>
  <si>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</si>
  <si>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</si>
  <si>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</si>
  <si>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</si>
  <si>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</si>
  <si>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</si>
  <si>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</si>
  <si>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</si>
  <si>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</si>
  <si>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</si>
  <si>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</si>
  <si>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</si>
  <si>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</si>
  <si>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</si>
  <si>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</si>
  <si>
    <t>七通</t>
    <phoneticPr fontId="31" type="noConversion"/>
  </si>
  <si>
    <r>
      <rPr>
        <sz val="11"/>
        <rFont val="宋体"/>
        <family val="3"/>
        <charset val="134"/>
      </rPr>
      <t>周边有乐汇超市、</t>
    </r>
    <r>
      <rPr>
        <sz val="11"/>
        <rFont val="Arial"/>
        <family val="2"/>
      </rPr>
      <t>123</t>
    </r>
    <r>
      <rPr>
        <sz val="11"/>
        <rFont val="宋体"/>
        <family val="3"/>
        <charset val="134"/>
      </rPr>
      <t>五金百货，周边商业氛围一般，人流量一般，商业繁华度一般。</t>
    </r>
    <phoneticPr fontId="31" type="noConversion"/>
  </si>
  <si>
    <t>周边有麒麟商业中心、荔隆广场，周边商业氛围一般，人流量一般，商业繁华度一般。</t>
    <phoneticPr fontId="31" type="noConversion"/>
  </si>
  <si>
    <t>周边有佛罗伦萨小镇，周边商业氛围一般，人流量一般，商业繁华度一般。</t>
    <phoneticPr fontId="3" type="noConversion"/>
  </si>
  <si>
    <t>周边有737路、武清3路，公交便捷度一般，路网密集程度一般，停车较便捷，综合评价交通便捷度一般。</t>
    <phoneticPr fontId="31" type="noConversion"/>
  </si>
  <si>
    <t>较一致</t>
  </si>
  <si>
    <t>项目类型</t>
  </si>
  <si>
    <t>天津市房地产权证号</t>
  </si>
  <si>
    <t>土地面积（平方米）</t>
  </si>
  <si>
    <t>建筑面积（平方米）</t>
  </si>
  <si>
    <t>主楼</t>
  </si>
  <si>
    <r>
      <t>房地证津字第</t>
    </r>
    <r>
      <rPr>
        <sz val="9"/>
        <color theme="1"/>
        <rFont val="Arial"/>
        <family val="2"/>
      </rPr>
      <t>122031029837</t>
    </r>
    <r>
      <rPr>
        <sz val="9"/>
        <color theme="1"/>
        <rFont val="华文细黑"/>
        <family val="3"/>
        <charset val="134"/>
      </rPr>
      <t>号</t>
    </r>
  </si>
  <si>
    <t>别墅</t>
  </si>
  <si>
    <r>
      <t>房地证津字第</t>
    </r>
    <r>
      <rPr>
        <sz val="9"/>
        <color theme="1"/>
        <rFont val="Arial"/>
        <family val="2"/>
      </rPr>
      <t>122031029858</t>
    </r>
    <r>
      <rPr>
        <sz val="9"/>
        <color theme="1"/>
        <rFont val="华文细黑"/>
        <family val="3"/>
        <charset val="134"/>
      </rPr>
      <t>号</t>
    </r>
  </si>
  <si>
    <t>康乐中心</t>
  </si>
  <si>
    <r>
      <t>房地证津字第</t>
    </r>
    <r>
      <rPr>
        <sz val="9"/>
        <color theme="1"/>
        <rFont val="Arial"/>
        <family val="2"/>
      </rPr>
      <t>122031029836</t>
    </r>
    <r>
      <rPr>
        <sz val="9"/>
        <color theme="1"/>
        <rFont val="华文细黑"/>
        <family val="3"/>
        <charset val="134"/>
      </rPr>
      <t>号</t>
    </r>
  </si>
  <si>
    <t>万景园四合院</t>
  </si>
  <si>
    <r>
      <t>房地证津字第</t>
    </r>
    <r>
      <rPr>
        <sz val="9"/>
        <color theme="1"/>
        <rFont val="Arial"/>
        <family val="2"/>
      </rPr>
      <t>122031029857</t>
    </r>
    <r>
      <rPr>
        <sz val="9"/>
        <color theme="1"/>
        <rFont val="华文细黑"/>
        <family val="3"/>
        <charset val="134"/>
      </rPr>
      <t>号</t>
    </r>
  </si>
  <si>
    <t>水上别墅</t>
  </si>
  <si>
    <r>
      <t>房地证津字第</t>
    </r>
    <r>
      <rPr>
        <sz val="9"/>
        <color theme="1"/>
        <rFont val="Arial"/>
        <family val="2"/>
      </rPr>
      <t>122031029835</t>
    </r>
    <r>
      <rPr>
        <sz val="9"/>
        <color theme="1"/>
        <rFont val="华文细黑"/>
        <family val="3"/>
        <charset val="134"/>
      </rPr>
      <t>号</t>
    </r>
  </si>
  <si>
    <t>15号楼</t>
  </si>
  <si>
    <r>
      <t>房地证津字第</t>
    </r>
    <r>
      <rPr>
        <sz val="9"/>
        <color theme="1"/>
        <rFont val="Arial"/>
        <family val="2"/>
      </rPr>
      <t>122010807239</t>
    </r>
    <r>
      <rPr>
        <sz val="9"/>
        <color theme="1"/>
        <rFont val="华文细黑"/>
        <family val="3"/>
        <charset val="134"/>
      </rPr>
      <t>号</t>
    </r>
  </si>
  <si>
    <t>总计</t>
  </si>
  <si>
    <t>楼层</t>
    <phoneticPr fontId="143" type="noConversion"/>
  </si>
  <si>
    <t>系数</t>
    <phoneticPr fontId="143" type="noConversion"/>
  </si>
  <si>
    <t>单价</t>
    <phoneticPr fontId="143" type="noConversion"/>
  </si>
  <si>
    <t>总价</t>
    <phoneticPr fontId="143" type="noConversion"/>
  </si>
  <si>
    <t>单价</t>
    <phoneticPr fontId="143" type="noConversion"/>
  </si>
  <si>
    <t>总价</t>
    <phoneticPr fontId="143" type="noConversion"/>
  </si>
  <si>
    <t>1-2层</t>
    <phoneticPr fontId="143" type="noConversion"/>
  </si>
  <si>
    <r>
      <t>1</t>
    </r>
    <r>
      <rPr>
        <sz val="11"/>
        <color theme="1"/>
        <rFont val="宋体"/>
        <family val="3"/>
        <charset val="134"/>
        <scheme val="minor"/>
      </rPr>
      <t>-3层</t>
    </r>
    <phoneticPr fontId="143" type="noConversion"/>
  </si>
  <si>
    <r>
      <t>1</t>
    </r>
    <r>
      <rPr>
        <sz val="11"/>
        <color theme="1"/>
        <rFont val="宋体"/>
        <family val="3"/>
        <charset val="134"/>
        <scheme val="minor"/>
      </rPr>
      <t>-4层</t>
    </r>
    <phoneticPr fontId="143" type="noConversion"/>
  </si>
  <si>
    <t>1-6层</t>
    <phoneticPr fontId="143" type="noConversion"/>
  </si>
  <si>
    <t>面积</t>
    <phoneticPr fontId="143" type="noConversion"/>
  </si>
  <si>
    <t>1层</t>
    <phoneticPr fontId="143" type="noConversion"/>
  </si>
  <si>
    <t>单价（元/平方米）</t>
    <phoneticPr fontId="143" type="noConversion"/>
  </si>
  <si>
    <t>总价（万元）</t>
    <phoneticPr fontId="143" type="noConversion"/>
  </si>
  <si>
    <t>项目名称</t>
  </si>
  <si>
    <t>房地产价值</t>
  </si>
  <si>
    <t>楼面单价</t>
  </si>
  <si>
    <r>
      <t>总</t>
    </r>
    <r>
      <rPr>
        <sz val="9"/>
        <color theme="1"/>
        <rFont val="Arial"/>
        <family val="2"/>
      </rPr>
      <t xml:space="preserve"> </t>
    </r>
    <r>
      <rPr>
        <sz val="9"/>
        <color theme="1"/>
        <rFont val="华文细黑"/>
        <family val="3"/>
        <charset val="134"/>
      </rPr>
      <t>价</t>
    </r>
  </si>
  <si>
    <t>大写金额</t>
  </si>
  <si>
    <t>元整</t>
  </si>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</sst>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
      <sz val="9"/>
      <color theme="1"/>
      <name val="华文细黑"/>
      <family val="3"/>
      <charset val="134"/>
    </font>
    <font>
      <sz val="9"/>
      <color theme="1"/>
      <name val="Arial"/>
      <family val="2"/>
    </font>
    <font>
      <sz val="9"/>
      <color rgb="FFE36C0A"/>
      <name val="华文细黑"/>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style="medium">
        <color rgb="FF404040"/>
      </bottom>
      <diagonal/>
    </border>
    <border>
      <left/>
      <right style="medium">
        <color rgb="FF404040"/>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style="medium">
        <color rgb="FF404040"/>
      </left>
      <right style="medium">
        <color rgb="FF404040"/>
      </right>
      <top style="medium">
        <color rgb="FF404040"/>
      </top>
      <bottom style="thin">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57" fillId="0" borderId="156" xfId="0" applyFont="1" applyBorder="1" applyAlignment="1">
      <alignment horizontal="justify" vertical="center" wrapText="1"/>
    </xf>
    <xf numFmtId="0" fontId="257" fillId="0" borderId="157" xfId="0" applyFont="1" applyBorder="1" applyAlignment="1">
      <alignment horizontal="justify" vertical="center" wrapText="1"/>
    </xf>
    <xf numFmtId="0" fontId="258" fillId="0" borderId="160" xfId="0" applyFont="1" applyBorder="1" applyAlignment="1">
      <alignment horizontal="justify" vertical="center" wrapText="1"/>
    </xf>
    <xf numFmtId="0" fontId="257" fillId="0" borderId="0" xfId="0" applyFont="1" applyFill="1" applyBorder="1" applyAlignment="1">
      <alignment horizontal="justify" vertical="center" wrapText="1"/>
    </xf>
    <xf numFmtId="0" fontId="257" fillId="0" borderId="161" xfId="0" applyFont="1" applyFill="1" applyBorder="1" applyAlignment="1">
      <alignment horizontal="justify" vertical="center" wrapText="1"/>
    </xf>
    <xf numFmtId="0" fontId="258" fillId="5" borderId="160" xfId="0" applyFont="1" applyFill="1" applyBorder="1" applyAlignment="1">
      <alignment horizontal="justify" vertical="center" wrapText="1"/>
    </xf>
    <xf numFmtId="0" fontId="0" fillId="5" borderId="0" xfId="0" applyFill="1">
      <alignment vertical="center"/>
    </xf>
    <xf numFmtId="0" fontId="257" fillId="5" borderId="158" xfId="0" applyFont="1" applyFill="1" applyBorder="1" applyAlignment="1">
      <alignment horizontal="justify" vertical="center" wrapText="1"/>
    </xf>
    <xf numFmtId="0" fontId="257" fillId="5" borderId="160" xfId="0" applyFont="1" applyFill="1" applyBorder="1" applyAlignment="1">
      <alignment horizontal="justify" vertical="center" wrapText="1"/>
    </xf>
    <xf numFmtId="0" fontId="258" fillId="9" borderId="160" xfId="0" applyFont="1" applyFill="1" applyBorder="1" applyAlignment="1">
      <alignment horizontal="justify" vertical="center" wrapText="1"/>
    </xf>
    <xf numFmtId="0" fontId="0" fillId="9" borderId="0" xfId="0" applyFill="1">
      <alignment vertical="center"/>
    </xf>
    <xf numFmtId="1" fontId="0" fillId="5" borderId="0" xfId="0" applyNumberFormat="1" applyFill="1">
      <alignment vertical="center"/>
    </xf>
    <xf numFmtId="0" fontId="257" fillId="0" borderId="162" xfId="0" applyFont="1" applyBorder="1" applyAlignment="1">
      <alignment vertical="center"/>
    </xf>
    <xf numFmtId="1" fontId="257" fillId="0" borderId="162" xfId="0" applyNumberFormat="1" applyFont="1" applyBorder="1" applyAlignment="1">
      <alignment vertical="center"/>
    </xf>
    <xf numFmtId="0" fontId="257" fillId="0" borderId="165" xfId="0" applyFont="1" applyBorder="1" applyAlignmen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257" fillId="5" borderId="163" xfId="0" applyFont="1" applyFill="1" applyBorder="1" applyAlignment="1">
      <alignment horizontal="justify" vertical="center" wrapText="1"/>
    </xf>
    <xf numFmtId="0" fontId="257" fillId="5" borderId="164" xfId="0" applyFont="1" applyFill="1" applyBorder="1" applyAlignment="1">
      <alignment horizontal="justify" vertical="center" wrapText="1"/>
    </xf>
    <xf numFmtId="0" fontId="257" fillId="9" borderId="163" xfId="0" applyFont="1" applyFill="1" applyBorder="1" applyAlignment="1">
      <alignment horizontal="justify" vertical="center" wrapText="1"/>
    </xf>
    <xf numFmtId="0" fontId="257" fillId="9" borderId="164" xfId="0" applyFont="1" applyFill="1" applyBorder="1" applyAlignment="1">
      <alignment horizontal="justify" vertical="center" wrapText="1"/>
    </xf>
    <xf numFmtId="0" fontId="257" fillId="0" borderId="162" xfId="0" applyFont="1" applyBorder="1" applyAlignment="1">
      <alignment horizontal="justify" vertical="center" wrapText="1"/>
    </xf>
    <xf numFmtId="0" fontId="257" fillId="0" borderId="159" xfId="0" applyFont="1" applyBorder="1" applyAlignment="1">
      <alignment horizontal="justify" vertical="center" wrapText="1"/>
    </xf>
    <xf numFmtId="0" fontId="257" fillId="0" borderId="158"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59" xfId="0" applyFont="1" applyBorder="1" applyAlignment="1">
      <alignment horizontal="justify" vertical="center" wrapText="1"/>
    </xf>
    <xf numFmtId="0" fontId="258" fillId="0" borderId="158" xfId="0" applyFont="1" applyBorder="1" applyAlignment="1">
      <alignment horizontal="justify"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 fontId="54"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1" fontId="84" fillId="11" borderId="1" xfId="0" applyNumberFormat="1"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169" xfId="0" applyFont="1" applyBorder="1" applyAlignment="1">
      <alignment horizontal="justify" vertical="center" wrapText="1"/>
    </xf>
    <xf numFmtId="0" fontId="259" fillId="0" borderId="167" xfId="0" applyFont="1" applyBorder="1" applyAlignment="1">
      <alignment horizontal="justify" vertical="center" wrapText="1"/>
    </xf>
    <xf numFmtId="0" fontId="258" fillId="0" borderId="169" xfId="0" applyFont="1" applyBorder="1" applyAlignment="1">
      <alignment horizontal="justify" vertical="center" wrapText="1"/>
    </xf>
    <xf numFmtId="0" fontId="257" fillId="0" borderId="166" xfId="0" applyFont="1" applyBorder="1" applyAlignment="1">
      <alignment horizontal="justify" vertical="center" wrapText="1"/>
    </xf>
    <xf numFmtId="0" fontId="257" fillId="0" borderId="167" xfId="0" applyFont="1" applyBorder="1" applyAlignment="1">
      <alignment horizontal="justify" vertical="center" wrapText="1"/>
    </xf>
    <xf numFmtId="0" fontId="259" fillId="0" borderId="167" xfId="0" applyFont="1" applyBorder="1" applyAlignment="1">
      <alignment horizontal="justify" vertical="center" wrapText="1"/>
    </xf>
    <xf numFmtId="0" fontId="257" fillId="0" borderId="170" xfId="0" applyFont="1" applyBorder="1" applyAlignment="1">
      <alignment horizontal="justify" vertical="center" wrapText="1"/>
    </xf>
    <xf numFmtId="0" fontId="257" fillId="0" borderId="168" xfId="0" applyFont="1" applyBorder="1" applyAlignment="1">
      <alignment horizontal="justify" vertical="center" wrapText="1"/>
    </xf>
    <xf numFmtId="0" fontId="257" fillId="0" borderId="171" xfId="0" applyFont="1" applyBorder="1" applyAlignment="1">
      <alignment horizontal="justify" vertical="center" wrapText="1"/>
    </xf>
    <xf numFmtId="0" fontId="257" fillId="0" borderId="172" xfId="0" applyFont="1" applyBorder="1" applyAlignment="1">
      <alignment horizontal="justify" vertical="center" wrapText="1"/>
    </xf>
    <xf numFmtId="0" fontId="257" fillId="0" borderId="173" xfId="0" applyFont="1" applyBorder="1" applyAlignment="1">
      <alignment horizontal="justify" vertical="center" wrapText="1"/>
    </xf>
    <xf numFmtId="0" fontId="257" fillId="0" borderId="167" xfId="0" applyFont="1" applyBorder="1" applyAlignment="1">
      <alignment horizontal="justify" vertical="center" wrapText="1"/>
    </xf>
    <xf numFmtId="0" fontId="259" fillId="0" borderId="169" xfId="0" applyFont="1" applyBorder="1" applyAlignment="1">
      <alignment horizontal="justify" vertical="center" wrapText="1"/>
    </xf>
    <xf numFmtId="0" fontId="257" fillId="0" borderId="171" xfId="0" applyFont="1" applyBorder="1" applyAlignment="1">
      <alignment vertical="center" wrapText="1"/>
    </xf>
    <xf numFmtId="0" fontId="257" fillId="0" borderId="172" xfId="0" applyFont="1" applyBorder="1" applyAlignment="1">
      <alignment vertical="center" wrapText="1"/>
    </xf>
    <xf numFmtId="0" fontId="257" fillId="0" borderId="166" xfId="0" applyFont="1" applyBorder="1" applyAlignment="1">
      <alignment horizontal="left" vertical="center" wrapText="1"/>
    </xf>
    <xf numFmtId="0" fontId="257" fillId="0" borderId="167" xfId="0" applyFont="1" applyBorder="1" applyAlignment="1">
      <alignment horizontal="lef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12</xdr:col>
      <xdr:colOff>66674</xdr:colOff>
      <xdr:row>35</xdr:row>
      <xdr:rowOff>331750</xdr:rowOff>
    </xdr:from>
    <xdr:to>
      <xdr:col>20</xdr:col>
      <xdr:colOff>227799</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2877799" y="8475625"/>
          <a:ext cx="5647525" cy="5134918"/>
        </a:xfrm>
        <a:prstGeom prst="rect">
          <a:avLst/>
        </a:prstGeom>
      </xdr:spPr>
    </xdr:pic>
    <xdr:clientData/>
  </xdr:twoCellAnchor>
  <xdr:twoCellAnchor editAs="oneCell">
    <xdr:from>
      <xdr:col>7</xdr:col>
      <xdr:colOff>361950</xdr:colOff>
      <xdr:row>38</xdr:row>
      <xdr:rowOff>161925</xdr:rowOff>
    </xdr:from>
    <xdr:to>
      <xdr:col>10</xdr:col>
      <xdr:colOff>561631</xdr:colOff>
      <xdr:row>50</xdr:row>
      <xdr:rowOff>56906</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9248775" y="9182100"/>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118139</v>
      </c>
    </row>
    <row r="21" spans="1:2" s="1592" customFormat="1">
      <c r="A21" s="1590" t="s">
        <v>1236</v>
      </c>
      <c r="B21" s="1591">
        <f ca="1">'预评函-2'!D7</f>
        <v>10102</v>
      </c>
    </row>
    <row r="22" spans="1:2" s="1592" customFormat="1">
      <c r="A22" s="1590" t="s">
        <v>1237</v>
      </c>
      <c r="B22" s="1591" t="str">
        <f ca="1">'预评函-2'!D6</f>
        <v>壹拾壹亿捌仟壹佰叁拾玖万元整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118139</v>
      </c>
    </row>
    <row r="31" spans="1:2" s="1592" customFormat="1">
      <c r="A31" s="1590" t="s">
        <v>1275</v>
      </c>
      <c r="B31" s="1591">
        <f ca="1">'预评函-2'!D15</f>
        <v>10102</v>
      </c>
    </row>
    <row r="32" spans="1:2" s="1592" customFormat="1">
      <c r="A32" s="1590" t="s">
        <v>1242</v>
      </c>
      <c r="B32" s="1591" t="str">
        <f ca="1">'预评函-2'!D14</f>
        <v>壹拾壹亿捌仟壹佰叁拾玖万元整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65318</v>
      </c>
    </row>
    <row r="48" spans="1:2" s="1592" customFormat="1">
      <c r="A48" s="1590" t="s">
        <v>1248</v>
      </c>
      <c r="B48" s="1591">
        <f ca="1">'预评函-3'!E4</f>
        <v>5585</v>
      </c>
    </row>
    <row r="49" spans="1:2" s="1592" customFormat="1">
      <c r="A49" s="1590" t="s">
        <v>1249</v>
      </c>
      <c r="B49" s="1591" t="str">
        <f ca="1">'预评函-3'!D5</f>
        <v>陆亿伍仟叁佰壹拾捌万元整</v>
      </c>
    </row>
    <row r="50" spans="1:2" s="1592" customFormat="1">
      <c r="A50" s="1590" t="s">
        <v>1273</v>
      </c>
      <c r="B50" s="1591" t="str">
        <f>'预评函-3'!F2</f>
        <v>在建建筑物价值</v>
      </c>
    </row>
    <row r="51" spans="1:2" s="1592" customFormat="1">
      <c r="A51" s="1590" t="s">
        <v>1250</v>
      </c>
      <c r="B51" s="1591">
        <f ca="1">'预评函-3'!F4</f>
        <v>52821</v>
      </c>
    </row>
    <row r="52" spans="1:2" s="1592" customFormat="1">
      <c r="A52" s="1590" t="s">
        <v>1251</v>
      </c>
      <c r="B52" s="1591">
        <f ca="1">'预评函-3'!G4</f>
        <v>4517</v>
      </c>
    </row>
    <row r="53" spans="1:2" s="1592" customFormat="1">
      <c r="A53" s="1590" t="s">
        <v>1279</v>
      </c>
      <c r="B53" s="1591" t="str">
        <f ca="1">'预评函-3'!F5</f>
        <v>伍亿贰仟捌佰贰拾壹万元整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3120</v>
      </c>
      <c r="C17" s="2014"/>
    </row>
    <row r="18" spans="1:3">
      <c r="A18" s="2013" t="s">
        <v>1769</v>
      </c>
      <c r="B18" s="2013" t="s">
        <v>3123</v>
      </c>
      <c r="C18" s="2014"/>
    </row>
    <row r="19" spans="1:3">
      <c r="A19" s="2013" t="s">
        <v>1770</v>
      </c>
      <c r="B19" s="2013" t="s">
        <v>3122</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4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1" t="s">
        <v>864</v>
      </c>
      <c r="C54" s="2018" t="s">
        <v>1282</v>
      </c>
    </row>
    <row r="55" spans="1:4">
      <c r="A55" s="3042"/>
      <c r="B55" s="2021" t="s">
        <v>865</v>
      </c>
      <c r="C55" s="2018" t="s">
        <v>1283</v>
      </c>
    </row>
    <row r="56" spans="1:4">
      <c r="A56" s="3042"/>
      <c r="B56" s="2021" t="s">
        <v>866</v>
      </c>
      <c r="C56" s="2018" t="s">
        <v>1287</v>
      </c>
    </row>
    <row r="57" spans="1:4">
      <c r="A57" s="3042"/>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43" t="str">
        <f>IF(B10="北京市","北京市",C10)&amp;F10&amp;IF(结果表!G1="在建","出让国有建设用地使用权及在建建筑物",IF(结果表!G1="土地","出让国有建设用地使用权",))&amp;B9&amp;"预评估"</f>
        <v>预评估</v>
      </c>
      <c r="C1" s="3044"/>
      <c r="D1" s="3044"/>
      <c r="E1" s="3044"/>
      <c r="F1" s="3044"/>
      <c r="G1" s="3044"/>
      <c r="H1" s="3044"/>
      <c r="I1" s="304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3112</v>
      </c>
      <c r="C4" s="1037">
        <f ca="1">SUMIF(注册房地产估价师,B4,估价师及机构信息!B3:B24)</f>
        <v>1120140022</v>
      </c>
      <c r="D4" s="2038" t="s">
        <v>3113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46"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47"/>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53"/>
      <c r="C16" s="3054"/>
      <c r="D16" s="3055"/>
      <c r="E16" s="2085" t="s">
        <v>1804</v>
      </c>
      <c r="F16" s="3056"/>
      <c r="G16" s="3057"/>
      <c r="H16" s="3057"/>
      <c r="I16" s="3058"/>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59" t="s">
        <v>1808</v>
      </c>
      <c r="F17" s="3060"/>
      <c r="G17" s="3060"/>
      <c r="H17" s="3060"/>
      <c r="I17" s="3061"/>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62" t="s">
        <v>1811</v>
      </c>
      <c r="F18" s="3063"/>
      <c r="G18" s="3063"/>
      <c r="H18" s="3063"/>
      <c r="I18" s="3064"/>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9" t="s">
        <v>1816</v>
      </c>
      <c r="C20" s="3050"/>
      <c r="D20" s="3051" t="s">
        <v>1817</v>
      </c>
      <c r="E20" s="3052"/>
      <c r="F20" s="2097" t="s">
        <v>1818</v>
      </c>
      <c r="G20" s="2041"/>
      <c r="H20" s="2041"/>
      <c r="I20" s="2041"/>
      <c r="J20" s="2041"/>
      <c r="K20" s="3048"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66"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66"/>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66"/>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67"/>
      <c r="B30" s="2034" t="s">
        <v>1835</v>
      </c>
      <c r="C30" s="3068"/>
      <c r="D30" s="306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70"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7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7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65" t="s">
        <v>1845</v>
      </c>
      <c r="T34" s="2134" t="str">
        <f>NUMBERSTRING(7-K34,1)&amp;"通"</f>
        <v>七通</v>
      </c>
      <c r="U34" s="2028"/>
      <c r="V34" s="2028"/>
    </row>
    <row r="35" spans="1:22" ht="18" customHeight="1">
      <c r="A35" s="2135"/>
      <c r="B35" s="3072" t="s">
        <v>1846</v>
      </c>
      <c r="C35" s="3072"/>
      <c r="D35" s="3072"/>
      <c r="E35" s="3072"/>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5"/>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2">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84" t="s">
        <v>1942</v>
      </c>
      <c r="B2" s="3084"/>
      <c r="C2" s="3084"/>
      <c r="D2" s="967" t="s">
        <v>1918</v>
      </c>
      <c r="E2" s="2227" t="s">
        <v>1919</v>
      </c>
      <c r="F2" s="1391"/>
      <c r="G2" s="2228"/>
      <c r="H2" s="2229"/>
      <c r="I2" s="2230" t="s">
        <v>1943</v>
      </c>
      <c r="J2" s="1391"/>
      <c r="K2" s="1391"/>
      <c r="L2" s="1391"/>
      <c r="M2" s="1391"/>
      <c r="N2" s="1426"/>
      <c r="O2" s="1391"/>
      <c r="P2" s="1391"/>
    </row>
    <row r="3" spans="1:16" ht="15.75" thickBot="1">
      <c r="A3" s="3085" t="s">
        <v>1916</v>
      </c>
      <c r="B3" s="3085"/>
      <c r="C3" s="3085"/>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86"/>
      <c r="B4" s="3087"/>
      <c r="C4" s="3088"/>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89" t="s">
        <v>1921</v>
      </c>
      <c r="C5" s="3089"/>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89" t="s">
        <v>1922</v>
      </c>
      <c r="C6" s="3089"/>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81"/>
      <c r="B7" s="3082"/>
      <c r="C7" s="3083"/>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78" t="s">
        <v>1946</v>
      </c>
      <c r="L16" s="3079"/>
      <c r="M16" s="3079"/>
      <c r="N16" s="3079"/>
      <c r="O16" s="3079"/>
      <c r="P16" s="3080"/>
    </row>
    <row r="17" spans="1:19" ht="15">
      <c r="A17" s="2242" t="s">
        <v>1947</v>
      </c>
      <c r="B17" s="2243" t="s">
        <v>1948</v>
      </c>
      <c r="C17" s="2244" t="s">
        <v>1949</v>
      </c>
      <c r="D17" s="2245" t="s">
        <v>1937</v>
      </c>
      <c r="E17" s="2246" t="s">
        <v>1938</v>
      </c>
      <c r="F17" s="2247"/>
      <c r="G17" s="2248"/>
      <c r="H17" s="2249" t="s">
        <v>1950</v>
      </c>
      <c r="I17" s="2250" t="s">
        <v>1935</v>
      </c>
      <c r="J17" s="1391"/>
      <c r="K17" s="3075" t="s">
        <v>1951</v>
      </c>
      <c r="L17" s="3076"/>
      <c r="M17" s="3077"/>
      <c r="N17" s="3075" t="s">
        <v>1952</v>
      </c>
      <c r="O17" s="3076"/>
      <c r="P17" s="3077"/>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3114</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3116</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3117</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2E-3</v>
      </c>
      <c r="AM6" s="95">
        <v>0.05</v>
      </c>
      <c r="AN6" s="2309" t="s">
        <v>3119</v>
      </c>
      <c r="AO6" s="54">
        <f ca="1">SUMIF(INDIRECT("'"&amp;AN6&amp;"'"&amp;"!A:A"),"总价",INDIRECT("'"&amp;AN6&amp;"'"&amp;"!B:B"))</f>
        <v>35209</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2E-3</v>
      </c>
      <c r="AM7" s="93">
        <f t="shared" si="10"/>
        <v>0.05</v>
      </c>
      <c r="AN7" s="2309" t="s">
        <v>3143</v>
      </c>
      <c r="AO7" s="54">
        <f t="shared" ref="AO7:AO13" ca="1" si="11">SUMIF(INDIRECT("'"&amp;AN7&amp;"'"&amp;"!A:A"),"总价",INDIRECT("'"&amp;AN7&amp;"'"&amp;"!B:B"))</f>
        <v>57078</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3">
        <f>AD20</f>
        <v>0.8165</v>
      </c>
      <c r="AE8" s="1262">
        <f t="shared" ca="1" si="8"/>
        <v>28.05</v>
      </c>
      <c r="AF8" s="1803">
        <v>1</v>
      </c>
      <c r="AG8" s="146">
        <f t="shared" ca="1" si="9"/>
        <v>27.05</v>
      </c>
      <c r="AH8" s="808"/>
      <c r="AI8" s="84">
        <v>365</v>
      </c>
      <c r="AJ8" s="85"/>
      <c r="AK8" s="93">
        <f>AK7</f>
        <v>0.03</v>
      </c>
      <c r="AL8" s="93">
        <f t="shared" ref="AL8" si="15">AL7</f>
        <v>2E-3</v>
      </c>
      <c r="AM8" s="93">
        <f t="shared" ref="AM8" si="16">AM7</f>
        <v>0.05</v>
      </c>
      <c r="AN8" s="2309" t="s">
        <v>3121</v>
      </c>
      <c r="AO8" s="54">
        <f t="shared" ca="1" si="11"/>
        <v>46460</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5.5000000000000007E-2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35" sqref="B35"/>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90" t="s">
        <v>2087</v>
      </c>
      <c r="B1" s="3091"/>
      <c r="C1" s="3091"/>
      <c r="D1" s="3091"/>
      <c r="E1" s="3091"/>
      <c r="F1" s="3091"/>
      <c r="G1" s="30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118139</v>
      </c>
      <c r="C5" s="1742">
        <f ca="1">ROUND(B5*10000/$B$1,0)</f>
        <v>10102</v>
      </c>
      <c r="D5" s="1742">
        <f ca="1">ROUND(B5*10000/$B$2,0)</f>
        <v>8552</v>
      </c>
      <c r="E5" s="1741"/>
      <c r="F5" s="1739"/>
      <c r="G5" s="1739"/>
    </row>
    <row r="6" spans="1:10" ht="16.5">
      <c r="A6" s="1742" t="s">
        <v>1357</v>
      </c>
      <c r="B6" s="1742">
        <f ca="1">SUM(G14:G23)</f>
        <v>118139</v>
      </c>
      <c r="C6" s="1742">
        <f ca="1">ROUND(B6*10000/$B$1,0)</f>
        <v>10102</v>
      </c>
      <c r="D6" s="1742">
        <f ca="1">ROUND(B6*10000/$B$2,0)</f>
        <v>8552</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118139</v>
      </c>
      <c r="E14" s="1740">
        <f ca="1">ROUND(D14*10000/B14,0)</f>
        <v>10102</v>
      </c>
      <c r="F14" s="1740">
        <f ca="1">ROUND(D14*10000/C14,0)</f>
        <v>8552</v>
      </c>
      <c r="G14" s="1740">
        <f ca="1">结果表!D122</f>
        <v>118139</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6" zoomScaleNormal="100" zoomScaleSheetLayoutView="100" zoomScalePageLayoutView="80" workbookViewId="0">
      <selection activeCell="I118" sqref="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64" t="str">
        <f>项目基本情况!S2</f>
        <v>房地产</v>
      </c>
      <c r="B2" s="3165"/>
      <c r="C2" s="3165"/>
      <c r="D2" s="3165"/>
      <c r="E2" s="3165"/>
      <c r="F2" s="3165"/>
      <c r="G2" s="3165"/>
      <c r="H2" s="3165"/>
      <c r="I2" s="3166"/>
    </row>
    <row r="3" spans="1:12" ht="12.75">
      <c r="A3" s="3167" t="s">
        <v>2122</v>
      </c>
      <c r="B3" s="3168"/>
      <c r="C3" s="3168"/>
      <c r="D3" s="3168"/>
      <c r="E3" s="3168"/>
      <c r="F3" s="3168"/>
      <c r="G3" s="3168"/>
      <c r="H3" s="3168"/>
      <c r="I3" s="3168"/>
    </row>
    <row r="4" spans="1:12" ht="14.25">
      <c r="A4" s="2425" t="s">
        <v>2123</v>
      </c>
      <c r="B4" s="2426" t="s">
        <v>2124</v>
      </c>
      <c r="C4" s="2427" t="s">
        <v>3071</v>
      </c>
      <c r="D4" s="2427" t="s">
        <v>3074</v>
      </c>
      <c r="E4" s="3148" t="s">
        <v>2125</v>
      </c>
      <c r="F4" s="3161"/>
      <c r="G4" s="3161"/>
      <c r="H4" s="3161"/>
      <c r="I4" s="314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2126</v>
      </c>
      <c r="B5" s="3065">
        <v>25</v>
      </c>
      <c r="C5" s="3169">
        <v>24</v>
      </c>
      <c r="D5" s="3157">
        <v>24</v>
      </c>
      <c r="E5" s="139" t="s">
        <v>2127</v>
      </c>
      <c r="F5" s="2429"/>
      <c r="G5" s="2429"/>
      <c r="H5" s="2429"/>
      <c r="I5" s="1830"/>
    </row>
    <row r="6" spans="1:12" ht="12.75">
      <c r="A6" s="3139"/>
      <c r="B6" s="3065"/>
      <c r="C6" s="3171"/>
      <c r="D6" s="3157"/>
      <c r="E6" s="139" t="s">
        <v>2128</v>
      </c>
      <c r="F6" s="2429"/>
      <c r="G6" s="2429"/>
      <c r="H6" s="2429"/>
      <c r="I6" s="1830"/>
    </row>
    <row r="7" spans="1:12" ht="12.75">
      <c r="A7" s="3139"/>
      <c r="B7" s="3065"/>
      <c r="C7" s="3170"/>
      <c r="D7" s="3157"/>
      <c r="E7" s="139" t="s">
        <v>2129</v>
      </c>
      <c r="F7" s="2429"/>
      <c r="G7" s="2429"/>
      <c r="H7" s="2429"/>
      <c r="I7" s="1830"/>
    </row>
    <row r="8" spans="1:12" ht="12.75">
      <c r="A8" s="3139" t="s">
        <v>2130</v>
      </c>
      <c r="B8" s="3065">
        <v>15</v>
      </c>
      <c r="C8" s="3169">
        <v>14</v>
      </c>
      <c r="D8" s="3157">
        <f>C8</f>
        <v>14</v>
      </c>
      <c r="E8" s="139" t="s">
        <v>2131</v>
      </c>
      <c r="F8" s="2429"/>
      <c r="G8" s="2429"/>
      <c r="H8" s="2429"/>
      <c r="I8" s="1830"/>
    </row>
    <row r="9" spans="1:12" ht="12.75">
      <c r="A9" s="3139"/>
      <c r="B9" s="3065"/>
      <c r="C9" s="3170"/>
      <c r="D9" s="3157"/>
      <c r="E9" s="139" t="s">
        <v>2132</v>
      </c>
      <c r="F9" s="2429"/>
      <c r="G9" s="2429"/>
      <c r="H9" s="2429"/>
      <c r="I9" s="1830"/>
    </row>
    <row r="10" spans="1:12" ht="12.75" customHeight="1">
      <c r="A10" s="3139" t="s">
        <v>2133</v>
      </c>
      <c r="B10" s="3065">
        <v>15</v>
      </c>
      <c r="C10" s="3169">
        <f>C8</f>
        <v>14</v>
      </c>
      <c r="D10" s="3157">
        <f t="shared" ref="D10" si="0">C10</f>
        <v>14</v>
      </c>
      <c r="E10" s="139" t="s">
        <v>2134</v>
      </c>
      <c r="F10" s="2429"/>
      <c r="G10" s="2429"/>
      <c r="H10" s="2429"/>
      <c r="I10" s="1830"/>
    </row>
    <row r="11" spans="1:12" ht="12.75" customHeight="1">
      <c r="A11" s="3139"/>
      <c r="B11" s="3065"/>
      <c r="C11" s="3170"/>
      <c r="D11" s="3157"/>
      <c r="E11" s="139" t="s">
        <v>2135</v>
      </c>
      <c r="F11" s="2429"/>
      <c r="G11" s="2429"/>
      <c r="H11" s="2429"/>
      <c r="I11" s="1830"/>
    </row>
    <row r="12" spans="1:12" ht="12.75" customHeight="1">
      <c r="A12" s="3139" t="s">
        <v>2136</v>
      </c>
      <c r="B12" s="3065">
        <v>15</v>
      </c>
      <c r="C12" s="3169">
        <f>C10</f>
        <v>14</v>
      </c>
      <c r="D12" s="3157">
        <f t="shared" ref="D12" si="1">C12</f>
        <v>14</v>
      </c>
      <c r="E12" s="139" t="s">
        <v>2137</v>
      </c>
      <c r="F12" s="2429"/>
      <c r="G12" s="2429"/>
      <c r="H12" s="2429"/>
      <c r="I12" s="1830"/>
    </row>
    <row r="13" spans="1:12" ht="12.75" customHeight="1">
      <c r="A13" s="3139"/>
      <c r="B13" s="3065"/>
      <c r="C13" s="3170"/>
      <c r="D13" s="3157"/>
      <c r="E13" s="139" t="s">
        <v>2138</v>
      </c>
      <c r="F13" s="2429"/>
      <c r="G13" s="2429"/>
      <c r="H13" s="2429"/>
      <c r="I13" s="1830"/>
    </row>
    <row r="14" spans="1:12" ht="12.75">
      <c r="A14" s="3139" t="s">
        <v>2139</v>
      </c>
      <c r="B14" s="3065">
        <v>30</v>
      </c>
      <c r="C14" s="3169">
        <v>28</v>
      </c>
      <c r="D14" s="3157">
        <v>28</v>
      </c>
      <c r="E14" s="139" t="s">
        <v>2140</v>
      </c>
      <c r="F14" s="2429"/>
      <c r="G14" s="2429"/>
      <c r="H14" s="2429"/>
      <c r="I14" s="1830"/>
    </row>
    <row r="15" spans="1:12" ht="12.75">
      <c r="A15" s="3139"/>
      <c r="B15" s="3065"/>
      <c r="C15" s="3171"/>
      <c r="D15" s="3157"/>
      <c r="E15" s="139" t="s">
        <v>2141</v>
      </c>
      <c r="F15" s="2429"/>
      <c r="G15" s="2429"/>
      <c r="H15" s="2429"/>
      <c r="I15" s="1830"/>
    </row>
    <row r="16" spans="1:12" ht="12.75">
      <c r="A16" s="3139"/>
      <c r="B16" s="3065"/>
      <c r="C16" s="3170"/>
      <c r="D16" s="3157"/>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131721</v>
      </c>
      <c r="D19" s="143">
        <f ca="1">SUMIF(INDIRECT("'"&amp;D4&amp;"'"&amp;"!A:A"),结果表!B19,INDIRECT("'"&amp;D4&amp;"'"&amp;"!B:B"))</f>
        <v>138747</v>
      </c>
      <c r="E19" s="2434" t="s">
        <v>2150</v>
      </c>
      <c r="F19" s="2435" t="s">
        <v>2149</v>
      </c>
      <c r="G19" s="144">
        <f ca="1">ROUND(C19*$C$18+D19*$D$18,0)</f>
        <v>135234</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11264</v>
      </c>
      <c r="D20" s="146">
        <f ca="1">SUMIF(INDIRECT("'"&amp;D4&amp;"'"&amp;"!A:A"),结果表!B20,INDIRECT("'"&amp;D4&amp;"'"&amp;"!B:B"))</f>
        <v>11864</v>
      </c>
      <c r="E20" s="2437"/>
      <c r="F20" s="1247" t="s">
        <v>2153</v>
      </c>
      <c r="G20" s="147">
        <f ca="1">ROUND(C20*$C$18+D20*$D$18,0)</f>
        <v>11564</v>
      </c>
      <c r="H20" s="980" t="s">
        <v>2154</v>
      </c>
      <c r="I20" s="137"/>
    </row>
    <row r="21" spans="1:35" ht="15" customHeight="1" thickBot="1">
      <c r="A21" s="1000"/>
      <c r="B21" s="2438" t="s">
        <v>2155</v>
      </c>
      <c r="C21" s="789">
        <f ca="1">ROUND(C19*10000/L19,0)</f>
        <v>9535</v>
      </c>
      <c r="D21" s="790">
        <f ca="1">ROUND(D19*10000/L19,0)</f>
        <v>10044</v>
      </c>
      <c r="E21" s="1000"/>
      <c r="F21" s="2438" t="s">
        <v>2155</v>
      </c>
      <c r="G21" s="148">
        <f ca="1">ROUND(G19*10000/L19,0)</f>
        <v>9789</v>
      </c>
      <c r="H21" s="2439" t="s">
        <v>2154</v>
      </c>
      <c r="I21" s="137"/>
    </row>
    <row r="22" spans="1:35" ht="15" thickBot="1">
      <c r="A22" s="2281" t="s">
        <v>2156</v>
      </c>
      <c r="B22" s="2440"/>
      <c r="C22" s="2441"/>
      <c r="D22" s="791">
        <f ca="1">IF(C19&lt;D19,D19/C19-1,C19/D19-1)</f>
        <v>5.3340014120755175E-2</v>
      </c>
      <c r="E22" s="137"/>
      <c r="F22" s="137"/>
      <c r="G22" s="137"/>
      <c r="H22" s="137"/>
      <c r="I22" s="137"/>
    </row>
    <row r="23" spans="1:35" ht="13.5" thickBot="1">
      <c r="A23" s="2418"/>
      <c r="B23" s="2418"/>
      <c r="C23" s="2418"/>
      <c r="D23" s="2418"/>
      <c r="E23" s="137"/>
      <c r="F23" s="137"/>
      <c r="G23" s="137"/>
      <c r="H23" s="137"/>
      <c r="I23" s="137"/>
    </row>
    <row r="24" spans="1:35" ht="14.25">
      <c r="A24" s="3178" t="s">
        <v>2157</v>
      </c>
      <c r="B24" s="2435" t="s">
        <v>2149</v>
      </c>
      <c r="C24" s="144">
        <f>IF(B30=0,0,D30)</f>
        <v>17095</v>
      </c>
      <c r="D24" s="2442"/>
      <c r="E24" s="137"/>
      <c r="F24" s="137"/>
      <c r="G24" s="137"/>
      <c r="H24" s="137"/>
      <c r="I24" s="137"/>
    </row>
    <row r="25" spans="1:35" ht="14.25">
      <c r="A25" s="3179"/>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3150</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118139</v>
      </c>
      <c r="D32" s="2449" t="s">
        <v>2164</v>
      </c>
      <c r="E32" s="137"/>
      <c r="F32" s="137"/>
      <c r="G32" s="137"/>
      <c r="H32" s="137"/>
      <c r="I32" s="137"/>
    </row>
    <row r="33" spans="1:15" ht="15">
      <c r="A33" s="957" t="s">
        <v>2165</v>
      </c>
      <c r="B33" s="2450"/>
      <c r="C33" s="2451" t="s">
        <v>3075</v>
      </c>
      <c r="D33" s="2452" t="s">
        <v>3071</v>
      </c>
      <c r="E33" s="2453" t="s">
        <v>2166</v>
      </c>
      <c r="F33" s="2454" t="str">
        <f>IF(D32="楼面单价","取值（单价）","取值（总价）")</f>
        <v>取值（总价）</v>
      </c>
      <c r="G33" s="137"/>
      <c r="H33" s="137"/>
      <c r="I33" s="137"/>
    </row>
    <row r="34" spans="1:15" ht="15">
      <c r="A34" s="2455"/>
      <c r="B34" s="2456" t="s">
        <v>2167</v>
      </c>
      <c r="C34" s="157">
        <f ca="1">IF(C33="自定义",F34,C32-C35)</f>
        <v>65318</v>
      </c>
      <c r="D34" s="1055">
        <f ca="1">IF(C33="自定义",ROUND(C34/C32,3),IF(C33="收益比率",SUMIF(INDIRECT("'"&amp;D33&amp;"'"&amp;"!b:b"),"土地收益比率",INDIRECT("'"&amp;D33&amp;"'"&amp;"!c:c")),SUMIF(INDIRECT("'"&amp;D33&amp;"'"&amp;"!b:b"),"土地成本比率",INDIRECT("'"&amp;D33&amp;"'"&amp;"!c:c"))))</f>
        <v>0.55300000000000005</v>
      </c>
      <c r="E34" s="2457" t="s">
        <v>2168</v>
      </c>
      <c r="F34" s="1735">
        <f ca="1">H101-F35</f>
        <v>65318</v>
      </c>
      <c r="G34" s="137"/>
      <c r="H34" s="137"/>
      <c r="I34" s="137"/>
    </row>
    <row r="35" spans="1:15" ht="15.75" thickBot="1">
      <c r="A35" s="2458"/>
      <c r="B35" s="2459" t="s">
        <v>2169</v>
      </c>
      <c r="C35" s="1440">
        <f ca="1">IF(C33="自定义",F35,ROUND(C32*D35,0))</f>
        <v>52821</v>
      </c>
      <c r="D35" s="1441">
        <f ca="1">IF(C33="自定义",ROUND(C35/C32,3),IF(C33="收益比率",SUMIF(INDIRECT("'"&amp;D33&amp;"'"&amp;"!b:b"),"建筑物收益比率",INDIRECT("'"&amp;D33&amp;"'"&amp;"!c:c")),SUMIF(INDIRECT("'"&amp;D33&amp;"'"&amp;"!b:b"),"建筑物成本比率",INDIRECT("'"&amp;D33&amp;"'"&amp;"!c:c"))))</f>
        <v>0.44700000000000001</v>
      </c>
      <c r="E35" s="2460" t="s">
        <v>2170</v>
      </c>
      <c r="F35" s="163">
        <f ca="1">ROUND(G19*成本法!C57-D30,0)</f>
        <v>52821</v>
      </c>
      <c r="G35" s="137"/>
      <c r="H35" s="137"/>
      <c r="I35" s="137"/>
    </row>
    <row r="36" spans="1:15" ht="15.75" thickBot="1">
      <c r="A36" s="3158" t="s">
        <v>2171</v>
      </c>
      <c r="B36" s="2461" t="s">
        <v>2172</v>
      </c>
      <c r="C36" s="154"/>
      <c r="D36" s="2462" t="s">
        <v>3076</v>
      </c>
      <c r="E36" s="2463"/>
      <c r="F36" s="2464"/>
      <c r="G36" s="137"/>
      <c r="H36" s="137"/>
      <c r="I36" s="137"/>
    </row>
    <row r="37" spans="1:15" ht="15.75" thickBot="1">
      <c r="A37" s="3159"/>
      <c r="B37" s="2267" t="s">
        <v>2173</v>
      </c>
      <c r="C37" s="156"/>
      <c r="D37" s="1391"/>
      <c r="E37" s="1391"/>
      <c r="F37" s="2464"/>
      <c r="G37" s="137"/>
      <c r="H37" s="137"/>
      <c r="I37" s="137"/>
    </row>
    <row r="38" spans="1:15" ht="15.75" thickBot="1">
      <c r="A38" s="3160"/>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75" t="s">
        <v>2185</v>
      </c>
      <c r="B45" s="3176"/>
      <c r="C45" s="3177"/>
      <c r="D45" s="164">
        <f ca="1">ROUND(H101*F45,0)</f>
        <v>118139</v>
      </c>
      <c r="E45" s="165" t="s">
        <v>2186</v>
      </c>
      <c r="F45" s="166">
        <v>1</v>
      </c>
      <c r="G45" s="167" t="s">
        <v>2187</v>
      </c>
      <c r="H45" s="137"/>
      <c r="I45" s="137"/>
      <c r="J45" s="3094" t="s">
        <v>2188</v>
      </c>
      <c r="K45" s="3094"/>
      <c r="L45" s="3094"/>
      <c r="M45" s="3094"/>
      <c r="N45" s="3094"/>
      <c r="O45" s="3094"/>
    </row>
    <row r="46" spans="1:15" ht="14.25" hidden="1" customHeight="1">
      <c r="A46" s="3172" t="s">
        <v>2189</v>
      </c>
      <c r="B46" s="3173"/>
      <c r="C46" s="3173"/>
      <c r="D46" s="3173"/>
      <c r="E46" s="3173"/>
      <c r="F46" s="3173"/>
      <c r="G46" s="3174"/>
      <c r="H46" s="2480"/>
      <c r="I46" s="168"/>
      <c r="J46" s="1808">
        <v>1</v>
      </c>
      <c r="K46" s="3094" t="s">
        <v>2190</v>
      </c>
      <c r="L46" s="3094"/>
      <c r="M46" s="3095"/>
      <c r="N46" s="3095"/>
      <c r="O46" s="3095"/>
    </row>
    <row r="47" spans="1:15" ht="12" hidden="1" customHeight="1">
      <c r="A47" s="169" t="s">
        <v>2191</v>
      </c>
      <c r="B47" s="170"/>
      <c r="C47" s="171"/>
      <c r="D47" s="172" t="s">
        <v>2192</v>
      </c>
      <c r="E47" s="23" t="s">
        <v>2193</v>
      </c>
      <c r="F47" s="173" t="s">
        <v>2194</v>
      </c>
      <c r="G47" s="174" t="s">
        <v>2195</v>
      </c>
      <c r="H47" s="2480"/>
      <c r="I47" s="168"/>
      <c r="J47" s="1808">
        <v>2</v>
      </c>
      <c r="K47" s="3094" t="s">
        <v>2196</v>
      </c>
      <c r="L47" s="3094"/>
      <c r="M47" s="3096">
        <f>'数据-取费表'!B2</f>
        <v>43070</v>
      </c>
      <c r="N47" s="3096"/>
      <c r="O47" s="3096"/>
    </row>
    <row r="48" spans="1:15" ht="25.5" hidden="1">
      <c r="A48" s="3162" t="s">
        <v>2197</v>
      </c>
      <c r="B48" s="3163"/>
      <c r="C48" s="3163"/>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94" t="s">
        <v>2200</v>
      </c>
      <c r="L48" s="3094"/>
      <c r="M48" s="3097">
        <f ca="1">H101</f>
        <v>118139</v>
      </c>
      <c r="N48" s="3097"/>
      <c r="O48" s="3097"/>
    </row>
    <row r="49" spans="1:35" ht="25.5" hidden="1" customHeight="1">
      <c r="A49" s="176" t="s">
        <v>2201</v>
      </c>
      <c r="B49" s="3142" t="s">
        <v>2202</v>
      </c>
      <c r="C49" s="3142"/>
      <c r="D49" s="177">
        <v>0</v>
      </c>
      <c r="E49" s="22" t="s">
        <v>2203</v>
      </c>
      <c r="F49" s="27" t="s">
        <v>34</v>
      </c>
      <c r="G49" s="3123"/>
      <c r="H49" s="137"/>
      <c r="I49" s="2483"/>
      <c r="J49" s="1808">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hidden="1" customHeight="1">
      <c r="A50" s="178"/>
      <c r="B50" s="3142" t="s">
        <v>2204</v>
      </c>
      <c r="C50" s="3142"/>
      <c r="D50" s="179"/>
      <c r="E50" s="30"/>
      <c r="F50" s="180"/>
      <c r="G50" s="3124"/>
      <c r="H50" s="137"/>
      <c r="I50" s="2483"/>
      <c r="J50" s="3094" t="s">
        <v>2205</v>
      </c>
      <c r="K50" s="3094"/>
      <c r="L50" s="3094"/>
      <c r="M50" s="3094"/>
      <c r="N50" s="3094"/>
      <c r="O50" s="3094"/>
    </row>
    <row r="51" spans="1:35" ht="12" hidden="1" customHeight="1">
      <c r="A51" s="181"/>
      <c r="B51" s="3142" t="s">
        <v>2206</v>
      </c>
      <c r="C51" s="3142"/>
      <c r="D51" s="182"/>
      <c r="E51" s="29"/>
      <c r="F51" s="180"/>
      <c r="G51" s="3125"/>
      <c r="H51" s="137"/>
      <c r="I51" s="2483"/>
      <c r="J51" s="2484" t="s">
        <v>2207</v>
      </c>
      <c r="K51" s="3094" t="s">
        <v>2208</v>
      </c>
      <c r="L51" s="3094"/>
      <c r="M51" s="2484" t="s">
        <v>2209</v>
      </c>
      <c r="N51" s="2484" t="s">
        <v>2210</v>
      </c>
      <c r="O51" s="2484" t="s">
        <v>2211</v>
      </c>
    </row>
    <row r="52" spans="1:35" ht="24" hidden="1" customHeight="1">
      <c r="A52" s="183" t="s">
        <v>2212</v>
      </c>
      <c r="B52" s="3142" t="s">
        <v>2213</v>
      </c>
      <c r="C52" s="3142"/>
      <c r="D52" s="182">
        <f ca="1">ROUND(D45*'数据-取费表'!B41/(1+'数据-取费表'!C42),0)</f>
        <v>6188</v>
      </c>
      <c r="E52" s="11" t="s">
        <v>2214</v>
      </c>
      <c r="F52" s="184">
        <f>'数据-取费表'!B41</f>
        <v>5.5000000000000007E-2</v>
      </c>
      <c r="G52" s="2485"/>
      <c r="H52" s="137"/>
      <c r="I52" s="2483"/>
      <c r="J52" s="1808">
        <v>1</v>
      </c>
      <c r="K52" s="3117" t="s">
        <v>2215</v>
      </c>
      <c r="L52" s="3117"/>
      <c r="M52" s="1750">
        <f>D48</f>
        <v>0</v>
      </c>
      <c r="N52" s="1808" t="str">
        <f>E48</f>
        <v>销售额×税（费）率</v>
      </c>
      <c r="O52" s="1751" t="str">
        <f>F48</f>
        <v>免征</v>
      </c>
    </row>
    <row r="53" spans="1:35" ht="12" hidden="1" customHeight="1">
      <c r="A53" s="183" t="s">
        <v>2216</v>
      </c>
      <c r="B53" s="3143" t="s">
        <v>2217</v>
      </c>
      <c r="C53" s="3144"/>
      <c r="D53" s="182">
        <f ca="1">ROUND(D45*'数据-取费表'!B41/(1+'数据-取费表'!C42),0)</f>
        <v>6188</v>
      </c>
      <c r="E53" s="11" t="s">
        <v>2214</v>
      </c>
      <c r="F53" s="184">
        <f>'数据-取费表'!B41</f>
        <v>5.5000000000000007E-2</v>
      </c>
      <c r="G53" s="2485"/>
      <c r="H53" s="137"/>
      <c r="I53" s="2483"/>
      <c r="J53" s="1808">
        <v>2</v>
      </c>
      <c r="K53" s="3117" t="s">
        <v>2218</v>
      </c>
      <c r="L53" s="3117"/>
      <c r="M53" s="1750">
        <f t="shared" ref="M53:O54" ca="1" si="2">D55</f>
        <v>59</v>
      </c>
      <c r="N53" s="1808" t="str">
        <f t="shared" si="2"/>
        <v>销售额×税（费）率</v>
      </c>
      <c r="O53" s="1751">
        <f t="shared" si="2"/>
        <v>5.0000000000000001E-4</v>
      </c>
    </row>
    <row r="54" spans="1:35" ht="12" hidden="1" customHeight="1">
      <c r="A54" s="183" t="s">
        <v>2219</v>
      </c>
      <c r="B54" s="3143" t="s">
        <v>2220</v>
      </c>
      <c r="C54" s="3144"/>
      <c r="D54" s="182">
        <f ca="1">C68</f>
        <v>6188</v>
      </c>
      <c r="E54" s="29" t="s">
        <v>2221</v>
      </c>
      <c r="F54" s="184">
        <f>'数据-取费表'!B41</f>
        <v>5.5000000000000007E-2</v>
      </c>
      <c r="G54" s="2485"/>
      <c r="H54" s="2486"/>
      <c r="I54" s="2483"/>
      <c r="J54" s="1808">
        <v>3</v>
      </c>
      <c r="K54" s="3117" t="s">
        <v>2222</v>
      </c>
      <c r="L54" s="3117"/>
      <c r="M54" s="1750">
        <f t="shared" ca="1" si="2"/>
        <v>66973</v>
      </c>
      <c r="N54" s="1808" t="str">
        <f t="shared" si="2"/>
        <v>增值额×税（费）率</v>
      </c>
      <c r="O54" s="1752" t="str">
        <f t="shared" si="2"/>
        <v>——</v>
      </c>
    </row>
    <row r="55" spans="1:35" ht="24" hidden="1" customHeight="1">
      <c r="A55" s="3181" t="s">
        <v>2223</v>
      </c>
      <c r="B55" s="3163"/>
      <c r="C55" s="3163"/>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17" t="str">
        <f>IF(H59="非个人房产","——","个人所得税")</f>
        <v>——</v>
      </c>
      <c r="L55" s="3117"/>
      <c r="M55" s="1753" t="str">
        <f>D59</f>
        <v>——</v>
      </c>
      <c r="N55" s="1806" t="str">
        <f>E59</f>
        <v>——</v>
      </c>
      <c r="O55" s="1754" t="str">
        <f>F59</f>
        <v>——</v>
      </c>
    </row>
    <row r="56" spans="1:35" ht="24.75" hidden="1">
      <c r="A56" s="3181" t="s">
        <v>2226</v>
      </c>
      <c r="B56" s="3163"/>
      <c r="C56" s="3163"/>
      <c r="D56" s="185">
        <f ca="1">IF(H56="个人住宅",D57,D58)</f>
        <v>66973</v>
      </c>
      <c r="E56" s="11" t="s">
        <v>2227</v>
      </c>
      <c r="F56" s="184" t="str">
        <f>IF(H56="正常",F58,"免征")</f>
        <v>——</v>
      </c>
      <c r="G56" s="2487" t="s">
        <v>2228</v>
      </c>
      <c r="H56" s="2488" t="s">
        <v>2225</v>
      </c>
      <c r="I56" s="2489"/>
      <c r="J56" s="1808" t="str">
        <f>IF(项目基本情况!K6="上海银行",IF(J55="",4,J55+1),"")</f>
        <v/>
      </c>
      <c r="K56" s="3100" t="str">
        <f>IF(项目基本情况!K6="上海银行","其他处置费用","")</f>
        <v/>
      </c>
      <c r="L56" s="3101"/>
      <c r="M56" s="1750" t="str">
        <f>IF(项目基本情况!K6="上海银行",M69,"")</f>
        <v/>
      </c>
      <c r="N56" s="3103" t="str">
        <f>IF(项目基本情况!K6="上海银行","包含处置中涉及的律师、诉讼、拍卖、评估等费用","")</f>
        <v/>
      </c>
      <c r="O56" s="3104"/>
    </row>
    <row r="57" spans="1:35" ht="12.75" hidden="1">
      <c r="A57" s="183" t="s">
        <v>2201</v>
      </c>
      <c r="B57" s="3148" t="s">
        <v>2229</v>
      </c>
      <c r="C57" s="3149"/>
      <c r="D57" s="187">
        <v>0</v>
      </c>
      <c r="E57" s="22" t="s">
        <v>2203</v>
      </c>
      <c r="F57" s="155"/>
      <c r="G57" s="2485"/>
      <c r="H57" s="2489"/>
      <c r="I57" s="2489"/>
      <c r="J57" s="3117">
        <f>IF(AND(J55="",J56=""),4,IF(项目基本情况!K6="上海银行",结果表!J56+1,结果表!J55+1))</f>
        <v>4</v>
      </c>
      <c r="K57" s="3117" t="s">
        <v>2230</v>
      </c>
      <c r="L57" s="2490" t="s">
        <v>2231</v>
      </c>
      <c r="M57" s="1755"/>
      <c r="N57" s="1756">
        <f ca="1">SUMIF(M52:M56,"&lt;9e307")</f>
        <v>67032</v>
      </c>
      <c r="O57" s="2491"/>
      <c r="P57" s="1749" t="e">
        <f ca="1">N57/M49</f>
        <v>#VALUE!</v>
      </c>
    </row>
    <row r="58" spans="1:35" ht="24.75" hidden="1">
      <c r="A58" s="183" t="s">
        <v>2212</v>
      </c>
      <c r="B58" s="3148" t="s">
        <v>2232</v>
      </c>
      <c r="C58" s="3161"/>
      <c r="D58" s="185">
        <f ca="1">IF(H58="转让取得",C81,C97)</f>
        <v>66973</v>
      </c>
      <c r="E58" s="11" t="s">
        <v>2227</v>
      </c>
      <c r="F58" s="23" t="s">
        <v>34</v>
      </c>
      <c r="G58" s="2485"/>
      <c r="H58" s="2488" t="s">
        <v>2233</v>
      </c>
      <c r="I58" s="2489"/>
      <c r="J58" s="3117"/>
      <c r="K58" s="3117"/>
      <c r="L58" s="2490" t="s">
        <v>2234</v>
      </c>
      <c r="M58" s="1757"/>
      <c r="N58" s="2492" t="str">
        <f ca="1">NUMBERSTRING(INT(N57*10000),2)&amp;"元整"</f>
        <v>陆亿柒仟零叁拾贰万元整</v>
      </c>
      <c r="O58" s="2493"/>
    </row>
    <row r="59" spans="1:35" ht="24.75" hidden="1" thickBot="1">
      <c r="A59" s="3121" t="s">
        <v>2235</v>
      </c>
      <c r="B59" s="3122"/>
      <c r="C59" s="3122"/>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19">
        <f>J57+1</f>
        <v>5</v>
      </c>
      <c r="K59" s="3117" t="s">
        <v>2237</v>
      </c>
      <c r="L59" s="1808" t="s">
        <v>2231</v>
      </c>
      <c r="M59" s="1758"/>
      <c r="N59" s="1759" t="e">
        <f ca="1">M49-N57</f>
        <v>#VALUE!</v>
      </c>
      <c r="O59" s="2495"/>
    </row>
    <row r="60" spans="1:35" ht="12" hidden="1" customHeight="1">
      <c r="A60" s="2496"/>
      <c r="B60" s="2418"/>
      <c r="C60" s="2418"/>
      <c r="D60" s="2418"/>
      <c r="E60" s="2166"/>
      <c r="F60" s="2489"/>
      <c r="G60" s="2489"/>
      <c r="H60" s="2497"/>
      <c r="I60" s="137"/>
      <c r="J60" s="3120"/>
      <c r="K60" s="3117"/>
      <c r="L60" s="2490" t="s">
        <v>2234</v>
      </c>
      <c r="M60" s="1757"/>
      <c r="N60" s="2492" t="e">
        <f ca="1">NUMBERSTRING(INT(N59*10000),2)&amp;"元整"</f>
        <v>#VALUE!</v>
      </c>
      <c r="O60" s="2493"/>
    </row>
    <row r="61" spans="1:35" ht="13.5" hidden="1" thickBot="1">
      <c r="A61" s="3180" t="s">
        <v>2238</v>
      </c>
      <c r="B61" s="3180"/>
      <c r="C61" s="3180"/>
      <c r="D61" s="3180"/>
      <c r="E61" s="3180"/>
      <c r="F61" s="2489"/>
      <c r="G61" s="2489"/>
      <c r="H61" s="2497"/>
      <c r="I61" s="137"/>
      <c r="J61" s="1808">
        <f>J59+1</f>
        <v>6</v>
      </c>
      <c r="K61" s="3117" t="s">
        <v>2239</v>
      </c>
      <c r="L61" s="3117"/>
      <c r="M61" s="1760"/>
      <c r="N61" s="1761" t="e">
        <f ca="1">ROUND(N59*10000/'数据-汇总表'!E3,0)</f>
        <v>#VALUE!</v>
      </c>
      <c r="O61" s="2498"/>
    </row>
    <row r="62" spans="1:35" ht="12.75" hidden="1">
      <c r="A62" s="3137" t="s">
        <v>2240</v>
      </c>
      <c r="B62" s="3138"/>
      <c r="C62" s="1800"/>
      <c r="D62" s="1800" t="s">
        <v>2241</v>
      </c>
      <c r="E62" s="192" t="s">
        <v>2242</v>
      </c>
      <c r="F62" s="2489"/>
      <c r="G62" s="2489"/>
      <c r="H62" s="2497"/>
      <c r="I62" s="137"/>
    </row>
    <row r="63" spans="1:35" ht="12.75" hidden="1">
      <c r="A63" s="203" t="s">
        <v>775</v>
      </c>
      <c r="B63" s="193" t="s">
        <v>2243</v>
      </c>
      <c r="C63" s="194">
        <f ca="1">ROUND((C64+C65)/(1+'数据-取费表'!C42),0)</f>
        <v>112513</v>
      </c>
      <c r="D63" s="195"/>
      <c r="E63" s="196"/>
      <c r="F63" s="2489"/>
      <c r="G63" s="2489"/>
      <c r="H63" s="2497"/>
      <c r="I63" s="137"/>
      <c r="J63" s="3102"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118139</v>
      </c>
      <c r="D64" s="200" t="s">
        <v>32</v>
      </c>
      <c r="E64" s="201"/>
      <c r="F64" s="2489"/>
      <c r="G64" s="2489"/>
      <c r="H64" s="2497"/>
      <c r="I64" s="137"/>
      <c r="J64" s="3102"/>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102"/>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102"/>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112513</v>
      </c>
      <c r="D67" s="200" t="s">
        <v>32</v>
      </c>
      <c r="E67" s="201"/>
      <c r="F67" s="2489"/>
      <c r="G67" s="2489"/>
      <c r="H67" s="2497"/>
      <c r="I67" s="137"/>
      <c r="J67" s="3102"/>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6188</v>
      </c>
      <c r="D68" s="211">
        <f>'数据-取费表'!B41</f>
        <v>5.5000000000000007E-2</v>
      </c>
      <c r="E68" s="212"/>
      <c r="F68" s="2489"/>
      <c r="G68" s="2489"/>
      <c r="H68" s="2497"/>
      <c r="I68" s="137"/>
      <c r="J68" s="3102"/>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102"/>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46" t="s">
        <v>2259</v>
      </c>
      <c r="B70" s="3147"/>
      <c r="C70" s="3147"/>
      <c r="D70" s="3147"/>
      <c r="E70" s="3147"/>
      <c r="F70" s="3147"/>
      <c r="G70" s="3147"/>
      <c r="H70" s="314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37" t="s">
        <v>2240</v>
      </c>
      <c r="B71" s="3138"/>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112513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563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43" t="s">
        <v>2268</v>
      </c>
      <c r="F76" s="3142"/>
      <c r="G76" s="3142"/>
      <c r="H76" s="314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563</v>
      </c>
      <c r="D78" s="226">
        <f>'数据-取费表'!B43</f>
        <v>5.000000000000001E-3</v>
      </c>
      <c r="E78" s="3134" t="s">
        <v>2273</v>
      </c>
      <c r="F78" s="3135"/>
      <c r="G78" s="3135"/>
      <c r="H78" s="313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111950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198.84547069271758</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66973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46" t="s">
        <v>2277</v>
      </c>
      <c r="B83" s="3147"/>
      <c r="C83" s="3147"/>
      <c r="D83" s="3147"/>
      <c r="E83" s="3147"/>
      <c r="F83" s="3147"/>
      <c r="G83" s="3147"/>
      <c r="H83" s="314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37" t="s">
        <v>2240</v>
      </c>
      <c r="B84" s="3138"/>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112513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563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34" t="s">
        <v>2286</v>
      </c>
      <c r="F91" s="3135"/>
      <c r="G91" s="3135"/>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34" t="s">
        <v>2290</v>
      </c>
      <c r="F92" s="3135"/>
      <c r="G92" s="3135"/>
      <c r="H92" s="313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563</v>
      </c>
      <c r="D93" s="226">
        <f>'数据-取费表'!B43</f>
        <v>5.000000000000001E-3</v>
      </c>
      <c r="E93" s="3134" t="s">
        <v>2273</v>
      </c>
      <c r="F93" s="3135"/>
      <c r="G93" s="3135"/>
      <c r="H93" s="313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82" t="s">
        <v>2294</v>
      </c>
      <c r="F94" s="3183"/>
      <c r="G94" s="3183"/>
      <c r="H94" s="318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111950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198.84547069271758</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66973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86" t="s">
        <v>2296</v>
      </c>
      <c r="B100" s="3087"/>
      <c r="C100" s="3087"/>
      <c r="D100" s="3118"/>
      <c r="E100" s="3087" t="s">
        <v>2297</v>
      </c>
      <c r="F100" s="3087"/>
      <c r="G100" s="3087"/>
      <c r="H100" s="3118"/>
      <c r="I100" s="137"/>
      <c r="J100" s="795">
        <v>117820</v>
      </c>
    </row>
    <row r="101" spans="1:35" ht="36" customHeight="1">
      <c r="A101" s="3126" t="s">
        <v>2298</v>
      </c>
      <c r="B101" s="3127"/>
      <c r="C101" s="736" t="str">
        <f>C4</f>
        <v>成本法</v>
      </c>
      <c r="D101" s="737" t="str">
        <f>D4</f>
        <v>收益法（汇总）</v>
      </c>
      <c r="E101" s="3098" t="s">
        <v>2299</v>
      </c>
      <c r="F101" s="3099"/>
      <c r="G101" s="2520" t="s">
        <v>2300</v>
      </c>
      <c r="H101" s="1045">
        <f ca="1">H118</f>
        <v>118139</v>
      </c>
      <c r="I101" s="137"/>
      <c r="J101" s="795">
        <f ca="1">J100-H101</f>
        <v>-319</v>
      </c>
    </row>
    <row r="102" spans="1:35" ht="18.75" customHeight="1">
      <c r="A102" s="3128" t="s">
        <v>2301</v>
      </c>
      <c r="B102" s="2520" t="s">
        <v>2300</v>
      </c>
      <c r="C102" s="736">
        <f ca="1">C19</f>
        <v>131721</v>
      </c>
      <c r="D102" s="737">
        <f ca="1">D19</f>
        <v>138747</v>
      </c>
      <c r="E102" s="3098"/>
      <c r="F102" s="3099"/>
      <c r="G102" s="2520" t="s">
        <v>2302</v>
      </c>
      <c r="H102" s="371">
        <f ca="1">I118</f>
        <v>10102</v>
      </c>
      <c r="I102" s="137"/>
    </row>
    <row r="103" spans="1:35" ht="42.75" customHeight="1">
      <c r="A103" s="3128"/>
      <c r="B103" s="2520" t="s">
        <v>2302</v>
      </c>
      <c r="C103" s="738">
        <f ca="1">C20</f>
        <v>11264</v>
      </c>
      <c r="D103" s="739">
        <f ca="1">D20</f>
        <v>11864</v>
      </c>
      <c r="E103" s="3092" t="s">
        <v>2303</v>
      </c>
      <c r="F103" s="3093"/>
      <c r="G103" s="2521" t="s">
        <v>2304</v>
      </c>
      <c r="H103" s="1045">
        <f>IF(D36="正常操作",H104+H105+H106,H105+H106)</f>
        <v>0</v>
      </c>
      <c r="I103" s="137"/>
    </row>
    <row r="104" spans="1:35" ht="18.75" customHeight="1">
      <c r="A104" s="3128" t="s">
        <v>2305</v>
      </c>
      <c r="B104" s="2522" t="s">
        <v>2300</v>
      </c>
      <c r="C104" s="740">
        <f ca="1">H118</f>
        <v>118139</v>
      </c>
      <c r="D104" s="741"/>
      <c r="E104" s="2267" t="s">
        <v>2306</v>
      </c>
      <c r="F104" s="2258"/>
      <c r="G104" s="2521" t="s">
        <v>2304</v>
      </c>
      <c r="H104" s="1046">
        <f>IF(D36="同一抵押权人同一抵押物续贷",C36&amp;"（未扣减，详见特别提示）",C36)</f>
        <v>0</v>
      </c>
      <c r="I104" s="137"/>
    </row>
    <row r="105" spans="1:35" ht="18.75" customHeight="1" thickBot="1">
      <c r="A105" s="3140"/>
      <c r="B105" s="2523" t="s">
        <v>2302</v>
      </c>
      <c r="C105" s="742">
        <f ca="1">I118</f>
        <v>10102</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29" t="str">
        <f>IF(项目基本情况!E8="已注销","——","3.房地产抵押价值")</f>
        <v>3.房地产抵押价值</v>
      </c>
      <c r="F107" s="3099"/>
      <c r="G107" s="2520" t="s">
        <v>2300</v>
      </c>
      <c r="H107" s="1045">
        <f ca="1">IF(E107="——","——",H101-H103)</f>
        <v>118139</v>
      </c>
      <c r="I107" s="137"/>
    </row>
    <row r="108" spans="1:35" ht="18.75" customHeight="1">
      <c r="A108" s="137"/>
      <c r="B108" s="137"/>
      <c r="C108" s="137"/>
      <c r="D108" s="137"/>
      <c r="E108" s="3129"/>
      <c r="F108" s="3099"/>
      <c r="G108" s="2520" t="s">
        <v>2302</v>
      </c>
      <c r="H108" s="371">
        <f ca="1">ROUND(H107*10000/'数据-汇总表'!E3,0)</f>
        <v>10102</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099"/>
      <c r="G109" s="2520" t="s">
        <v>2300</v>
      </c>
      <c r="H109" s="348" t="str">
        <f>IF(E109="——","——",H101-H105-H106)</f>
        <v>——</v>
      </c>
      <c r="I109" s="137"/>
    </row>
    <row r="110" spans="1:35" ht="18.75" customHeight="1">
      <c r="A110" s="137"/>
      <c r="B110" s="137"/>
      <c r="C110" s="137"/>
      <c r="D110" s="137"/>
      <c r="E110" s="3129"/>
      <c r="F110" s="3099"/>
      <c r="G110" s="2520" t="s">
        <v>2302</v>
      </c>
      <c r="H110" s="371" t="str">
        <f>IF(H109="——","——",ROUND(H109*10000/'数据-汇总表'!E3,0))</f>
        <v>——</v>
      </c>
      <c r="I110" s="137"/>
    </row>
    <row r="111" spans="1:35" ht="18.75" customHeight="1">
      <c r="A111" s="137"/>
      <c r="B111" s="137"/>
      <c r="C111" s="137"/>
      <c r="D111" s="137"/>
      <c r="E111" s="3130" t="str">
        <f>IF(项目基本情况!E9="抵押净值",IF(OR(项目基本情况!E8="已注销",项目基本情况!E8="房地产抵押价值"),"4.抵押净值","5.抵押净值"),"——")</f>
        <v>——</v>
      </c>
      <c r="F111" s="3131"/>
      <c r="G111" s="2520" t="s">
        <v>2300</v>
      </c>
      <c r="H111" s="1045" t="str">
        <f>IF(E111="——","——",N59)</f>
        <v>——</v>
      </c>
      <c r="I111" s="137"/>
    </row>
    <row r="112" spans="1:35" ht="18.75" customHeight="1" thickBot="1">
      <c r="A112" s="137"/>
      <c r="B112" s="137"/>
      <c r="C112" s="137"/>
      <c r="D112" s="137"/>
      <c r="E112" s="3132"/>
      <c r="F112" s="3133"/>
      <c r="G112" s="2525" t="s">
        <v>2302</v>
      </c>
      <c r="H112" s="790" t="str">
        <f>IF(E111="——","——",N61)</f>
        <v>——</v>
      </c>
      <c r="I112" s="137"/>
    </row>
    <row r="113" spans="1:11" ht="18.75" customHeight="1">
      <c r="A113" s="137"/>
      <c r="B113" s="137"/>
      <c r="C113" s="137"/>
      <c r="D113" s="137"/>
      <c r="E113" s="3141" t="s">
        <v>2308</v>
      </c>
      <c r="F113" s="3141"/>
      <c r="G113" s="3141"/>
      <c r="H113" s="3141"/>
      <c r="I113" s="137"/>
    </row>
    <row r="114" spans="1:11" ht="3.75" customHeight="1">
      <c r="A114" s="2418"/>
      <c r="B114" s="2418"/>
      <c r="C114" s="2418"/>
      <c r="D114" s="2418"/>
      <c r="E114" s="2496"/>
      <c r="F114" s="2496"/>
      <c r="G114" s="2496"/>
      <c r="H114" s="2496"/>
      <c r="I114" s="2418"/>
    </row>
    <row r="115" spans="1:11" ht="18.75" customHeight="1">
      <c r="A115" s="3154" t="s">
        <v>2310</v>
      </c>
      <c r="B115" s="3155"/>
      <c r="C115" s="3155"/>
      <c r="D115" s="3155"/>
      <c r="E115" s="3155"/>
      <c r="F115" s="3155"/>
      <c r="G115" s="3155"/>
      <c r="H115" s="3155"/>
      <c r="I115" s="3156"/>
    </row>
    <row r="116" spans="1:11" ht="27" customHeight="1">
      <c r="A116" s="3065" t="s">
        <v>2311</v>
      </c>
      <c r="B116" s="3108" t="s">
        <v>3151</v>
      </c>
      <c r="C116" s="3108" t="s">
        <v>3152</v>
      </c>
      <c r="D116" s="3114" t="s">
        <v>2312</v>
      </c>
      <c r="E116" s="3115"/>
      <c r="F116" s="3150" t="s">
        <v>2313</v>
      </c>
      <c r="G116" s="3150"/>
      <c r="H116" s="3065" t="s">
        <v>2314</v>
      </c>
      <c r="I116" s="3065"/>
    </row>
    <row r="117" spans="1:11" ht="18.75" customHeight="1">
      <c r="A117" s="3065"/>
      <c r="B117" s="3109"/>
      <c r="C117" s="3109"/>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65318</v>
      </c>
      <c r="E118" s="1794">
        <f ca="1">ROUND(IF(C33="自定义",IF(D32="楼面单价",C34,D118*10000/B118),I118-G118),0)</f>
        <v>5585</v>
      </c>
      <c r="F118" s="1794">
        <f ca="1">ROUND(IF(D32="总价",C35,G118*B118/10000),0)</f>
        <v>52821</v>
      </c>
      <c r="G118" s="1794">
        <f ca="1">ROUND(IF(D32="楼面单价",C35,F118*10000/B118),0)</f>
        <v>4517</v>
      </c>
      <c r="H118" s="1794">
        <f ca="1">ROUND(IF(D32="总价",C32,I118*B118/10000),0)</f>
        <v>118139</v>
      </c>
      <c r="I118" s="1794">
        <f ca="1">ROUND(IF(D32="楼面单价",C32,H118*10000/B118),0)</f>
        <v>10102</v>
      </c>
    </row>
    <row r="119" spans="1:11" ht="18.75" customHeight="1">
      <c r="A119" s="3065" t="s">
        <v>2318</v>
      </c>
      <c r="B119" s="3065"/>
      <c r="C119" s="3065"/>
      <c r="D119" s="3110" t="str">
        <f ca="1">NUMBERSTRING(INT(D118*10000),2)&amp;"元整"</f>
        <v>陆亿伍仟叁佰壹拾捌万元整</v>
      </c>
      <c r="E119" s="3111"/>
      <c r="F119" s="3110" t="str">
        <f ca="1">NUMBERSTRING(INT(F118*10000),2)&amp;"元整"</f>
        <v>伍亿贰仟捌佰贰拾壹万元整</v>
      </c>
      <c r="G119" s="3111"/>
      <c r="H119" s="3110" t="str">
        <f ca="1">NUMBERSTRING(INT(H118*10000),2)&amp;"元整"</f>
        <v>壹拾壹亿捌仟壹佰叁拾玖万元整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23" t="str">
        <f>IF(D120=0,"故，本次评估不存在"&amp;A120,"故，本次评估"&amp;A120&amp;"为人民币"&amp;D120&amp;"万元整。")</f>
        <v>故，本次评估不存在估价师知悉的法定优先受偿款</v>
      </c>
    </row>
    <row r="121" spans="1:11" ht="18.75" customHeight="1">
      <c r="A121" s="3151" t="s">
        <v>2318</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118139</v>
      </c>
      <c r="E122" s="3106"/>
      <c r="F122" s="3106"/>
      <c r="G122" s="3106"/>
      <c r="H122" s="3106"/>
      <c r="I122" s="3107"/>
    </row>
    <row r="123" spans="1:11" ht="18.75" customHeight="1">
      <c r="A123" s="3065" t="s">
        <v>2318</v>
      </c>
      <c r="B123" s="3065"/>
      <c r="C123" s="3065"/>
      <c r="D123" s="3110" t="str">
        <f ca="1">NUMBERSTRING(INT(D122*10000),2)&amp;"元整"</f>
        <v>壹拾壹亿捌仟壹佰叁拾玖万元整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2318</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2318</v>
      </c>
      <c r="B127" s="3065"/>
      <c r="C127" s="3065"/>
      <c r="D127" s="3110" t="e">
        <f>NUMBERSTRING(INT(D126*10000),2)&amp;"元整"</f>
        <v>#VALUE!</v>
      </c>
      <c r="E127" s="3112"/>
      <c r="F127" s="3112"/>
      <c r="G127" s="3112"/>
      <c r="H127" s="3112"/>
      <c r="I127" s="3111"/>
    </row>
    <row r="128" spans="1:11" ht="21.75" customHeight="1">
      <c r="A128" s="3113" t="s">
        <v>2319</v>
      </c>
      <c r="B128" s="3113"/>
      <c r="C128" s="3113"/>
      <c r="D128" s="3113"/>
      <c r="E128" s="3113"/>
      <c r="F128" s="3113"/>
      <c r="G128" s="3113"/>
      <c r="H128" s="3113"/>
      <c r="I128" s="3113"/>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13">
    <cfRule type="cellIs" dxfId="153" priority="9" stopIfTrue="1" operator="equal">
      <formula>15</formula>
    </cfRule>
  </conditionalFormatting>
  <conditionalFormatting sqref="C10:C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tabSelected="1" topLeftCell="A31" workbookViewId="0">
      <selection activeCell="C47" sqref="C47:C52"/>
    </sheetView>
  </sheetViews>
  <sheetFormatPr defaultRowHeight="13.5"/>
  <cols>
    <col min="1" max="1" width="10" customWidth="1"/>
    <col min="2" max="2" width="28.375" customWidth="1"/>
    <col min="3" max="3" width="14.375" customWidth="1"/>
    <col min="4" max="4" width="15.75" customWidth="1"/>
    <col min="5" max="5" width="13.75" customWidth="1"/>
    <col min="6" max="6" width="13.875" customWidth="1"/>
    <col min="8" max="8" width="10.875" customWidth="1"/>
    <col min="10" max="10" width="10.375" customWidth="1"/>
  </cols>
  <sheetData>
    <row r="1" spans="1:11" ht="14.25" thickBot="1">
      <c r="A1" s="2984" t="s">
        <v>3168</v>
      </c>
      <c r="B1" s="2985" t="s">
        <v>3169</v>
      </c>
      <c r="C1" s="2985" t="s">
        <v>3170</v>
      </c>
      <c r="D1" s="2985" t="s">
        <v>3171</v>
      </c>
      <c r="E1" s="2988" t="s">
        <v>3189</v>
      </c>
      <c r="F1" s="2988" t="s">
        <v>3190</v>
      </c>
      <c r="H1" s="2987" t="s">
        <v>3185</v>
      </c>
      <c r="I1" s="2987" t="s">
        <v>3186</v>
      </c>
      <c r="J1" s="2987" t="s">
        <v>3187</v>
      </c>
      <c r="K1" s="2987" t="s">
        <v>3188</v>
      </c>
    </row>
    <row r="2" spans="1:11" ht="14.25" thickBot="1">
      <c r="A2" s="3189" t="s">
        <v>3172</v>
      </c>
      <c r="B2" s="3189" t="s">
        <v>3173</v>
      </c>
      <c r="C2" s="3192">
        <v>9380</v>
      </c>
      <c r="D2" s="2986">
        <v>9794.1299999999992</v>
      </c>
      <c r="E2">
        <f ca="1">K14</f>
        <v>8368.830095530695</v>
      </c>
      <c r="F2">
        <f ca="1">ROUND(E2*D2/10000,0)</f>
        <v>8197</v>
      </c>
      <c r="H2">
        <v>1</v>
      </c>
      <c r="I2">
        <v>1</v>
      </c>
    </row>
    <row r="3" spans="1:11" ht="14.25" thickBot="1">
      <c r="A3" s="3190"/>
      <c r="B3" s="3190"/>
      <c r="C3" s="3193"/>
      <c r="D3" s="2986">
        <v>370.1</v>
      </c>
      <c r="E3">
        <f ca="1">K15</f>
        <v>13948.050159217823</v>
      </c>
      <c r="F3">
        <f t="shared" ref="F3:F5" ca="1" si="0">ROUND(E3*D3/10000,0)</f>
        <v>516</v>
      </c>
      <c r="H3">
        <v>2</v>
      </c>
      <c r="I3">
        <v>0.65</v>
      </c>
    </row>
    <row r="4" spans="1:11" ht="14.25" thickBot="1">
      <c r="A4" s="3190"/>
      <c r="B4" s="3190"/>
      <c r="C4" s="3193"/>
      <c r="D4" s="2986">
        <v>437.37</v>
      </c>
      <c r="E4">
        <f ca="1">K12</f>
        <v>10228.570116759738</v>
      </c>
      <c r="F4">
        <f t="shared" ca="1" si="0"/>
        <v>447</v>
      </c>
      <c r="H4">
        <v>3</v>
      </c>
      <c r="I4">
        <v>0.55000000000000004</v>
      </c>
    </row>
    <row r="5" spans="1:11" ht="14.25" thickBot="1">
      <c r="A5" s="3191"/>
      <c r="B5" s="3191"/>
      <c r="C5" s="3194"/>
      <c r="D5" s="2986">
        <v>437.37</v>
      </c>
      <c r="E5">
        <f ca="1">E4</f>
        <v>10228.570116759738</v>
      </c>
      <c r="F5">
        <f t="shared" ca="1" si="0"/>
        <v>447</v>
      </c>
      <c r="H5">
        <v>4</v>
      </c>
      <c r="I5">
        <v>0.5</v>
      </c>
    </row>
    <row r="6" spans="1:11" ht="14.25" thickBot="1">
      <c r="A6" s="3185" t="s">
        <v>40</v>
      </c>
      <c r="B6" s="3186"/>
      <c r="C6" s="2989">
        <v>9380</v>
      </c>
      <c r="D6" s="2989">
        <v>11038.97</v>
      </c>
      <c r="E6" s="2990">
        <f ca="1">ROUND(F6*10000/D6,0)</f>
        <v>8703</v>
      </c>
      <c r="F6" s="2990">
        <f ca="1">SUM(F2:F5)</f>
        <v>9607</v>
      </c>
      <c r="H6">
        <v>5</v>
      </c>
      <c r="I6">
        <v>0.45</v>
      </c>
    </row>
    <row r="7" spans="1:11" ht="14.25" thickBot="1">
      <c r="A7" s="3189" t="s">
        <v>3174</v>
      </c>
      <c r="B7" s="3189" t="s">
        <v>3175</v>
      </c>
      <c r="C7" s="3192">
        <v>33561.699999999997</v>
      </c>
      <c r="D7" s="2986">
        <v>1882.84</v>
      </c>
      <c r="E7">
        <f ca="1">K11</f>
        <v>11507.141381354702</v>
      </c>
      <c r="F7">
        <f ca="1">ROUND(E7*D7/10000,0)</f>
        <v>2167</v>
      </c>
      <c r="H7">
        <v>6</v>
      </c>
      <c r="I7">
        <v>0.45</v>
      </c>
    </row>
    <row r="8" spans="1:11" ht="14.25" thickBot="1">
      <c r="A8" s="3190"/>
      <c r="B8" s="3190"/>
      <c r="C8" s="3193"/>
      <c r="D8" s="2986">
        <v>1251.8399999999999</v>
      </c>
      <c r="E8">
        <f ca="1">E7</f>
        <v>11507.141381354702</v>
      </c>
      <c r="F8">
        <f t="shared" ref="F8:F10" ca="1" si="1">ROUND(E8*D8/10000,0)</f>
        <v>1441</v>
      </c>
      <c r="J8">
        <f ca="1">结果表!I118</f>
        <v>10102</v>
      </c>
      <c r="K8">
        <f ca="1">结果表!H118</f>
        <v>118139</v>
      </c>
    </row>
    <row r="9" spans="1:11" ht="14.25" thickBot="1">
      <c r="A9" s="3190"/>
      <c r="B9" s="3190"/>
      <c r="C9" s="3193"/>
      <c r="D9" s="2986">
        <v>1312.11</v>
      </c>
      <c r="E9">
        <f ca="1">E4</f>
        <v>10228.570116759738</v>
      </c>
      <c r="F9">
        <f t="shared" ca="1" si="1"/>
        <v>1342</v>
      </c>
    </row>
    <row r="10" spans="1:11" ht="14.25" thickBot="1">
      <c r="A10" s="3191"/>
      <c r="B10" s="3191"/>
      <c r="C10" s="3194"/>
      <c r="D10" s="2986">
        <v>1571.25</v>
      </c>
      <c r="E10">
        <f ca="1">E4</f>
        <v>10228.570116759738</v>
      </c>
      <c r="F10">
        <f t="shared" ca="1" si="1"/>
        <v>1607</v>
      </c>
      <c r="I10" s="2929" t="s">
        <v>3186</v>
      </c>
      <c r="J10" s="2929" t="s">
        <v>3195</v>
      </c>
    </row>
    <row r="11" spans="1:11" ht="14.25" thickBot="1">
      <c r="A11" s="3185" t="s">
        <v>40</v>
      </c>
      <c r="B11" s="3186"/>
      <c r="C11" s="2989">
        <v>33561.699999999997</v>
      </c>
      <c r="D11" s="2989">
        <v>6018.04</v>
      </c>
      <c r="E11" s="2990">
        <f ca="1">ROUND(F11*10000/D11,0)</f>
        <v>10896</v>
      </c>
      <c r="F11" s="2990">
        <f ca="1">SUM(F7:F10)</f>
        <v>6557</v>
      </c>
      <c r="H11" s="2929" t="s">
        <v>3191</v>
      </c>
      <c r="I11">
        <f>AVERAGE(I2:I3)</f>
        <v>0.82499999999999996</v>
      </c>
      <c r="J11">
        <f>D7+D8+D13+D14+D16+D17+D18+D19+D20+D25</f>
        <v>9065.67</v>
      </c>
      <c r="K11">
        <f t="shared" ref="K11:K13" ca="1" si="2">$K$15*I11</f>
        <v>11507.141381354702</v>
      </c>
    </row>
    <row r="12" spans="1:11" ht="21.75" customHeight="1" thickBot="1">
      <c r="A12" s="3189" t="s">
        <v>3176</v>
      </c>
      <c r="B12" s="3189" t="s">
        <v>3177</v>
      </c>
      <c r="C12" s="3192">
        <v>11730</v>
      </c>
      <c r="D12" s="2986">
        <v>9900.82</v>
      </c>
      <c r="E12">
        <f ca="1">E4</f>
        <v>10228.570116759738</v>
      </c>
      <c r="F12">
        <f ca="1">ROUND(E12*D12/10000,0)</f>
        <v>10127</v>
      </c>
      <c r="H12" s="2929" t="s">
        <v>3192</v>
      </c>
      <c r="I12">
        <f>AVERAGE(I2:I4)</f>
        <v>0.73333333333333339</v>
      </c>
      <c r="J12">
        <f>D4+D5+D9+D10+D12+D26</f>
        <v>70642.13</v>
      </c>
      <c r="K12">
        <f t="shared" ca="1" si="2"/>
        <v>10228.570116759738</v>
      </c>
    </row>
    <row r="13" spans="1:11" ht="14.25" thickBot="1">
      <c r="A13" s="3190"/>
      <c r="B13" s="3190"/>
      <c r="C13" s="3193"/>
      <c r="D13" s="2986">
        <v>470.71</v>
      </c>
      <c r="E13">
        <f ca="1">E7</f>
        <v>11507.141381354702</v>
      </c>
      <c r="F13">
        <f t="shared" ref="F13:F23" ca="1" si="3">ROUND(E13*D13/10000,0)</f>
        <v>542</v>
      </c>
      <c r="H13" s="2929" t="s">
        <v>3193</v>
      </c>
      <c r="I13">
        <f>AVERAGE(I2:I5)</f>
        <v>0.67500000000000004</v>
      </c>
      <c r="J13">
        <f>D21+D22</f>
        <v>24316.34</v>
      </c>
      <c r="K13">
        <f t="shared" ca="1" si="2"/>
        <v>9414.9338574720314</v>
      </c>
    </row>
    <row r="14" spans="1:11" ht="14.25" thickBot="1">
      <c r="A14" s="3191"/>
      <c r="B14" s="3191"/>
      <c r="C14" s="3194"/>
      <c r="D14" s="2986">
        <v>312.95999999999998</v>
      </c>
      <c r="E14">
        <f ca="1">E7</f>
        <v>11507.141381354702</v>
      </c>
      <c r="F14">
        <f t="shared" ca="1" si="3"/>
        <v>360</v>
      </c>
      <c r="H14" s="2929" t="s">
        <v>3194</v>
      </c>
      <c r="I14">
        <f>AVERAGE(I2:I7)</f>
        <v>0.60000000000000009</v>
      </c>
      <c r="J14">
        <f>D2</f>
        <v>9794.1299999999992</v>
      </c>
      <c r="K14">
        <f ca="1">$K$15*I14</f>
        <v>8368.830095530695</v>
      </c>
    </row>
    <row r="15" spans="1:11" ht="14.25" thickBot="1">
      <c r="A15" s="3185" t="s">
        <v>40</v>
      </c>
      <c r="B15" s="3186"/>
      <c r="C15" s="2989">
        <v>11730</v>
      </c>
      <c r="D15" s="2989">
        <v>10684.49</v>
      </c>
      <c r="E15" s="2990">
        <f ca="1">ROUND(F15*10000/D15,0)</f>
        <v>10322</v>
      </c>
      <c r="F15" s="2990">
        <f ca="1">SUM(F12:F14)</f>
        <v>11029</v>
      </c>
      <c r="H15" s="2929" t="s">
        <v>3196</v>
      </c>
      <c r="I15">
        <f>I2</f>
        <v>1</v>
      </c>
      <c r="J15">
        <f>D3+D23</f>
        <v>3125.88</v>
      </c>
      <c r="K15">
        <f ca="1">K8/(I11*J11+I12*J12+I13*J13+I14*J14+I15*J15)*10000</f>
        <v>13948.050159217823</v>
      </c>
    </row>
    <row r="16" spans="1:11" ht="14.25" thickBot="1">
      <c r="A16" s="3189" t="s">
        <v>3178</v>
      </c>
      <c r="B16" s="3189" t="s">
        <v>3179</v>
      </c>
      <c r="C16" s="3192">
        <v>51869.4</v>
      </c>
      <c r="D16" s="2986">
        <v>771.54</v>
      </c>
      <c r="E16">
        <f ca="1">E7</f>
        <v>11507.141381354702</v>
      </c>
      <c r="F16">
        <f t="shared" ca="1" si="3"/>
        <v>888</v>
      </c>
    </row>
    <row r="17" spans="1:7" ht="14.25" thickBot="1">
      <c r="A17" s="3190"/>
      <c r="B17" s="3190"/>
      <c r="C17" s="3193"/>
      <c r="D17" s="2986">
        <v>771.54</v>
      </c>
      <c r="E17">
        <f ca="1">E16</f>
        <v>11507.141381354702</v>
      </c>
      <c r="F17">
        <f t="shared" ca="1" si="3"/>
        <v>888</v>
      </c>
    </row>
    <row r="18" spans="1:7" ht="14.25" thickBot="1">
      <c r="A18" s="3190"/>
      <c r="B18" s="3190"/>
      <c r="C18" s="3193"/>
      <c r="D18" s="2986">
        <v>771.54</v>
      </c>
      <c r="E18">
        <f ca="1">E16</f>
        <v>11507.141381354702</v>
      </c>
      <c r="F18">
        <f t="shared" ca="1" si="3"/>
        <v>888</v>
      </c>
    </row>
    <row r="19" spans="1:7" ht="14.25" thickBot="1">
      <c r="A19" s="3190"/>
      <c r="B19" s="3190"/>
      <c r="C19" s="3193"/>
      <c r="D19" s="2986">
        <v>753.14</v>
      </c>
      <c r="E19">
        <f ca="1">E16</f>
        <v>11507.141381354702</v>
      </c>
      <c r="F19">
        <f t="shared" ca="1" si="3"/>
        <v>867</v>
      </c>
    </row>
    <row r="20" spans="1:7" ht="14.25" thickBot="1">
      <c r="A20" s="3190"/>
      <c r="B20" s="3190"/>
      <c r="C20" s="3193"/>
      <c r="D20" s="2986">
        <v>1320.86</v>
      </c>
      <c r="E20">
        <f ca="1">E16</f>
        <v>11507.141381354702</v>
      </c>
      <c r="F20">
        <f t="shared" ca="1" si="3"/>
        <v>1520</v>
      </c>
    </row>
    <row r="21" spans="1:7" ht="14.25" thickBot="1">
      <c r="A21" s="3190"/>
      <c r="B21" s="3190"/>
      <c r="C21" s="3193"/>
      <c r="D21" s="2986">
        <v>18350.21</v>
      </c>
      <c r="E21">
        <f ca="1">K13</f>
        <v>9414.9338574720314</v>
      </c>
      <c r="F21">
        <f t="shared" ca="1" si="3"/>
        <v>17277</v>
      </c>
    </row>
    <row r="22" spans="1:7" ht="14.25" thickBot="1">
      <c r="A22" s="3190"/>
      <c r="B22" s="3190"/>
      <c r="C22" s="3193"/>
      <c r="D22" s="2986">
        <v>5966.13</v>
      </c>
      <c r="E22">
        <f ca="1">E21</f>
        <v>9414.9338574720314</v>
      </c>
      <c r="F22">
        <f t="shared" ca="1" si="3"/>
        <v>5617</v>
      </c>
    </row>
    <row r="23" spans="1:7" ht="14.25" thickBot="1">
      <c r="A23" s="3191"/>
      <c r="B23" s="3191"/>
      <c r="C23" s="3194"/>
      <c r="D23" s="2986">
        <v>2755.78</v>
      </c>
      <c r="E23">
        <f ca="1">K15</f>
        <v>13948.050159217823</v>
      </c>
      <c r="F23">
        <f t="shared" ca="1" si="3"/>
        <v>3844</v>
      </c>
    </row>
    <row r="24" spans="1:7" ht="14.25" thickBot="1">
      <c r="A24" s="3185" t="s">
        <v>40</v>
      </c>
      <c r="B24" s="3186"/>
      <c r="C24" s="2989">
        <v>51869.4</v>
      </c>
      <c r="D24" s="2989">
        <v>31460.74</v>
      </c>
      <c r="E24" s="2990">
        <f ca="1">ROUND(F24*10000/D24,0)</f>
        <v>10104</v>
      </c>
      <c r="F24" s="2990">
        <f ca="1">SUM(F16:F23)</f>
        <v>31789</v>
      </c>
    </row>
    <row r="25" spans="1:7" ht="14.25" thickBot="1">
      <c r="A25" s="2991" t="s">
        <v>3180</v>
      </c>
      <c r="B25" s="2992" t="s">
        <v>3181</v>
      </c>
      <c r="C25" s="2989">
        <v>3659.1</v>
      </c>
      <c r="D25" s="2989">
        <v>758.7</v>
      </c>
      <c r="E25" s="2995">
        <f ca="1">E16</f>
        <v>11507.141381354702</v>
      </c>
      <c r="F25">
        <f ca="1">ROUND(E25*D25/10000,0)</f>
        <v>873</v>
      </c>
    </row>
    <row r="26" spans="1:7" ht="14.25" thickBot="1">
      <c r="A26" s="2991" t="s">
        <v>3182</v>
      </c>
      <c r="B26" s="2992" t="s">
        <v>3183</v>
      </c>
      <c r="C26" s="2989">
        <v>27945</v>
      </c>
      <c r="D26" s="2989">
        <v>56983.21</v>
      </c>
      <c r="E26" s="2990">
        <f ca="1">ROUND(F26*10000/D26,0)</f>
        <v>10228</v>
      </c>
      <c r="F26">
        <f ca="1">K8-(F25+F24+F15+F11+F6)</f>
        <v>58284</v>
      </c>
    </row>
    <row r="27" spans="1:7" ht="14.25" thickBot="1">
      <c r="A27" s="3187" t="s">
        <v>3184</v>
      </c>
      <c r="B27" s="3188"/>
      <c r="C27" s="2993">
        <v>138145.20000000001</v>
      </c>
      <c r="D27" s="2993">
        <v>116944.15</v>
      </c>
      <c r="E27" s="2994"/>
      <c r="F27" s="2994">
        <f ca="1">F6+F11+F15+F24+F25+F26</f>
        <v>118139</v>
      </c>
      <c r="G27">
        <f ca="1">K8-F27</f>
        <v>0</v>
      </c>
    </row>
    <row r="33" spans="1:6" ht="14.25" thickBot="1"/>
    <row r="34" spans="1:6" ht="26.25" customHeight="1" thickBot="1">
      <c r="A34" s="2996" t="s">
        <v>3168</v>
      </c>
      <c r="B34" s="2996" t="s">
        <v>3169</v>
      </c>
      <c r="C34" s="2996" t="s">
        <v>3170</v>
      </c>
      <c r="D34" s="2996" t="s">
        <v>3171</v>
      </c>
      <c r="E34" s="2996" t="s">
        <v>3197</v>
      </c>
      <c r="F34" s="2996" t="s">
        <v>3198</v>
      </c>
    </row>
    <row r="35" spans="1:6" ht="33.75" customHeight="1" thickBot="1">
      <c r="A35" s="2996" t="s">
        <v>3172</v>
      </c>
      <c r="B35" s="2996" t="s">
        <v>3173</v>
      </c>
      <c r="C35" s="2996">
        <v>9380</v>
      </c>
      <c r="D35" s="2996">
        <v>11038.97</v>
      </c>
      <c r="E35" s="2996">
        <f ca="1">E6</f>
        <v>8703</v>
      </c>
      <c r="F35" s="2996">
        <f ca="1">F6</f>
        <v>9607</v>
      </c>
    </row>
    <row r="36" spans="1:6" ht="33.75" customHeight="1" thickBot="1">
      <c r="A36" s="2996" t="s">
        <v>3174</v>
      </c>
      <c r="B36" s="2996" t="s">
        <v>3175</v>
      </c>
      <c r="C36" s="2996">
        <v>33561.699999999997</v>
      </c>
      <c r="D36" s="2996">
        <v>6018.04</v>
      </c>
      <c r="E36" s="2996">
        <f ca="1">E11</f>
        <v>10896</v>
      </c>
      <c r="F36" s="2996">
        <f ca="1">F11</f>
        <v>6557</v>
      </c>
    </row>
    <row r="37" spans="1:6" ht="33.75" customHeight="1" thickBot="1">
      <c r="A37" s="2996" t="s">
        <v>3176</v>
      </c>
      <c r="B37" s="2996" t="s">
        <v>3177</v>
      </c>
      <c r="C37" s="2996">
        <v>11730</v>
      </c>
      <c r="D37" s="2996">
        <v>10684.49</v>
      </c>
      <c r="E37" s="2996">
        <f ca="1">E15</f>
        <v>10322</v>
      </c>
      <c r="F37" s="2996">
        <f ca="1">F15</f>
        <v>11029</v>
      </c>
    </row>
    <row r="38" spans="1:6" ht="33.75" customHeight="1" thickBot="1">
      <c r="A38" s="2996" t="s">
        <v>3178</v>
      </c>
      <c r="B38" s="2996" t="s">
        <v>3179</v>
      </c>
      <c r="C38" s="2996">
        <v>51869.4</v>
      </c>
      <c r="D38" s="2996">
        <v>31460.74</v>
      </c>
      <c r="E38" s="2996">
        <f t="shared" ref="E38:F40" ca="1" si="4">E24</f>
        <v>10104</v>
      </c>
      <c r="F38" s="2996">
        <f t="shared" ca="1" si="4"/>
        <v>31789</v>
      </c>
    </row>
    <row r="39" spans="1:6" ht="33.75" customHeight="1" thickBot="1">
      <c r="A39" s="2996" t="s">
        <v>3180</v>
      </c>
      <c r="B39" s="2996" t="s">
        <v>3181</v>
      </c>
      <c r="C39" s="2996">
        <v>3659.1</v>
      </c>
      <c r="D39" s="2996">
        <v>758.7</v>
      </c>
      <c r="E39" s="2997">
        <f t="shared" ca="1" si="4"/>
        <v>11507.141381354702</v>
      </c>
      <c r="F39" s="2996">
        <f t="shared" ca="1" si="4"/>
        <v>873</v>
      </c>
    </row>
    <row r="40" spans="1:6" ht="33.75" customHeight="1" thickBot="1">
      <c r="A40" s="2996" t="s">
        <v>3182</v>
      </c>
      <c r="B40" s="2996" t="s">
        <v>3183</v>
      </c>
      <c r="C40" s="2996">
        <v>27945</v>
      </c>
      <c r="D40" s="2996">
        <v>56983.21</v>
      </c>
      <c r="E40" s="2996">
        <f t="shared" ca="1" si="4"/>
        <v>10228</v>
      </c>
      <c r="F40" s="2996">
        <f t="shared" ca="1" si="4"/>
        <v>58284</v>
      </c>
    </row>
    <row r="41" spans="1:6" ht="33.75" customHeight="1">
      <c r="A41" s="2998" t="s">
        <v>3184</v>
      </c>
      <c r="B41" s="2998"/>
      <c r="C41" s="2998">
        <v>138145.20000000001</v>
      </c>
      <c r="D41" s="2998">
        <v>116944.15</v>
      </c>
      <c r="E41" s="2998">
        <f ca="1">J8</f>
        <v>10102</v>
      </c>
      <c r="F41" s="2998">
        <f ca="1">F27</f>
        <v>118139</v>
      </c>
    </row>
    <row r="44" spans="1:6" ht="14.25" thickBot="1"/>
    <row r="45" spans="1:6" ht="14.25" customHeight="1" thickTop="1">
      <c r="A45" s="3354" t="s">
        <v>3199</v>
      </c>
      <c r="B45" s="3366" t="str">
        <f>B34</f>
        <v>天津市房地产权证号</v>
      </c>
      <c r="C45" s="3354" t="s">
        <v>3151</v>
      </c>
      <c r="D45" s="3354" t="s">
        <v>3205</v>
      </c>
      <c r="E45" s="3357" t="s">
        <v>3200</v>
      </c>
      <c r="F45" s="3358"/>
    </row>
    <row r="46" spans="1:6">
      <c r="A46" s="3355"/>
      <c r="B46" s="3367"/>
      <c r="C46" s="3355"/>
      <c r="D46" s="3356"/>
      <c r="E46" s="3351" t="s">
        <v>3202</v>
      </c>
      <c r="F46" s="3351" t="s">
        <v>3201</v>
      </c>
    </row>
    <row r="47" spans="1:6">
      <c r="A47" s="3362" t="str">
        <f>A35</f>
        <v>主楼</v>
      </c>
      <c r="B47" s="3351" t="str">
        <f>B35</f>
        <v>房地证津字第122031029837号</v>
      </c>
      <c r="C47" s="3351">
        <f>D35</f>
        <v>11038.97</v>
      </c>
      <c r="D47" s="3363">
        <f>C35</f>
        <v>9380</v>
      </c>
      <c r="E47" s="3351">
        <f ca="1">F35</f>
        <v>9607</v>
      </c>
      <c r="F47" s="3351">
        <f ca="1">E35</f>
        <v>8703</v>
      </c>
    </row>
    <row r="48" spans="1:6">
      <c r="A48" s="3362" t="str">
        <f t="shared" ref="A48:B52" si="5">A36</f>
        <v>别墅</v>
      </c>
      <c r="B48" s="3351" t="str">
        <f t="shared" si="5"/>
        <v>房地证津字第122031029858号</v>
      </c>
      <c r="C48" s="3351">
        <f t="shared" ref="C48:C52" si="6">D36</f>
        <v>6018.04</v>
      </c>
      <c r="D48" s="3363">
        <f t="shared" ref="D48:D52" si="7">C36</f>
        <v>33561.699999999997</v>
      </c>
      <c r="E48" s="3351">
        <f t="shared" ref="E48:E52" ca="1" si="8">F36</f>
        <v>6557</v>
      </c>
      <c r="F48" s="3351">
        <f t="shared" ref="F48:F52" ca="1" si="9">E36</f>
        <v>10896</v>
      </c>
    </row>
    <row r="49" spans="1:6">
      <c r="A49" s="3362" t="str">
        <f t="shared" si="5"/>
        <v>康乐中心</v>
      </c>
      <c r="B49" s="3351" t="str">
        <f t="shared" si="5"/>
        <v>房地证津字第122031029836号</v>
      </c>
      <c r="C49" s="3351">
        <f t="shared" si="6"/>
        <v>10684.49</v>
      </c>
      <c r="D49" s="3363">
        <f t="shared" si="7"/>
        <v>11730</v>
      </c>
      <c r="E49" s="3351">
        <f t="shared" ca="1" si="8"/>
        <v>11029</v>
      </c>
      <c r="F49" s="3351">
        <f t="shared" ca="1" si="9"/>
        <v>10322</v>
      </c>
    </row>
    <row r="50" spans="1:6">
      <c r="A50" s="3362" t="str">
        <f t="shared" si="5"/>
        <v>万景园四合院</v>
      </c>
      <c r="B50" s="3351" t="str">
        <f t="shared" si="5"/>
        <v>房地证津字第122031029857号</v>
      </c>
      <c r="C50" s="3351">
        <f t="shared" si="6"/>
        <v>31460.74</v>
      </c>
      <c r="D50" s="3363">
        <f t="shared" si="7"/>
        <v>51869.4</v>
      </c>
      <c r="E50" s="3351">
        <f t="shared" ca="1" si="8"/>
        <v>31789</v>
      </c>
      <c r="F50" s="3351">
        <f t="shared" ca="1" si="9"/>
        <v>10104</v>
      </c>
    </row>
    <row r="51" spans="1:6">
      <c r="A51" s="3362" t="str">
        <f t="shared" si="5"/>
        <v>水上别墅</v>
      </c>
      <c r="B51" s="3351" t="str">
        <f t="shared" si="5"/>
        <v>房地证津字第122031029835号</v>
      </c>
      <c r="C51" s="3351">
        <f t="shared" si="6"/>
        <v>758.7</v>
      </c>
      <c r="D51" s="3363">
        <f t="shared" si="7"/>
        <v>3659.1</v>
      </c>
      <c r="E51" s="3351">
        <f t="shared" ca="1" si="8"/>
        <v>873</v>
      </c>
      <c r="F51" s="3351">
        <f t="shared" ca="1" si="9"/>
        <v>11507.141381354702</v>
      </c>
    </row>
    <row r="52" spans="1:6">
      <c r="A52" s="3362" t="str">
        <f t="shared" si="5"/>
        <v>15号楼</v>
      </c>
      <c r="B52" s="3351" t="str">
        <f t="shared" si="5"/>
        <v>房地证津字第122010807239号</v>
      </c>
      <c r="C52" s="3351">
        <f t="shared" si="6"/>
        <v>56983.21</v>
      </c>
      <c r="D52" s="3363">
        <f t="shared" si="7"/>
        <v>27945</v>
      </c>
      <c r="E52" s="3351">
        <f t="shared" ca="1" si="8"/>
        <v>58284</v>
      </c>
      <c r="F52" s="3351">
        <f t="shared" ca="1" si="9"/>
        <v>10228</v>
      </c>
    </row>
    <row r="53" spans="1:6">
      <c r="A53" s="3352" t="s">
        <v>37</v>
      </c>
      <c r="B53" s="3363"/>
      <c r="C53" s="3353">
        <f>D41</f>
        <v>116944.15</v>
      </c>
      <c r="D53" s="3353">
        <f>C41</f>
        <v>138145.20000000001</v>
      </c>
      <c r="E53" s="3353">
        <f ca="1">F41</f>
        <v>118139</v>
      </c>
      <c r="F53" s="3353">
        <f ca="1">E41</f>
        <v>10102</v>
      </c>
    </row>
    <row r="54" spans="1:6" ht="14.25" thickBot="1">
      <c r="A54" s="3359" t="s">
        <v>3203</v>
      </c>
      <c r="B54" s="3360"/>
      <c r="C54" s="3361"/>
      <c r="D54" s="3364" t="s">
        <v>3204</v>
      </c>
      <c r="E54" s="3365"/>
      <c r="F54" s="3365"/>
    </row>
    <row r="55" spans="1:6" ht="14.25" thickTop="1"/>
  </sheetData>
  <mergeCells count="23">
    <mergeCell ref="A54:C54"/>
    <mergeCell ref="E45:F45"/>
    <mergeCell ref="A45:A46"/>
    <mergeCell ref="C45:C46"/>
    <mergeCell ref="D45:D46"/>
    <mergeCell ref="B45:B46"/>
    <mergeCell ref="A2:A5"/>
    <mergeCell ref="B2:B5"/>
    <mergeCell ref="C2:C5"/>
    <mergeCell ref="A6:B6"/>
    <mergeCell ref="A7:A10"/>
    <mergeCell ref="B7:B10"/>
    <mergeCell ref="C7:C10"/>
    <mergeCell ref="C12:C14"/>
    <mergeCell ref="A15:B15"/>
    <mergeCell ref="A16:A23"/>
    <mergeCell ref="B16:B23"/>
    <mergeCell ref="C16:C23"/>
    <mergeCell ref="A24:B24"/>
    <mergeCell ref="A27:B27"/>
    <mergeCell ref="A11:B11"/>
    <mergeCell ref="A12:A14"/>
    <mergeCell ref="B12:B14"/>
  </mergeCells>
  <phoneticPr fontId="143" type="noConversion"/>
  <pageMargins left="0.7" right="0.7" top="0.75" bottom="0.75" header="0.3" footer="0.3"/>
  <ignoredErrors>
    <ignoredError sqref="F6 F11 F15 F2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预评估</v>
      </c>
      <c r="C37" s="2999"/>
      <c r="D37" s="2999"/>
      <c r="E37" s="2999"/>
      <c r="F37" s="2999"/>
      <c r="G37" s="2999"/>
      <c r="H37" s="2999"/>
      <c r="I37" s="299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0" sqref="C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131721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11264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3146</v>
      </c>
      <c r="H9" s="2981">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3147</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63574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95" t="s">
        <v>2410</v>
      </c>
    </row>
    <row r="43" spans="1:7" ht="13.5" customHeight="1">
      <c r="A43" s="951" t="s">
        <v>792</v>
      </c>
      <c r="B43" s="259" t="s">
        <v>2411</v>
      </c>
      <c r="C43" s="282">
        <f ca="1">ROUND(IF('数据-取费表'!B22&lt;=1,C39*F22*'数据-取费表'!B21/2,C39*(POWER((1+F22),'数据-取费表'!B21/2)-1)),0)</f>
        <v>124</v>
      </c>
      <c r="D43" s="282"/>
      <c r="E43" s="282"/>
      <c r="F43" s="283"/>
      <c r="G43" s="3196"/>
    </row>
    <row r="44" spans="1:7" ht="13.5" customHeight="1">
      <c r="A44" s="951" t="s">
        <v>793</v>
      </c>
      <c r="B44" s="259" t="s">
        <v>2412</v>
      </c>
      <c r="C44" s="282">
        <f ca="1">ROUND(IF('数据-取费表'!B22&lt;=1,C40*F22*'数据-取费表'!B21/2,C40*(POWER((1+F22),'数据-取费表'!B21/2)-1)),4)</f>
        <v>2.2000000000000001E-3</v>
      </c>
      <c r="D44" s="282"/>
      <c r="E44" s="282"/>
      <c r="F44" s="283"/>
      <c r="G44" s="3197"/>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82603</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68147</v>
      </c>
      <c r="D51" s="276"/>
      <c r="E51" s="276"/>
      <c r="F51" s="308"/>
      <c r="G51" s="278" t="s">
        <v>2426</v>
      </c>
    </row>
    <row r="52" spans="1:7" s="252" customFormat="1" ht="16.5" thickBot="1">
      <c r="A52" s="309" t="s">
        <v>2427</v>
      </c>
      <c r="B52" s="310"/>
      <c r="C52" s="311">
        <f ca="1">C31+C51</f>
        <v>131721</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75642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6468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74940730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95" t="s">
        <v>2457</v>
      </c>
    </row>
    <row r="43" spans="1:7" ht="13.5" customHeight="1">
      <c r="A43" s="951" t="s">
        <v>792</v>
      </c>
      <c r="B43" s="259" t="s">
        <v>2411</v>
      </c>
      <c r="C43" s="282">
        <f ca="1">ROUND(IF('数据-取费表'!B22&lt;=1,C39*F22*'数据-取费表'!B20/2,C39*(POWER((1+F22),'数据-取费表'!B20/2)-1)),0)</f>
        <v>1239908</v>
      </c>
      <c r="D43" s="282"/>
      <c r="E43" s="282"/>
      <c r="F43" s="283"/>
      <c r="G43" s="3196"/>
    </row>
    <row r="44" spans="1:7" ht="13.5" customHeight="1">
      <c r="A44" s="951" t="s">
        <v>793</v>
      </c>
      <c r="B44" s="259" t="s">
        <v>2412</v>
      </c>
      <c r="C44" s="282">
        <f ca="1">ROUND(IF('数据-取费表'!B22&lt;=1,C40*F22*'数据-取费表'!B20/2,C40*(POWER((1+F22),'数据-取费表'!B20/2)-1)),4)</f>
        <v>2.2000000000000001E-3</v>
      </c>
      <c r="D44" s="282"/>
      <c r="E44" s="282"/>
      <c r="F44" s="283"/>
      <c r="G44" s="3197"/>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826030438</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681475111</v>
      </c>
      <c r="D51" s="276"/>
      <c r="E51" s="276"/>
      <c r="F51" s="308"/>
      <c r="G51" s="278" t="s">
        <v>2426</v>
      </c>
    </row>
    <row r="52" spans="1:7" s="252" customFormat="1" ht="16.5" thickBot="1">
      <c r="A52" s="309" t="s">
        <v>2427</v>
      </c>
      <c r="B52" s="310"/>
      <c r="C52" s="311">
        <f ca="1">C31+C51</f>
        <v>756415841</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5.5000000000000007E-2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199" t="s">
        <v>2649</v>
      </c>
      <c r="AC4" s="3198" t="s">
        <v>2650</v>
      </c>
    </row>
    <row r="5" spans="1:30" ht="15">
      <c r="A5" s="404"/>
      <c r="B5" s="405"/>
      <c r="C5" s="3209" t="s">
        <v>2543</v>
      </c>
      <c r="D5" s="3210"/>
      <c r="E5" s="3207" t="str">
        <f>案例!A35</f>
        <v>武清区新城福源道东侧</v>
      </c>
      <c r="F5" s="3208"/>
      <c r="G5" s="3209" t="str">
        <f>案例!A36</f>
        <v>武清区新城泉州路东侧</v>
      </c>
      <c r="H5" s="3210"/>
      <c r="I5" s="3209" t="str">
        <f>案例!A37</f>
        <v>武清区徐官屯街京津公路东侧</v>
      </c>
      <c r="J5" s="3210"/>
      <c r="K5" s="610"/>
      <c r="L5" s="1130"/>
      <c r="M5" s="1131"/>
      <c r="N5" s="1131"/>
      <c r="O5" s="1131"/>
      <c r="P5" s="3222"/>
      <c r="Q5" s="3223"/>
      <c r="R5" s="3205"/>
      <c r="S5" s="3206"/>
      <c r="T5" s="3205"/>
      <c r="U5" s="3206"/>
      <c r="V5" s="3228"/>
      <c r="W5" s="3228"/>
      <c r="X5" s="1812"/>
      <c r="Y5" s="3205"/>
      <c r="Z5" s="3206"/>
      <c r="AA5" s="3199"/>
      <c r="AB5" s="3199"/>
      <c r="AC5" s="3199"/>
    </row>
    <row r="6" spans="1:30" ht="15.75" thickBot="1">
      <c r="A6" s="406"/>
      <c r="B6" s="407"/>
      <c r="C6" s="3211" t="s">
        <v>2547</v>
      </c>
      <c r="D6" s="3212"/>
      <c r="E6" s="3213" t="s">
        <v>2547</v>
      </c>
      <c r="F6" s="3214"/>
      <c r="G6" s="3211" t="s">
        <v>2547</v>
      </c>
      <c r="H6" s="3212"/>
      <c r="I6" s="3211" t="s">
        <v>2547</v>
      </c>
      <c r="J6" s="3212"/>
      <c r="K6" s="610" t="s">
        <v>2548</v>
      </c>
      <c r="L6" s="1130"/>
      <c r="M6" s="1131"/>
      <c r="N6" s="1131"/>
      <c r="O6" s="1131"/>
      <c r="P6" s="3224"/>
      <c r="Q6" s="3225"/>
      <c r="R6" s="3205"/>
      <c r="S6" s="3206"/>
      <c r="T6" s="3226"/>
      <c r="U6" s="3227"/>
      <c r="V6" s="3228"/>
      <c r="W6" s="3228"/>
      <c r="X6" s="1812"/>
      <c r="Y6" s="3226"/>
      <c r="Z6" s="3227"/>
      <c r="AA6" s="3200"/>
      <c r="AB6" s="3200"/>
      <c r="AC6" s="3200"/>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201" t="s">
        <v>2550</v>
      </c>
      <c r="Q7" s="3229"/>
      <c r="R7" s="770" t="s">
        <v>17</v>
      </c>
      <c r="S7" s="771">
        <f t="shared" ref="S7:S15" si="0">F7</f>
        <v>98</v>
      </c>
      <c r="T7" s="770" t="s">
        <v>17</v>
      </c>
      <c r="U7" s="771">
        <f t="shared" ref="U7:U15" si="1">H7</f>
        <v>98</v>
      </c>
      <c r="V7" s="770" t="s">
        <v>17</v>
      </c>
      <c r="W7" s="771">
        <f t="shared" ref="W7:W15" si="2">J7</f>
        <v>97</v>
      </c>
      <c r="X7" s="772"/>
      <c r="Y7" s="3201" t="s">
        <v>2550</v>
      </c>
      <c r="Z7" s="3202"/>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01" t="s">
        <v>2553</v>
      </c>
      <c r="Q8" s="3202"/>
      <c r="R8" s="770" t="s">
        <v>17</v>
      </c>
      <c r="S8" s="771">
        <f t="shared" si="0"/>
        <v>100</v>
      </c>
      <c r="T8" s="770" t="s">
        <v>17</v>
      </c>
      <c r="U8" s="771">
        <f t="shared" si="1"/>
        <v>100</v>
      </c>
      <c r="V8" s="770" t="s">
        <v>17</v>
      </c>
      <c r="W8" s="771">
        <f t="shared" si="2"/>
        <v>100</v>
      </c>
      <c r="X8" s="772"/>
      <c r="Y8" s="3201" t="s">
        <v>2553</v>
      </c>
      <c r="Z8" s="3202"/>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215" t="s">
        <v>2556</v>
      </c>
      <c r="Q9" s="1794" t="str">
        <f t="shared" ref="Q9:Q15" si="6">B9</f>
        <v>用途</v>
      </c>
      <c r="R9" s="770" t="s">
        <v>17</v>
      </c>
      <c r="S9" s="771">
        <f t="shared" si="0"/>
        <v>102</v>
      </c>
      <c r="T9" s="770" t="s">
        <v>17</v>
      </c>
      <c r="U9" s="771">
        <f t="shared" si="1"/>
        <v>102</v>
      </c>
      <c r="V9" s="770" t="s">
        <v>17</v>
      </c>
      <c r="W9" s="771">
        <f t="shared" si="2"/>
        <v>102</v>
      </c>
      <c r="X9" s="772"/>
      <c r="Y9" s="3065"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215"/>
      <c r="Q10" s="1794" t="str">
        <f t="shared" si="6"/>
        <v>土地使用年限（年）</v>
      </c>
      <c r="R10" s="770" t="s">
        <v>17</v>
      </c>
      <c r="S10" s="771">
        <f t="shared" si="0"/>
        <v>113</v>
      </c>
      <c r="T10" s="770" t="s">
        <v>17</v>
      </c>
      <c r="U10" s="771">
        <f t="shared" si="1"/>
        <v>113</v>
      </c>
      <c r="V10" s="770" t="s">
        <v>17</v>
      </c>
      <c r="W10" s="771">
        <f t="shared" si="2"/>
        <v>113</v>
      </c>
      <c r="X10" s="772"/>
      <c r="Y10" s="3065"/>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f>'数据-汇总表'!I6</f>
        <v>0.85</v>
      </c>
      <c r="D11" s="135">
        <v>100</v>
      </c>
      <c r="E11" s="429">
        <v>2.5</v>
      </c>
      <c r="F11" s="135">
        <f>LOOKUP(E11,80:80,81:81)-LOOKUP(C11,80:80,81:81)+100</f>
        <v>96</v>
      </c>
      <c r="G11" s="430">
        <v>2.5</v>
      </c>
      <c r="H11" s="135">
        <f>LOOKUP(G11,80:80,81:81)-LOOKUP(C11,80:80,81:81)+100</f>
        <v>96</v>
      </c>
      <c r="I11" s="429">
        <v>1</v>
      </c>
      <c r="J11" s="135">
        <f>LOOKUP(I11,80:80,81:81)-LOOKUP(C11,80:80,81:81)+100</f>
        <v>98</v>
      </c>
      <c r="K11" s="673">
        <v>2</v>
      </c>
      <c r="L11" s="1138"/>
      <c r="M11" s="1131"/>
      <c r="N11" s="1131"/>
      <c r="O11" s="1139"/>
      <c r="P11" s="3215"/>
      <c r="Q11" s="1794" t="str">
        <f t="shared" si="6"/>
        <v>容积率</v>
      </c>
      <c r="R11" s="770" t="s">
        <v>17</v>
      </c>
      <c r="S11" s="771">
        <f t="shared" si="0"/>
        <v>96</v>
      </c>
      <c r="T11" s="770" t="s">
        <v>17</v>
      </c>
      <c r="U11" s="771">
        <f t="shared" si="1"/>
        <v>96</v>
      </c>
      <c r="V11" s="770" t="s">
        <v>17</v>
      </c>
      <c r="W11" s="771">
        <f t="shared" si="2"/>
        <v>98</v>
      </c>
      <c r="X11" s="772"/>
      <c r="Y11" s="3065"/>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215"/>
      <c r="Q12" s="1794" t="str">
        <f t="shared" si="6"/>
        <v>配建</v>
      </c>
      <c r="R12" s="770" t="s">
        <v>17</v>
      </c>
      <c r="S12" s="771">
        <f t="shared" si="0"/>
        <v>100</v>
      </c>
      <c r="T12" s="770" t="s">
        <v>17</v>
      </c>
      <c r="U12" s="771">
        <f t="shared" si="1"/>
        <v>100</v>
      </c>
      <c r="V12" s="770" t="s">
        <v>17</v>
      </c>
      <c r="W12" s="771">
        <f t="shared" si="2"/>
        <v>100</v>
      </c>
      <c r="X12" s="772"/>
      <c r="Y12" s="3065"/>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215"/>
      <c r="Q13" s="1794">
        <f t="shared" si="6"/>
        <v>111</v>
      </c>
      <c r="R13" s="770" t="s">
        <v>17</v>
      </c>
      <c r="S13" s="771">
        <f t="shared" si="0"/>
        <v>100</v>
      </c>
      <c r="T13" s="770" t="s">
        <v>17</v>
      </c>
      <c r="U13" s="771">
        <f t="shared" si="1"/>
        <v>100</v>
      </c>
      <c r="V13" s="770" t="s">
        <v>17</v>
      </c>
      <c r="W13" s="771">
        <f t="shared" si="2"/>
        <v>100</v>
      </c>
      <c r="X13" s="772"/>
      <c r="Y13" s="3065"/>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5"/>
      <c r="Q14" s="1794">
        <f t="shared" si="6"/>
        <v>111</v>
      </c>
      <c r="R14" s="770" t="s">
        <v>17</v>
      </c>
      <c r="S14" s="771">
        <f t="shared" si="0"/>
        <v>100</v>
      </c>
      <c r="T14" s="770" t="s">
        <v>17</v>
      </c>
      <c r="U14" s="771">
        <f t="shared" si="1"/>
        <v>100</v>
      </c>
      <c r="V14" s="770" t="s">
        <v>17</v>
      </c>
      <c r="W14" s="771">
        <f t="shared" si="2"/>
        <v>100</v>
      </c>
      <c r="X14" s="772"/>
      <c r="Y14" s="3065"/>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0" t="s">
        <v>2561</v>
      </c>
      <c r="Q15" s="1809" t="str">
        <f t="shared" si="6"/>
        <v>居住社区成熟度</v>
      </c>
      <c r="R15" s="774" t="s">
        <v>17</v>
      </c>
      <c r="S15" s="775">
        <f t="shared" si="0"/>
        <v>100</v>
      </c>
      <c r="T15" s="774" t="s">
        <v>17</v>
      </c>
      <c r="U15" s="775">
        <f t="shared" si="1"/>
        <v>100</v>
      </c>
      <c r="V15" s="774" t="s">
        <v>17</v>
      </c>
      <c r="W15" s="775">
        <f t="shared" si="2"/>
        <v>100</v>
      </c>
      <c r="X15" s="1812"/>
      <c r="Y15" s="3230"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31"/>
      <c r="Q16" s="1809"/>
      <c r="R16" s="774"/>
      <c r="S16" s="775"/>
      <c r="T16" s="774"/>
      <c r="U16" s="775"/>
      <c r="V16" s="774"/>
      <c r="W16" s="775"/>
      <c r="X16" s="1812"/>
      <c r="Y16" s="3231"/>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3163</v>
      </c>
      <c r="F17" s="450">
        <f>SUMIF(90:90,E18,91:91)-SUMIF(90:90,C18,91:91)+100</f>
        <v>100</v>
      </c>
      <c r="G17" s="2963" t="s">
        <v>3164</v>
      </c>
      <c r="H17" s="455">
        <f>SUMIF(90:90,G18,91:91)-SUMIF(90:90,C18,91:91)+100</f>
        <v>100</v>
      </c>
      <c r="I17" s="2963" t="s">
        <v>3165</v>
      </c>
      <c r="J17" s="455">
        <f>SUMIF(90:90,I18,91:91)-SUMIF(90:90,C18,91:91)+100</f>
        <v>100</v>
      </c>
      <c r="K17" s="673">
        <v>1</v>
      </c>
      <c r="L17" s="1140"/>
      <c r="M17" s="1131"/>
      <c r="N17" s="1131"/>
      <c r="O17" s="1139"/>
      <c r="P17" s="3231"/>
      <c r="Q17" s="1809" t="str">
        <f>B17</f>
        <v>商业繁华度</v>
      </c>
      <c r="R17" s="774" t="s">
        <v>17</v>
      </c>
      <c r="S17" s="775">
        <f>F17</f>
        <v>100</v>
      </c>
      <c r="T17" s="774" t="s">
        <v>17</v>
      </c>
      <c r="U17" s="775">
        <f>H17</f>
        <v>100</v>
      </c>
      <c r="V17" s="774" t="s">
        <v>17</v>
      </c>
      <c r="W17" s="775">
        <f>J17</f>
        <v>100</v>
      </c>
      <c r="X17" s="1812"/>
      <c r="Y17" s="3231"/>
      <c r="Z17" s="1813" t="str">
        <f>Q17</f>
        <v>商业繁华度</v>
      </c>
      <c r="AA17" s="1810">
        <f t="shared" si="3"/>
        <v>1</v>
      </c>
      <c r="AB17" s="1810">
        <f t="shared" si="4"/>
        <v>1</v>
      </c>
      <c r="AC17" s="1810">
        <f t="shared" si="5"/>
        <v>1</v>
      </c>
    </row>
    <row r="18" spans="1:29" ht="15" hidden="1">
      <c r="A18" s="428"/>
      <c r="B18" s="456"/>
      <c r="C18" s="2610" t="s">
        <v>3093</v>
      </c>
      <c r="D18" s="450"/>
      <c r="E18" s="2610" t="s">
        <v>3093</v>
      </c>
      <c r="F18" s="450"/>
      <c r="G18" s="2610" t="s">
        <v>3093</v>
      </c>
      <c r="H18" s="448"/>
      <c r="I18" s="2610" t="s">
        <v>3093</v>
      </c>
      <c r="J18" s="448"/>
      <c r="K18" s="672"/>
      <c r="L18" s="1140"/>
      <c r="M18" s="1131"/>
      <c r="N18" s="1131"/>
      <c r="O18" s="1139"/>
      <c r="P18" s="3231"/>
      <c r="Q18" s="1809"/>
      <c r="R18" s="774"/>
      <c r="S18" s="775"/>
      <c r="T18" s="774"/>
      <c r="U18" s="775"/>
      <c r="V18" s="774"/>
      <c r="W18" s="775"/>
      <c r="X18" s="1812"/>
      <c r="Y18" s="3231"/>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1"/>
      <c r="Q19" s="1809" t="str">
        <f>B19</f>
        <v>办公集聚程度</v>
      </c>
      <c r="R19" s="774" t="s">
        <v>17</v>
      </c>
      <c r="S19" s="775">
        <f>F19</f>
        <v>100</v>
      </c>
      <c r="T19" s="774" t="s">
        <v>17</v>
      </c>
      <c r="U19" s="775">
        <f>H19</f>
        <v>100</v>
      </c>
      <c r="V19" s="774" t="s">
        <v>17</v>
      </c>
      <c r="W19" s="775">
        <f>J19</f>
        <v>100</v>
      </c>
      <c r="X19" s="1812"/>
      <c r="Y19" s="3231"/>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31"/>
      <c r="Q20" s="1809"/>
      <c r="R20" s="774"/>
      <c r="S20" s="775"/>
      <c r="T20" s="774"/>
      <c r="U20" s="775"/>
      <c r="V20" s="774"/>
      <c r="W20" s="775"/>
      <c r="X20" s="1812"/>
      <c r="Y20" s="3231"/>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3160</v>
      </c>
      <c r="F21" s="455">
        <f>SUMIF(94:94,E22,95:95)-SUMIF(94:94,C22,95:95)+100</f>
        <v>100</v>
      </c>
      <c r="G21" s="2979" t="s">
        <v>3166</v>
      </c>
      <c r="H21" s="450">
        <f>SUMIF(94:94,G22,95:95)-SUMIF(94:94,C22,95:95)+100</f>
        <v>100</v>
      </c>
      <c r="I21" s="452" t="s">
        <v>3149</v>
      </c>
      <c r="J21" s="450">
        <f>SUMIF(94:94,I22,95:95)-SUMIF(94:94,C22,95:95)+100</f>
        <v>100</v>
      </c>
      <c r="K21" s="673">
        <v>1</v>
      </c>
      <c r="L21" s="1140"/>
      <c r="M21" s="1131"/>
      <c r="N21" s="1131"/>
      <c r="O21" s="1139"/>
      <c r="P21" s="3231"/>
      <c r="Q21" s="1809" t="str">
        <f>B21</f>
        <v>交通便捷度</v>
      </c>
      <c r="R21" s="774" t="s">
        <v>17</v>
      </c>
      <c r="S21" s="775">
        <f>F21</f>
        <v>100</v>
      </c>
      <c r="T21" s="774" t="s">
        <v>17</v>
      </c>
      <c r="U21" s="775">
        <f>H21</f>
        <v>100</v>
      </c>
      <c r="V21" s="774" t="s">
        <v>17</v>
      </c>
      <c r="W21" s="775">
        <f>J21</f>
        <v>100</v>
      </c>
      <c r="X21" s="1812"/>
      <c r="Y21" s="3231"/>
      <c r="Z21" s="1813" t="str">
        <f>Q21</f>
        <v>交通便捷度</v>
      </c>
      <c r="AA21" s="1810">
        <f t="shared" si="3"/>
        <v>1</v>
      </c>
      <c r="AB21" s="1810">
        <f t="shared" si="4"/>
        <v>1</v>
      </c>
      <c r="AC21" s="1810">
        <f t="shared" si="5"/>
        <v>1</v>
      </c>
    </row>
    <row r="22" spans="1:29" ht="15" hidden="1">
      <c r="A22" s="428"/>
      <c r="B22" s="1384"/>
      <c r="C22" s="447" t="s">
        <v>3093</v>
      </c>
      <c r="D22" s="450"/>
      <c r="E22" s="447" t="s">
        <v>3093</v>
      </c>
      <c r="F22" s="448"/>
      <c r="G22" s="447" t="s">
        <v>3093</v>
      </c>
      <c r="H22" s="448"/>
      <c r="I22" s="447" t="s">
        <v>3093</v>
      </c>
      <c r="J22" s="448"/>
      <c r="K22" s="672"/>
      <c r="L22" s="1140"/>
      <c r="M22" s="1131"/>
      <c r="N22" s="1131"/>
      <c r="O22" s="1139"/>
      <c r="P22" s="3231"/>
      <c r="Q22" s="1809"/>
      <c r="R22" s="774"/>
      <c r="S22" s="775"/>
      <c r="T22" s="774"/>
      <c r="U22" s="775"/>
      <c r="V22" s="774"/>
      <c r="W22" s="775"/>
      <c r="X22" s="1812"/>
      <c r="Y22" s="3231"/>
      <c r="Z22" s="1813"/>
      <c r="AA22" s="1810">
        <v>1</v>
      </c>
      <c r="AB22" s="1810">
        <v>1</v>
      </c>
      <c r="AC22" s="1810">
        <v>1</v>
      </c>
    </row>
    <row r="23" spans="1:29" ht="15">
      <c r="A23" s="404"/>
      <c r="B23" s="451" t="s">
        <v>2749</v>
      </c>
      <c r="C23" s="1389" t="str">
        <f>估价对象房地状况!C19</f>
        <v>较一致</v>
      </c>
      <c r="D23" s="455">
        <v>100</v>
      </c>
      <c r="E23" s="452" t="s">
        <v>3167</v>
      </c>
      <c r="F23" s="455">
        <f>SUMIF(96:96,E24,97:97)-SUMIF(96:96,C24,97:97)+100</f>
        <v>100</v>
      </c>
      <c r="G23" s="452" t="s">
        <v>3167</v>
      </c>
      <c r="H23" s="455">
        <f>SUMIF(96:96,G24,97:97)-SUMIF(96:96,C24,97:97)+100</f>
        <v>100</v>
      </c>
      <c r="I23" s="452" t="s">
        <v>3167</v>
      </c>
      <c r="J23" s="455">
        <f>SUMIF(96:96,I24,97:97)-SUMIF(96:96,C24,97:97)+100</f>
        <v>100</v>
      </c>
      <c r="K23" s="673"/>
      <c r="L23" s="1140"/>
      <c r="M23" s="1131"/>
      <c r="N23" s="1131"/>
      <c r="O23" s="1139"/>
      <c r="P23" s="3231"/>
      <c r="Q23" s="1809" t="str">
        <f t="shared" ref="Q23:Q37" si="8">B23</f>
        <v>区域土地利用方向</v>
      </c>
      <c r="R23" s="774" t="s">
        <v>17</v>
      </c>
      <c r="S23" s="775">
        <f>F23</f>
        <v>100</v>
      </c>
      <c r="T23" s="774" t="s">
        <v>17</v>
      </c>
      <c r="U23" s="775">
        <f>H23</f>
        <v>100</v>
      </c>
      <c r="V23" s="774" t="s">
        <v>17</v>
      </c>
      <c r="W23" s="775">
        <f>J23</f>
        <v>100</v>
      </c>
      <c r="X23" s="1812"/>
      <c r="Y23" s="3231"/>
      <c r="Z23" s="1813" t="str">
        <f>Q23</f>
        <v>区域土地利用方向</v>
      </c>
      <c r="AA23" s="1810">
        <f t="shared" si="3"/>
        <v>1</v>
      </c>
      <c r="AB23" s="1810">
        <f t="shared" si="4"/>
        <v>1</v>
      </c>
      <c r="AC23" s="1810">
        <f t="shared" si="5"/>
        <v>1</v>
      </c>
    </row>
    <row r="24" spans="1:29" ht="15" hidden="1">
      <c r="A24" s="404"/>
      <c r="B24" s="456"/>
      <c r="C24" s="616" t="s">
        <v>3094</v>
      </c>
      <c r="D24" s="448"/>
      <c r="E24" s="616" t="s">
        <v>3094</v>
      </c>
      <c r="F24" s="448"/>
      <c r="G24" s="616" t="s">
        <v>3094</v>
      </c>
      <c r="H24" s="448"/>
      <c r="I24" s="616" t="s">
        <v>3094</v>
      </c>
      <c r="J24" s="448"/>
      <c r="K24" s="809"/>
      <c r="L24" s="1140"/>
      <c r="M24" s="1131"/>
      <c r="N24" s="1131"/>
      <c r="O24" s="1139"/>
      <c r="P24" s="3231"/>
      <c r="Q24" s="1809"/>
      <c r="R24" s="774"/>
      <c r="S24" s="775"/>
      <c r="T24" s="774"/>
      <c r="U24" s="775"/>
      <c r="V24" s="774"/>
      <c r="W24" s="775"/>
      <c r="X24" s="1812"/>
      <c r="Y24" s="3231"/>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31"/>
      <c r="Q25" s="1809" t="str">
        <f t="shared" si="8"/>
        <v>自然及人文环境状况</v>
      </c>
      <c r="R25" s="774" t="s">
        <v>17</v>
      </c>
      <c r="S25" s="775">
        <f>F25</f>
        <v>100</v>
      </c>
      <c r="T25" s="774" t="s">
        <v>17</v>
      </c>
      <c r="U25" s="775">
        <f>H25</f>
        <v>100</v>
      </c>
      <c r="V25" s="774" t="s">
        <v>17</v>
      </c>
      <c r="W25" s="775">
        <f>J25</f>
        <v>100</v>
      </c>
      <c r="X25" s="1812"/>
      <c r="Y25" s="3231"/>
      <c r="Z25" s="1813" t="str">
        <f>Q25</f>
        <v>自然及人文环境状况</v>
      </c>
      <c r="AA25" s="1810">
        <f t="shared" si="3"/>
        <v>1</v>
      </c>
      <c r="AB25" s="1810">
        <f t="shared" si="4"/>
        <v>1</v>
      </c>
      <c r="AC25" s="1810">
        <f t="shared" si="5"/>
        <v>1</v>
      </c>
    </row>
    <row r="26" spans="1:29" ht="15">
      <c r="A26" s="404"/>
      <c r="B26" s="456"/>
      <c r="C26" s="447" t="s">
        <v>3094</v>
      </c>
      <c r="D26" s="448"/>
      <c r="E26" s="447" t="s">
        <v>3094</v>
      </c>
      <c r="F26" s="448"/>
      <c r="G26" s="447" t="s">
        <v>3094</v>
      </c>
      <c r="H26" s="448"/>
      <c r="I26" s="447" t="s">
        <v>3094</v>
      </c>
      <c r="J26" s="448"/>
      <c r="K26" s="672"/>
      <c r="L26" s="1140"/>
      <c r="M26" s="1131"/>
      <c r="N26" s="1131"/>
      <c r="O26" s="1139"/>
      <c r="P26" s="3231"/>
      <c r="Q26" s="1809"/>
      <c r="R26" s="774"/>
      <c r="S26" s="775"/>
      <c r="T26" s="774"/>
      <c r="U26" s="775"/>
      <c r="V26" s="774"/>
      <c r="W26" s="775"/>
      <c r="X26" s="1812"/>
      <c r="Y26" s="3231"/>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3161</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3139</v>
      </c>
      <c r="J27" s="450">
        <f>SUMIF(100:100,I28,101:101)-SUMIF(100:100,C28,101:101)+100</f>
        <v>100</v>
      </c>
      <c r="K27" s="673"/>
      <c r="L27" s="1132"/>
      <c r="M27" s="1133"/>
      <c r="N27" s="1133"/>
      <c r="O27" s="1134"/>
      <c r="P27" s="3231"/>
      <c r="Q27" s="1794" t="str">
        <f t="shared" si="8"/>
        <v>公共配套设施</v>
      </c>
      <c r="R27" s="770" t="s">
        <v>17</v>
      </c>
      <c r="S27" s="771">
        <f>F27</f>
        <v>100</v>
      </c>
      <c r="T27" s="770" t="s">
        <v>17</v>
      </c>
      <c r="U27" s="771">
        <f>H27</f>
        <v>100</v>
      </c>
      <c r="V27" s="770" t="s">
        <v>17</v>
      </c>
      <c r="W27" s="771">
        <f>J27</f>
        <v>100</v>
      </c>
      <c r="X27" s="772"/>
      <c r="Y27" s="3231"/>
      <c r="Z27" s="54" t="str">
        <f>Q27</f>
        <v>公共配套设施</v>
      </c>
      <c r="AA27" s="1810">
        <f>D27/F27</f>
        <v>1</v>
      </c>
      <c r="AB27" s="1810">
        <f>D27/H27</f>
        <v>1</v>
      </c>
      <c r="AC27" s="1810">
        <f>D27/J27</f>
        <v>1</v>
      </c>
    </row>
    <row r="28" spans="1:29" s="116" customFormat="1" ht="15" hidden="1">
      <c r="A28" s="649"/>
      <c r="B28" s="456"/>
      <c r="C28" s="2702" t="s">
        <v>3094</v>
      </c>
      <c r="D28" s="448"/>
      <c r="E28" s="2702" t="s">
        <v>3094</v>
      </c>
      <c r="F28" s="448"/>
      <c r="G28" s="2702" t="s">
        <v>3094</v>
      </c>
      <c r="H28" s="448"/>
      <c r="I28" s="2702" t="s">
        <v>3094</v>
      </c>
      <c r="J28" s="448"/>
      <c r="K28" s="672"/>
      <c r="L28" s="1132"/>
      <c r="M28" s="1133"/>
      <c r="N28" s="1133"/>
      <c r="O28" s="1134"/>
      <c r="P28" s="3231"/>
      <c r="Q28" s="1794"/>
      <c r="R28" s="770"/>
      <c r="S28" s="771"/>
      <c r="T28" s="770"/>
      <c r="U28" s="771"/>
      <c r="V28" s="770"/>
      <c r="W28" s="771"/>
      <c r="X28" s="772"/>
      <c r="Y28" s="3231"/>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2963" t="s">
        <v>3162</v>
      </c>
      <c r="F29" s="450">
        <f>SUMIF(102:102,E30,103:103)-SUMIF(102:102,C30,103:103)+100</f>
        <v>100</v>
      </c>
      <c r="G29" s="2963" t="s">
        <v>3162</v>
      </c>
      <c r="H29" s="450">
        <f>SUMIF(102:102,G30,103:103)-SUMIF(102:102,C30,103:103)+100</f>
        <v>100</v>
      </c>
      <c r="I29" s="2963" t="s">
        <v>3162</v>
      </c>
      <c r="J29" s="450">
        <f>SUMIF(102:102,I30,103:103)-SUMIF(102:102,C30,103:103)+100</f>
        <v>100</v>
      </c>
      <c r="K29" s="673"/>
      <c r="L29" s="1132"/>
      <c r="M29" s="1133"/>
      <c r="N29" s="1133"/>
      <c r="O29" s="1134"/>
      <c r="P29" s="3231"/>
      <c r="Q29" s="1794" t="str">
        <f t="shared" ref="Q29" si="9">B29</f>
        <v>基础设施水平</v>
      </c>
      <c r="R29" s="770" t="s">
        <v>17</v>
      </c>
      <c r="S29" s="771">
        <f>F29</f>
        <v>100</v>
      </c>
      <c r="T29" s="770" t="s">
        <v>17</v>
      </c>
      <c r="U29" s="771">
        <f>H29</f>
        <v>100</v>
      </c>
      <c r="V29" s="770" t="s">
        <v>17</v>
      </c>
      <c r="W29" s="771">
        <f>J29</f>
        <v>100</v>
      </c>
      <c r="X29" s="772"/>
      <c r="Y29" s="3231"/>
      <c r="Z29" s="54" t="str">
        <f>Q29</f>
        <v>基础设施水平</v>
      </c>
      <c r="AA29" s="1810">
        <f>D29/F29</f>
        <v>1</v>
      </c>
      <c r="AB29" s="1810">
        <f>D29/H29</f>
        <v>1</v>
      </c>
      <c r="AC29" s="1810">
        <f>D29/J29</f>
        <v>1</v>
      </c>
    </row>
    <row r="30" spans="1:29" s="116" customFormat="1" ht="15" hidden="1">
      <c r="A30" s="649"/>
      <c r="B30" s="456"/>
      <c r="C30" s="2702" t="s">
        <v>3103</v>
      </c>
      <c r="D30" s="448"/>
      <c r="E30" s="2702" t="s">
        <v>3103</v>
      </c>
      <c r="F30" s="448"/>
      <c r="G30" s="2702" t="s">
        <v>3103</v>
      </c>
      <c r="H30" s="448"/>
      <c r="I30" s="2702" t="s">
        <v>3103</v>
      </c>
      <c r="J30" s="448"/>
      <c r="K30" s="672"/>
      <c r="L30" s="1132"/>
      <c r="M30" s="1133"/>
      <c r="N30" s="1133"/>
      <c r="O30" s="1134"/>
      <c r="P30" s="3231"/>
      <c r="Q30" s="1794"/>
      <c r="R30" s="770"/>
      <c r="S30" s="771"/>
      <c r="T30" s="770"/>
      <c r="U30" s="771"/>
      <c r="V30" s="770"/>
      <c r="W30" s="771"/>
      <c r="X30" s="772"/>
      <c r="Y30" s="3231"/>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3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1"/>
      <c r="Z31" s="1813" t="str">
        <f t="shared" ref="Z31:Z45" si="13">Q31</f>
        <v>临街状况</v>
      </c>
      <c r="AA31" s="1810">
        <f t="shared" si="3"/>
        <v>1</v>
      </c>
      <c r="AB31" s="1810">
        <f t="shared" si="4"/>
        <v>1</v>
      </c>
      <c r="AC31" s="1810">
        <f t="shared" si="5"/>
        <v>1</v>
      </c>
    </row>
    <row r="32" spans="1:29" ht="27" hidden="1">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1"/>
      <c r="Q32" s="1809" t="str">
        <f t="shared" si="8"/>
        <v>毗邻道路的类型与等级</v>
      </c>
      <c r="R32" s="774" t="s">
        <v>17</v>
      </c>
      <c r="S32" s="775">
        <f t="shared" si="10"/>
        <v>100</v>
      </c>
      <c r="T32" s="774" t="s">
        <v>17</v>
      </c>
      <c r="U32" s="775">
        <f t="shared" si="11"/>
        <v>100</v>
      </c>
      <c r="V32" s="774" t="s">
        <v>17</v>
      </c>
      <c r="W32" s="775">
        <f t="shared" si="12"/>
        <v>100</v>
      </c>
      <c r="X32" s="1812"/>
      <c r="Y32" s="3231"/>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231"/>
      <c r="Q33" s="1809"/>
      <c r="R33" s="774"/>
      <c r="S33" s="775"/>
      <c r="T33" s="774"/>
      <c r="U33" s="775"/>
      <c r="V33" s="774"/>
      <c r="W33" s="775"/>
      <c r="X33" s="1812"/>
      <c r="Y33" s="3231"/>
      <c r="Z33" s="1813"/>
      <c r="AA33" s="1810">
        <v>1</v>
      </c>
      <c r="AB33" s="1810">
        <v>1</v>
      </c>
      <c r="AC33" s="1810">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1"/>
      <c r="Q34" s="1809" t="str">
        <f t="shared" si="8"/>
        <v>土地级别</v>
      </c>
      <c r="R34" s="774" t="s">
        <v>17</v>
      </c>
      <c r="S34" s="775">
        <f t="shared" si="10"/>
        <v>100</v>
      </c>
      <c r="T34" s="774" t="s">
        <v>17</v>
      </c>
      <c r="U34" s="775">
        <f t="shared" si="11"/>
        <v>100</v>
      </c>
      <c r="V34" s="774" t="s">
        <v>17</v>
      </c>
      <c r="W34" s="775">
        <f t="shared" si="12"/>
        <v>100</v>
      </c>
      <c r="X34" s="1812"/>
      <c r="Y34" s="3231"/>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1"/>
      <c r="Q35" s="1809">
        <f t="shared" si="8"/>
        <v>111</v>
      </c>
      <c r="R35" s="774" t="s">
        <v>17</v>
      </c>
      <c r="S35" s="775">
        <f t="shared" si="10"/>
        <v>100</v>
      </c>
      <c r="T35" s="774" t="s">
        <v>17</v>
      </c>
      <c r="U35" s="775">
        <f t="shared" si="11"/>
        <v>100</v>
      </c>
      <c r="V35" s="774" t="s">
        <v>17</v>
      </c>
      <c r="W35" s="775">
        <f t="shared" si="12"/>
        <v>100</v>
      </c>
      <c r="X35" s="1812"/>
      <c r="Y35" s="3231"/>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2566</v>
      </c>
      <c r="Q36" s="1809">
        <f t="shared" si="8"/>
        <v>111</v>
      </c>
      <c r="R36" s="774" t="s">
        <v>17</v>
      </c>
      <c r="S36" s="775">
        <f t="shared" si="10"/>
        <v>100</v>
      </c>
      <c r="T36" s="774" t="s">
        <v>17</v>
      </c>
      <c r="U36" s="775">
        <f t="shared" si="11"/>
        <v>100</v>
      </c>
      <c r="V36" s="774" t="s">
        <v>17</v>
      </c>
      <c r="W36" s="775">
        <f t="shared" si="12"/>
        <v>100</v>
      </c>
      <c r="X36" s="1812"/>
      <c r="Y36" s="3233"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3"/>
      <c r="Q37" s="1809">
        <f t="shared" si="8"/>
        <v>111</v>
      </c>
      <c r="R37" s="777" t="s">
        <v>17</v>
      </c>
      <c r="S37" s="778">
        <f t="shared" si="10"/>
        <v>100</v>
      </c>
      <c r="T37" s="777" t="s">
        <v>17</v>
      </c>
      <c r="U37" s="778">
        <f t="shared" si="11"/>
        <v>100</v>
      </c>
      <c r="V37" s="777" t="s">
        <v>17</v>
      </c>
      <c r="W37" s="778">
        <f t="shared" si="12"/>
        <v>100</v>
      </c>
      <c r="X37" s="779"/>
      <c r="Y37" s="3233"/>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33"/>
      <c r="Q38" s="1809" t="str">
        <f>B38</f>
        <v>宗地面积</v>
      </c>
      <c r="R38" s="774" t="s">
        <v>17</v>
      </c>
      <c r="S38" s="775">
        <f t="shared" si="10"/>
        <v>97</v>
      </c>
      <c r="T38" s="774" t="s">
        <v>17</v>
      </c>
      <c r="U38" s="775">
        <f t="shared" si="11"/>
        <v>97</v>
      </c>
      <c r="V38" s="774" t="s">
        <v>17</v>
      </c>
      <c r="W38" s="775">
        <f t="shared" si="12"/>
        <v>100</v>
      </c>
      <c r="X38" s="1812"/>
      <c r="Y38" s="3233"/>
      <c r="Z38" s="1813" t="str">
        <f t="shared" si="13"/>
        <v>宗地面积</v>
      </c>
      <c r="AA38" s="1810">
        <f t="shared" si="3"/>
        <v>1.0309278350515463</v>
      </c>
      <c r="AB38" s="1810">
        <f t="shared" si="4"/>
        <v>1.0309278350515463</v>
      </c>
      <c r="AC38" s="1810">
        <f t="shared" si="5"/>
        <v>1</v>
      </c>
    </row>
    <row r="39" spans="1:29" ht="15">
      <c r="A39" s="472"/>
      <c r="B39" s="422" t="s">
        <v>2753</v>
      </c>
      <c r="C39" s="2615" t="s">
        <v>3105</v>
      </c>
      <c r="D39" s="435">
        <v>100</v>
      </c>
      <c r="E39" s="2615" t="s">
        <v>3105</v>
      </c>
      <c r="F39" s="435">
        <f>SUMIF(119:119,E39,120:120)-SUMIF(119:119,C39,120:120)+100</f>
        <v>100</v>
      </c>
      <c r="G39" s="2615" t="s">
        <v>3105</v>
      </c>
      <c r="H39" s="435">
        <f>SUMIF(119:119,G39,120:120)-SUMIF(119:119,C39,120:120)+100</f>
        <v>100</v>
      </c>
      <c r="I39" s="2615" t="s">
        <v>3105</v>
      </c>
      <c r="J39" s="435">
        <f>SUMIF(119:119,I39,120:120)-SUMIF(119:119,C39,120:120)+100</f>
        <v>100</v>
      </c>
      <c r="K39" s="612"/>
      <c r="L39" s="1140"/>
      <c r="M39" s="1131"/>
      <c r="N39" s="1131"/>
      <c r="O39" s="1139"/>
      <c r="P39" s="3233"/>
      <c r="Q39" s="1809" t="str">
        <f t="shared" ref="Q39:Q45" si="14">B39</f>
        <v>宗地形状</v>
      </c>
      <c r="R39" s="774" t="s">
        <v>17</v>
      </c>
      <c r="S39" s="775">
        <f t="shared" si="10"/>
        <v>100</v>
      </c>
      <c r="T39" s="774" t="s">
        <v>17</v>
      </c>
      <c r="U39" s="775">
        <f t="shared" si="11"/>
        <v>100</v>
      </c>
      <c r="V39" s="774" t="s">
        <v>17</v>
      </c>
      <c r="W39" s="775">
        <f t="shared" si="12"/>
        <v>100</v>
      </c>
      <c r="X39" s="1812"/>
      <c r="Y39" s="3233"/>
      <c r="Z39" s="1813" t="str">
        <f t="shared" si="13"/>
        <v>宗地形状</v>
      </c>
      <c r="AA39" s="1810">
        <f t="shared" si="3"/>
        <v>1</v>
      </c>
      <c r="AB39" s="1810">
        <f t="shared" si="4"/>
        <v>1</v>
      </c>
      <c r="AC39" s="1810">
        <f t="shared" si="5"/>
        <v>1</v>
      </c>
    </row>
    <row r="40" spans="1:29" ht="15">
      <c r="A40" s="472"/>
      <c r="B40" s="422" t="s">
        <v>2754</v>
      </c>
      <c r="C40" s="2615" t="s">
        <v>3107</v>
      </c>
      <c r="D40" s="435">
        <v>100</v>
      </c>
      <c r="E40" s="2615" t="s">
        <v>3107</v>
      </c>
      <c r="F40" s="435">
        <f>SUMIF(121:121,E40,122:122)-SUMIF(121:121,C40,122:122)+100</f>
        <v>100</v>
      </c>
      <c r="G40" s="2615" t="s">
        <v>3107</v>
      </c>
      <c r="H40" s="435">
        <f>SUMIF(121:121,G40,122:122)-SUMIF(121:121,C40,122:122)+100</f>
        <v>100</v>
      </c>
      <c r="I40" s="2615" t="s">
        <v>3107</v>
      </c>
      <c r="J40" s="435">
        <f>SUMIF(121:121,I40,122:122)-SUMIF(121:121,C40,122:122)+100</f>
        <v>100</v>
      </c>
      <c r="K40" s="612"/>
      <c r="L40" s="1140"/>
      <c r="M40" s="1131"/>
      <c r="N40" s="1131"/>
      <c r="O40" s="1139"/>
      <c r="P40" s="3233"/>
      <c r="Q40" s="1809" t="str">
        <f t="shared" si="14"/>
        <v>临街宽度及深度</v>
      </c>
      <c r="R40" s="774" t="s">
        <v>17</v>
      </c>
      <c r="S40" s="775">
        <f t="shared" si="10"/>
        <v>100</v>
      </c>
      <c r="T40" s="774" t="s">
        <v>17</v>
      </c>
      <c r="U40" s="775">
        <f t="shared" si="11"/>
        <v>100</v>
      </c>
      <c r="V40" s="774" t="s">
        <v>17</v>
      </c>
      <c r="W40" s="775">
        <f t="shared" si="12"/>
        <v>100</v>
      </c>
      <c r="X40" s="1812"/>
      <c r="Y40" s="3233"/>
      <c r="Z40" s="1813" t="str">
        <f t="shared" si="13"/>
        <v>临街宽度及深度</v>
      </c>
      <c r="AA40" s="1810">
        <f t="shared" si="3"/>
        <v>1</v>
      </c>
      <c r="AB40" s="1810">
        <f t="shared" si="4"/>
        <v>1</v>
      </c>
      <c r="AC40" s="1810">
        <f t="shared" si="5"/>
        <v>1</v>
      </c>
    </row>
    <row r="41" spans="1:29" s="116" customFormat="1" ht="15">
      <c r="A41" s="473"/>
      <c r="B41" s="422" t="s">
        <v>2755</v>
      </c>
      <c r="C41" s="2704" t="s">
        <v>3140</v>
      </c>
      <c r="D41" s="135">
        <v>100</v>
      </c>
      <c r="E41" s="2704" t="s">
        <v>3140</v>
      </c>
      <c r="F41" s="435">
        <f>SUMIF(123:123,E41,124:124)-SUMIF(123:123,C41,124:124)+100</f>
        <v>100</v>
      </c>
      <c r="G41" s="2704" t="s">
        <v>3140</v>
      </c>
      <c r="H41" s="435">
        <f>SUMIF(123:123,G41,124:124)-SUMIF(123:123,C41,124:124)+100</f>
        <v>100</v>
      </c>
      <c r="I41" s="2704" t="s">
        <v>3140</v>
      </c>
      <c r="J41" s="435">
        <f>SUMIF(123:123,I41,124:124)-SUMIF(123:123,C41,124:124)+100</f>
        <v>100</v>
      </c>
      <c r="K41" s="612"/>
      <c r="L41" s="1132"/>
      <c r="M41" s="1133"/>
      <c r="N41" s="1133"/>
      <c r="O41" s="1134"/>
      <c r="P41" s="3233"/>
      <c r="Q41" s="1809" t="str">
        <f t="shared" si="14"/>
        <v>宗地开发程度</v>
      </c>
      <c r="R41" s="770" t="s">
        <v>17</v>
      </c>
      <c r="S41" s="771">
        <f t="shared" si="10"/>
        <v>100</v>
      </c>
      <c r="T41" s="770" t="s">
        <v>17</v>
      </c>
      <c r="U41" s="771">
        <f t="shared" si="11"/>
        <v>100</v>
      </c>
      <c r="V41" s="770" t="s">
        <v>17</v>
      </c>
      <c r="W41" s="771">
        <f t="shared" si="12"/>
        <v>100</v>
      </c>
      <c r="X41" s="772"/>
      <c r="Y41" s="3233"/>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33" t="s">
        <v>2566</v>
      </c>
      <c r="Q42" s="1809" t="str">
        <f t="shared" si="14"/>
        <v>工程地质条件</v>
      </c>
      <c r="R42" s="774" t="s">
        <v>17</v>
      </c>
      <c r="S42" s="775">
        <f t="shared" si="10"/>
        <v>100</v>
      </c>
      <c r="T42" s="774" t="s">
        <v>17</v>
      </c>
      <c r="U42" s="775">
        <f t="shared" si="11"/>
        <v>100</v>
      </c>
      <c r="V42" s="774" t="s">
        <v>17</v>
      </c>
      <c r="W42" s="775">
        <f t="shared" si="12"/>
        <v>100</v>
      </c>
      <c r="X42" s="1812"/>
      <c r="Y42" s="3233"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3"/>
      <c r="Q43" s="1809">
        <f t="shared" si="14"/>
        <v>111</v>
      </c>
      <c r="R43" s="774" t="s">
        <v>17</v>
      </c>
      <c r="S43" s="775">
        <f t="shared" si="10"/>
        <v>100</v>
      </c>
      <c r="T43" s="774" t="s">
        <v>17</v>
      </c>
      <c r="U43" s="775">
        <f t="shared" si="11"/>
        <v>100</v>
      </c>
      <c r="V43" s="774" t="s">
        <v>17</v>
      </c>
      <c r="W43" s="775">
        <f t="shared" si="12"/>
        <v>100</v>
      </c>
      <c r="X43" s="1812"/>
      <c r="Y43" s="3233"/>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3"/>
      <c r="Q44" s="1809">
        <f t="shared" si="14"/>
        <v>111</v>
      </c>
      <c r="R44" s="774" t="s">
        <v>17</v>
      </c>
      <c r="S44" s="775">
        <f t="shared" si="10"/>
        <v>100</v>
      </c>
      <c r="T44" s="774" t="s">
        <v>17</v>
      </c>
      <c r="U44" s="775">
        <f t="shared" si="11"/>
        <v>100</v>
      </c>
      <c r="V44" s="774" t="s">
        <v>17</v>
      </c>
      <c r="W44" s="775">
        <f t="shared" si="12"/>
        <v>100</v>
      </c>
      <c r="X44" s="1812"/>
      <c r="Y44" s="3233"/>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3"/>
      <c r="Q45" s="1809">
        <f t="shared" si="14"/>
        <v>111</v>
      </c>
      <c r="R45" s="777" t="s">
        <v>17</v>
      </c>
      <c r="S45" s="778">
        <f t="shared" si="10"/>
        <v>100</v>
      </c>
      <c r="T45" s="777" t="s">
        <v>17</v>
      </c>
      <c r="U45" s="778">
        <f t="shared" si="11"/>
        <v>100</v>
      </c>
      <c r="V45" s="777" t="s">
        <v>17</v>
      </c>
      <c r="W45" s="778">
        <f t="shared" si="12"/>
        <v>100</v>
      </c>
      <c r="X45" s="779"/>
      <c r="Y45" s="3233"/>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215" t="str">
        <f>A46</f>
        <v>成交单价</v>
      </c>
      <c r="Q46" s="3215"/>
      <c r="R46" s="3234">
        <f>E46</f>
        <v>2509.73</v>
      </c>
      <c r="S46" s="3234"/>
      <c r="T46" s="3234">
        <f>G46</f>
        <v>3726.46</v>
      </c>
      <c r="U46" s="3234"/>
      <c r="V46" s="3234">
        <f>I46</f>
        <v>4167.8500000000004</v>
      </c>
      <c r="W46" s="3234"/>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215" t="str">
        <f>A47</f>
        <v>比较价值（元/平方米）</v>
      </c>
      <c r="Q47" s="3215"/>
      <c r="R47" s="3235">
        <f>ROUND(PRODUCT(R46,AA7:AA45),0)</f>
        <v>2386</v>
      </c>
      <c r="S47" s="3235"/>
      <c r="T47" s="3235">
        <f>ROUND(PRODUCT(T46,AB7:AB45),0)</f>
        <v>3543</v>
      </c>
      <c r="U47" s="3235"/>
      <c r="V47" s="3235">
        <f>ROUND(PRODUCT(V46,AC7:AC45),0)</f>
        <v>3804</v>
      </c>
      <c r="W47" s="3235"/>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236" t="str">
        <f>A48</f>
        <v>估价对象XX用房的比较价值（楼面单价，元/平方米）</v>
      </c>
      <c r="Q48" s="3237"/>
      <c r="R48" s="3238">
        <f>ROUND(AVERAGE(R47:V47),0)</f>
        <v>3244</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16" t="s">
        <v>2764</v>
      </c>
      <c r="H55" s="3239"/>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240"/>
      <c r="H56" s="3215"/>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41"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41"/>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41"/>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41"/>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3104</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90000(含)-150000</v>
      </c>
      <c r="G116" s="529" t="str">
        <f t="shared" si="25"/>
        <v>150000(含)-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v>0</v>
      </c>
      <c r="D117" s="595">
        <v>30000</v>
      </c>
      <c r="E117" s="595">
        <v>60000</v>
      </c>
      <c r="F117" s="595">
        <v>90000</v>
      </c>
      <c r="G117" s="595">
        <v>150000</v>
      </c>
      <c r="H117" s="595"/>
      <c r="I117" s="595"/>
      <c r="J117" s="596"/>
      <c r="K117" s="596"/>
      <c r="L117" s="597"/>
      <c r="M117" s="598"/>
      <c r="N117" s="1152"/>
      <c r="O117" s="1152"/>
      <c r="P117" s="44"/>
      <c r="Q117" s="504"/>
    </row>
    <row r="118" spans="1:17" ht="15.75" thickBot="1">
      <c r="A118" s="534"/>
      <c r="B118" s="543"/>
      <c r="C118" s="570">
        <v>97</v>
      </c>
      <c r="D118" s="591">
        <v>98</v>
      </c>
      <c r="E118" s="591">
        <v>99</v>
      </c>
      <c r="F118" s="591">
        <v>100</v>
      </c>
      <c r="G118" s="591">
        <v>101</v>
      </c>
      <c r="H118" s="591"/>
      <c r="I118" s="591"/>
      <c r="J118" s="591"/>
      <c r="K118" s="591"/>
      <c r="L118" s="591"/>
      <c r="M118" s="592"/>
      <c r="N118" s="1153"/>
      <c r="O118" s="1153"/>
      <c r="P118" s="44"/>
      <c r="Q118" s="504"/>
    </row>
    <row r="119" spans="1:17" ht="15" thickTop="1">
      <c r="A119" s="599"/>
      <c r="B119" s="538" t="s">
        <v>2791</v>
      </c>
      <c r="C119" s="2965" t="s">
        <v>3106</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3108</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3109</v>
      </c>
      <c r="D123" s="2964" t="s">
        <v>3141</v>
      </c>
      <c r="E123" s="2964" t="s">
        <v>3142</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3110</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94"/>
  <sheetViews>
    <sheetView topLeftCell="H28" workbookViewId="0">
      <selection activeCell="M29" sqref="M29"/>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51" t="s">
        <v>3046</v>
      </c>
      <c r="E5" s="3254" t="s">
        <v>3153</v>
      </c>
      <c r="F5" s="2949" t="s">
        <v>3090</v>
      </c>
      <c r="G5" s="3242">
        <v>9380</v>
      </c>
      <c r="H5" s="2946">
        <v>9794.1299999999992</v>
      </c>
      <c r="I5" s="2929" t="s">
        <v>3051</v>
      </c>
      <c r="J5" s="2930">
        <v>55041</v>
      </c>
    </row>
    <row r="6" spans="4:11">
      <c r="D6" s="3252"/>
      <c r="E6" s="3255"/>
      <c r="F6" s="2947">
        <v>1</v>
      </c>
      <c r="G6" s="3243"/>
      <c r="H6" s="2946">
        <v>370.1</v>
      </c>
    </row>
    <row r="7" spans="4:11">
      <c r="D7" s="3252"/>
      <c r="E7" s="3255"/>
      <c r="F7" s="2949" t="s">
        <v>3091</v>
      </c>
      <c r="G7" s="3243"/>
      <c r="H7" s="2946">
        <v>437.37</v>
      </c>
    </row>
    <row r="8" spans="4:11">
      <c r="D8" s="3253"/>
      <c r="E8" s="3256"/>
      <c r="F8" s="2949" t="s">
        <v>3091</v>
      </c>
      <c r="G8" s="3244"/>
      <c r="H8" s="2946">
        <v>437.37</v>
      </c>
    </row>
    <row r="9" spans="4:11">
      <c r="D9" s="3245" t="s">
        <v>3049</v>
      </c>
      <c r="E9" s="3246"/>
      <c r="F9" s="3247"/>
      <c r="G9" s="2950">
        <f>G5</f>
        <v>9380</v>
      </c>
      <c r="H9" s="2950">
        <f>SUM(H5:H8)</f>
        <v>11038.970000000001</v>
      </c>
      <c r="K9" s="2929" t="s">
        <v>3055</v>
      </c>
    </row>
    <row r="10" spans="4:11" ht="40.5" customHeight="1">
      <c r="D10" s="3254" t="s">
        <v>3052</v>
      </c>
      <c r="E10" s="3254" t="s">
        <v>3081</v>
      </c>
      <c r="F10" s="2949" t="s">
        <v>3053</v>
      </c>
      <c r="G10" s="3242">
        <v>33561.699999999997</v>
      </c>
      <c r="H10" s="2946">
        <v>1882.84</v>
      </c>
      <c r="I10" s="2929" t="s">
        <v>3051</v>
      </c>
      <c r="J10" s="2930">
        <v>53309</v>
      </c>
    </row>
    <row r="11" spans="4:11">
      <c r="D11" s="3255"/>
      <c r="E11" s="3255"/>
      <c r="F11" s="2949" t="s">
        <v>3053</v>
      </c>
      <c r="G11" s="3243"/>
      <c r="H11" s="2946">
        <v>1251.8399999999999</v>
      </c>
    </row>
    <row r="12" spans="4:11">
      <c r="D12" s="3255"/>
      <c r="E12" s="3255"/>
      <c r="F12" s="2949" t="s">
        <v>3054</v>
      </c>
      <c r="G12" s="3243"/>
      <c r="H12" s="2946">
        <v>1312.11</v>
      </c>
    </row>
    <row r="13" spans="4:11">
      <c r="D13" s="3256"/>
      <c r="E13" s="3256"/>
      <c r="F13" s="2949" t="s">
        <v>3054</v>
      </c>
      <c r="G13" s="3244"/>
      <c r="H13" s="2946">
        <v>1571.25</v>
      </c>
    </row>
    <row r="14" spans="4:11">
      <c r="D14" s="3245" t="s">
        <v>3049</v>
      </c>
      <c r="E14" s="3246"/>
      <c r="F14" s="3247"/>
      <c r="G14" s="2950">
        <f>G10</f>
        <v>33561.699999999997</v>
      </c>
      <c r="H14" s="2950">
        <f>SUM(H10:H13)</f>
        <v>6018.04</v>
      </c>
    </row>
    <row r="15" spans="4:11" ht="40.5" customHeight="1">
      <c r="D15" s="3251" t="s">
        <v>3078</v>
      </c>
      <c r="E15" s="3254" t="s">
        <v>3082</v>
      </c>
      <c r="F15" s="2949" t="s">
        <v>3054</v>
      </c>
      <c r="G15" s="3242">
        <v>11730</v>
      </c>
      <c r="H15" s="2946">
        <v>9900.82</v>
      </c>
      <c r="J15" s="2930">
        <v>55041</v>
      </c>
      <c r="K15" s="2929" t="s">
        <v>3056</v>
      </c>
    </row>
    <row r="16" spans="4:11">
      <c r="D16" s="3252"/>
      <c r="E16" s="3255"/>
      <c r="F16" s="2949" t="s">
        <v>3053</v>
      </c>
      <c r="G16" s="3243"/>
      <c r="H16" s="2946">
        <v>470.71</v>
      </c>
      <c r="K16" s="2929" t="s">
        <v>3057</v>
      </c>
    </row>
    <row r="17" spans="4:11">
      <c r="D17" s="3253"/>
      <c r="E17" s="3256"/>
      <c r="F17" s="2949" t="s">
        <v>3053</v>
      </c>
      <c r="G17" s="3244"/>
      <c r="H17" s="2946">
        <v>312.95999999999998</v>
      </c>
      <c r="K17" s="2929" t="s">
        <v>3057</v>
      </c>
    </row>
    <row r="18" spans="4:11">
      <c r="D18" s="3245" t="s">
        <v>3049</v>
      </c>
      <c r="E18" s="3246"/>
      <c r="F18" s="3247"/>
      <c r="G18" s="2950">
        <f>G15</f>
        <v>11730</v>
      </c>
      <c r="H18" s="2950">
        <f>H17+H16+H15</f>
        <v>10684.49</v>
      </c>
    </row>
    <row r="19" spans="4:11" ht="40.5" customHeight="1">
      <c r="D19" s="3251" t="s">
        <v>3079</v>
      </c>
      <c r="E19" s="3254" t="s">
        <v>3083</v>
      </c>
      <c r="F19" s="2949" t="s">
        <v>3053</v>
      </c>
      <c r="G19" s="3242">
        <v>51869.4</v>
      </c>
      <c r="H19" s="2946">
        <v>771.54</v>
      </c>
      <c r="J19" s="2930">
        <v>53309</v>
      </c>
    </row>
    <row r="20" spans="4:11">
      <c r="D20" s="3252"/>
      <c r="E20" s="3255"/>
      <c r="F20" s="2949" t="s">
        <v>3053</v>
      </c>
      <c r="G20" s="3243"/>
      <c r="H20" s="2946">
        <v>771.54</v>
      </c>
    </row>
    <row r="21" spans="4:11">
      <c r="D21" s="3252"/>
      <c r="E21" s="3255"/>
      <c r="F21" s="2949" t="s">
        <v>3053</v>
      </c>
      <c r="G21" s="3243"/>
      <c r="H21" s="2946">
        <v>771.54</v>
      </c>
    </row>
    <row r="22" spans="4:11">
      <c r="D22" s="3252"/>
      <c r="E22" s="3255"/>
      <c r="F22" s="2949" t="s">
        <v>3053</v>
      </c>
      <c r="G22" s="3243"/>
      <c r="H22" s="2946">
        <v>753.14</v>
      </c>
    </row>
    <row r="23" spans="4:11">
      <c r="D23" s="3252"/>
      <c r="E23" s="3255"/>
      <c r="F23" s="2949" t="s">
        <v>3053</v>
      </c>
      <c r="G23" s="3243"/>
      <c r="H23" s="2946">
        <v>1320.86</v>
      </c>
    </row>
    <row r="24" spans="4:11">
      <c r="D24" s="3252"/>
      <c r="E24" s="3255"/>
      <c r="F24" s="2949" t="s">
        <v>3059</v>
      </c>
      <c r="G24" s="3243"/>
      <c r="H24" s="2946">
        <v>18350.21</v>
      </c>
    </row>
    <row r="25" spans="4:11">
      <c r="D25" s="3252"/>
      <c r="E25" s="3255"/>
      <c r="F25" s="2949" t="s">
        <v>3059</v>
      </c>
      <c r="G25" s="3243"/>
      <c r="H25" s="2946">
        <v>5966.13</v>
      </c>
    </row>
    <row r="26" spans="4:11">
      <c r="D26" s="3253"/>
      <c r="E26" s="3256"/>
      <c r="F26" s="2949" t="s">
        <v>3058</v>
      </c>
      <c r="G26" s="3244"/>
      <c r="H26" s="2946">
        <v>2755.78</v>
      </c>
    </row>
    <row r="27" spans="4:11">
      <c r="D27" s="3248" t="s">
        <v>3049</v>
      </c>
      <c r="E27" s="3249"/>
      <c r="F27" s="3250"/>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3127</v>
      </c>
      <c r="B33" s="1634" t="s">
        <v>3128</v>
      </c>
      <c r="C33" s="1634" t="s">
        <v>3129</v>
      </c>
      <c r="D33" s="1634" t="s">
        <v>3130</v>
      </c>
      <c r="E33" s="1634" t="s">
        <v>3131</v>
      </c>
      <c r="F33" s="1634" t="s">
        <v>3132</v>
      </c>
      <c r="G33" s="1634" t="s">
        <v>3133</v>
      </c>
      <c r="H33" s="1634" t="s">
        <v>3134</v>
      </c>
      <c r="I33" s="1634" t="s">
        <v>3135</v>
      </c>
      <c r="J33" s="1634" t="s">
        <v>3136</v>
      </c>
      <c r="K33" s="1634" t="s">
        <v>3137</v>
      </c>
      <c r="L33" s="1634" t="s">
        <v>3138</v>
      </c>
    </row>
    <row r="35" spans="1:12" s="2978" customFormat="1" ht="27.75" customHeight="1">
      <c r="A35" s="2978" t="s">
        <v>3065</v>
      </c>
      <c r="B35" s="2978" t="s">
        <v>3124</v>
      </c>
      <c r="C35" s="2978" t="s">
        <v>3125</v>
      </c>
      <c r="D35" s="2978">
        <v>19125.5</v>
      </c>
      <c r="E35" s="2978">
        <v>47813.75</v>
      </c>
      <c r="F35" s="2978" t="s">
        <v>3063</v>
      </c>
      <c r="G35" s="2978" t="s">
        <v>3126</v>
      </c>
      <c r="H35" s="2978" t="s">
        <v>3066</v>
      </c>
      <c r="I35" s="2978">
        <v>418.29</v>
      </c>
      <c r="J35" s="2978">
        <v>2509.73</v>
      </c>
      <c r="K35" s="2978">
        <v>163.74</v>
      </c>
      <c r="L35" s="2978" t="s">
        <v>1332</v>
      </c>
    </row>
    <row r="36" spans="1:12" s="2978" customFormat="1" ht="27.75" customHeight="1">
      <c r="A36" s="2978" t="s">
        <v>3154</v>
      </c>
      <c r="B36" s="2978" t="s">
        <v>3124</v>
      </c>
      <c r="C36" s="2978" t="s">
        <v>3125</v>
      </c>
      <c r="D36" s="2978">
        <v>7728.5</v>
      </c>
      <c r="E36" s="2978">
        <v>19321.25</v>
      </c>
      <c r="F36" s="2978" t="s">
        <v>3063</v>
      </c>
      <c r="G36" s="2978" t="s">
        <v>3126</v>
      </c>
      <c r="H36" s="2978" t="s">
        <v>3155</v>
      </c>
      <c r="I36" s="2978">
        <v>621.08000000000004</v>
      </c>
      <c r="J36" s="2978">
        <v>3726.46</v>
      </c>
      <c r="K36" s="2978">
        <v>55.17</v>
      </c>
      <c r="L36" s="2978" t="s">
        <v>3064</v>
      </c>
    </row>
    <row r="37" spans="1:12" s="2978" customFormat="1" ht="27.75" customHeight="1">
      <c r="A37" s="2978" t="s">
        <v>3156</v>
      </c>
      <c r="B37" s="2978" t="s">
        <v>3124</v>
      </c>
      <c r="C37" s="2978" t="s">
        <v>3125</v>
      </c>
      <c r="D37" s="2978">
        <v>97172.1</v>
      </c>
      <c r="E37" s="2978">
        <v>97172.1</v>
      </c>
      <c r="F37" s="2978" t="s">
        <v>3157</v>
      </c>
      <c r="G37" s="2978" t="s">
        <v>3158</v>
      </c>
      <c r="H37" s="2978" t="s">
        <v>3159</v>
      </c>
      <c r="I37" s="2978">
        <v>277.86</v>
      </c>
      <c r="J37" s="2978">
        <v>4167.8500000000004</v>
      </c>
      <c r="K37" s="2978">
        <v>110.94</v>
      </c>
      <c r="L37" s="2978" t="s">
        <v>3064</v>
      </c>
    </row>
    <row r="38" spans="1:12">
      <c r="G38" s="2930"/>
    </row>
    <row r="39" spans="1:12">
      <c r="G39" s="2930"/>
    </row>
    <row r="43" spans="1:12">
      <c r="G43" s="2933"/>
    </row>
    <row r="49" spans="1:22">
      <c r="V49">
        <f>7160*10000/(H29)/365*0.75</f>
        <v>2.5818708295168502</v>
      </c>
    </row>
    <row r="60" spans="1:22" ht="22.5">
      <c r="A60" s="2932"/>
    </row>
    <row r="61" spans="1:22">
      <c r="G61" s="2930"/>
    </row>
    <row r="62" spans="1:22">
      <c r="G62" s="2930"/>
    </row>
    <row r="63" spans="1:22">
      <c r="G63" s="2930"/>
    </row>
    <row r="64" spans="1:22">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0" t="s">
        <v>3144</v>
      </c>
      <c r="G79" s="2930">
        <v>45716</v>
      </c>
    </row>
    <row r="80" spans="1:7">
      <c r="A80">
        <f>SUM(A78:A79)</f>
        <v>8993.17</v>
      </c>
      <c r="C80">
        <v>240</v>
      </c>
      <c r="E80">
        <v>256.8</v>
      </c>
      <c r="G80">
        <v>274.77999999999997</v>
      </c>
    </row>
    <row r="81" spans="1:11">
      <c r="A81">
        <f>C78+E78+C80+E80+G80</f>
        <v>1149.58</v>
      </c>
    </row>
    <row r="82" spans="1:11">
      <c r="J82">
        <v>0</v>
      </c>
      <c r="K82">
        <v>30000</v>
      </c>
    </row>
    <row r="86" spans="1:11" ht="22.5">
      <c r="A86" s="2932" t="s">
        <v>3148</v>
      </c>
    </row>
    <row r="87" spans="1:11">
      <c r="G87" s="2930"/>
    </row>
    <row r="88" spans="1:11">
      <c r="G88" s="2930"/>
    </row>
    <row r="89" spans="1:11">
      <c r="G89" s="2930"/>
    </row>
    <row r="90" spans="1:11">
      <c r="G90" s="2930"/>
    </row>
    <row r="94" spans="1:11">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8" sqref="C18"/>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138747</v>
      </c>
      <c r="C2" s="2568" t="s">
        <v>2520</v>
      </c>
      <c r="D2" s="2569" t="s">
        <v>2521</v>
      </c>
      <c r="E2" s="2570">
        <f>SUM(E6:E13)</f>
        <v>116944.15</v>
      </c>
    </row>
    <row r="3" spans="1:6" ht="15.75">
      <c r="A3" s="2566" t="s">
        <v>1396</v>
      </c>
      <c r="B3" s="2567">
        <f ca="1">ROUND(B2*10000/E2,0)</f>
        <v>11864</v>
      </c>
      <c r="C3" s="2568" t="s">
        <v>2528</v>
      </c>
      <c r="D3" s="2571"/>
      <c r="E3" s="2572"/>
    </row>
    <row r="4" spans="1:6" ht="15.75">
      <c r="A4" s="2573"/>
      <c r="B4" s="2571"/>
      <c r="C4" s="2571"/>
      <c r="D4" s="2571"/>
      <c r="E4" s="2572"/>
    </row>
    <row r="5" spans="1:6" ht="15">
      <c r="A5" s="2574" t="s">
        <v>2522</v>
      </c>
      <c r="B5" s="3257" t="s">
        <v>2523</v>
      </c>
      <c r="C5" s="3257"/>
      <c r="D5" s="2575"/>
      <c r="E5" s="2576" t="s">
        <v>2524</v>
      </c>
      <c r="F5" s="2577" t="s">
        <v>2525</v>
      </c>
    </row>
    <row r="6" spans="1:6">
      <c r="A6" s="2578" t="str">
        <f>'数据-取费表'!AN6</f>
        <v>收益法-主楼</v>
      </c>
      <c r="B6" s="2577">
        <f ca="1">IF(F6="是",'数据-取费表'!AO6,0)</f>
        <v>35209</v>
      </c>
      <c r="C6" s="2568" t="s">
        <v>2520</v>
      </c>
      <c r="D6" s="2571"/>
      <c r="E6" s="2579">
        <f>IF(OR(A6=0,F6="否"),0,'数据-取费表'!K6+'数据-取费表'!S6)</f>
        <v>21723.46</v>
      </c>
      <c r="F6" s="2580" t="s">
        <v>2526</v>
      </c>
    </row>
    <row r="7" spans="1:6">
      <c r="A7" s="2578" t="str">
        <f>'数据-取费表'!AN7</f>
        <v>收益法-别墅</v>
      </c>
      <c r="B7" s="2577">
        <f ca="1">IF(F8="是",'数据-取费表'!AO7,0)</f>
        <v>57078</v>
      </c>
      <c r="C7" s="2568" t="s">
        <v>2520</v>
      </c>
      <c r="D7" s="2571"/>
      <c r="E7" s="2579">
        <f>IF(OR(A7=0,F7="否"),0,'数据-取费表'!K7+'数据-取费表'!S7)</f>
        <v>38237.479999999996</v>
      </c>
      <c r="F7" s="2580" t="s">
        <v>2526</v>
      </c>
    </row>
    <row r="8" spans="1:6">
      <c r="A8" s="2578" t="str">
        <f>'数据-取费表'!AN8</f>
        <v>收益法三期</v>
      </c>
      <c r="B8" s="2577">
        <f ca="1">IF(F8="是",'数据-取费表'!AO8,0)</f>
        <v>46460</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28" sqref="G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3118</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35209</v>
      </c>
      <c r="C2" s="1844" t="s">
        <v>1518</v>
      </c>
      <c r="D2" s="1844"/>
      <c r="E2" s="1845"/>
      <c r="F2" s="1846"/>
      <c r="G2" s="1847"/>
      <c r="H2" s="1839"/>
      <c r="I2" s="1839"/>
      <c r="J2" s="1839"/>
      <c r="K2" s="1840"/>
      <c r="L2" s="1839"/>
      <c r="M2" s="1839"/>
    </row>
    <row r="3" spans="1:37" ht="18" customHeight="1" thickBot="1">
      <c r="A3" s="1848" t="s">
        <v>1519</v>
      </c>
      <c r="B3" s="1849">
        <f ca="1">IF(ISERROR(B2*10000/F43),0,ROUND(B2*10000/F43,0))</f>
        <v>16208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60" t="s">
        <v>1404</v>
      </c>
      <c r="C6" s="1296">
        <f ca="1">ROUND(F6*F8*F7*(1-F9)/10000,0)</f>
        <v>2878</v>
      </c>
      <c r="D6" s="164" t="s">
        <v>3035</v>
      </c>
      <c r="E6" s="347" t="s">
        <v>1406</v>
      </c>
      <c r="F6" s="348">
        <f ca="1">INDIRECT("'数据-取费表'!u"&amp;$G$1)</f>
        <v>3.63</v>
      </c>
      <c r="G6" s="1850"/>
      <c r="H6" s="1291" t="s">
        <v>1035</v>
      </c>
      <c r="I6" s="3260" t="s">
        <v>1404</v>
      </c>
      <c r="J6" s="346">
        <f ca="1">ROUND(M6*M8*M7*(1-M9)/10000,0)</f>
        <v>0</v>
      </c>
      <c r="K6" s="164" t="s">
        <v>3034</v>
      </c>
      <c r="L6" s="347" t="s">
        <v>1406</v>
      </c>
      <c r="M6" s="348">
        <f ca="1">INDIRECT("'数据-取费表'!z"&amp;$G$1)</f>
        <v>0</v>
      </c>
    </row>
    <row r="7" spans="1:37" ht="18" customHeight="1">
      <c r="A7" s="1295"/>
      <c r="B7" s="3261"/>
      <c r="C7" s="1297"/>
      <c r="D7" s="352"/>
      <c r="E7" s="1298" t="s">
        <v>1407</v>
      </c>
      <c r="F7" s="348">
        <f ca="1">IF(INDIRECT("'数据-取费表'!ah"&amp;$G$1)="",INDIRECT("'数据-取费表'!k"&amp;$G$1),INDIRECT("'数据-取费表'!ah"&amp;$G$1))</f>
        <v>21723.46</v>
      </c>
      <c r="G7" s="1850"/>
      <c r="H7" s="349"/>
      <c r="I7" s="3261"/>
      <c r="J7" s="351"/>
      <c r="K7" s="352"/>
      <c r="L7" s="347" t="s">
        <v>1407</v>
      </c>
      <c r="M7" s="348">
        <f ca="1">F7</f>
        <v>21723.46</v>
      </c>
    </row>
    <row r="8" spans="1:37" ht="18" customHeight="1">
      <c r="A8" s="349"/>
      <c r="B8" s="3261"/>
      <c r="C8" s="351"/>
      <c r="D8" s="352"/>
      <c r="E8" s="347" t="s">
        <v>1408</v>
      </c>
      <c r="F8" s="348">
        <f ca="1">INDIRECT("'数据-取费表'!ai"&amp;$G$1)</f>
        <v>365</v>
      </c>
      <c r="G8" s="1850"/>
      <c r="H8" s="349"/>
      <c r="I8" s="3261"/>
      <c r="J8" s="351"/>
      <c r="K8" s="352"/>
      <c r="L8" s="347" t="s">
        <v>1408</v>
      </c>
      <c r="M8" s="348">
        <f ca="1">INDIRECT("'数据-取费表'!ai"&amp;$G$1)</f>
        <v>365</v>
      </c>
    </row>
    <row r="9" spans="1:37" ht="18" customHeight="1">
      <c r="A9" s="349"/>
      <c r="B9" s="3262"/>
      <c r="C9" s="351"/>
      <c r="D9" s="352"/>
      <c r="E9" s="347" t="s">
        <v>1409</v>
      </c>
      <c r="F9" s="357">
        <f ca="1">INDIRECT("'数据-取费表'!w"&amp;$G$1)</f>
        <v>0</v>
      </c>
      <c r="G9" s="1850"/>
      <c r="H9" s="349"/>
      <c r="I9" s="3262"/>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12660</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15345</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593</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132.80000000000001</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128.9</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460.4</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-593</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15345</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913</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283.5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150.75</v>
      </c>
      <c r="D32" s="1797"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128.9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460.4</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25.3</v>
      </c>
      <c r="D37" s="1797"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1965</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35209</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16208</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-43999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35209</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15345</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14321</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58" t="s">
        <v>1550</v>
      </c>
      <c r="L53" s="3259"/>
      <c r="O53" s="1883" t="s">
        <v>1046</v>
      </c>
      <c r="P53" s="1884" t="s">
        <v>1551</v>
      </c>
      <c r="Q53" s="1885">
        <f ca="1">Q47+Q48</f>
        <v>35209</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12660</v>
      </c>
      <c r="D56" s="1913"/>
      <c r="E56" s="1914"/>
      <c r="F56" s="1906"/>
      <c r="I56" s="1915" t="s">
        <v>1556</v>
      </c>
      <c r="J56" s="1916" t="s">
        <v>3044</v>
      </c>
      <c r="K56" s="1886" t="s">
        <v>1557</v>
      </c>
      <c r="L56" s="1889" t="str">
        <f ca="1">IF(L48&lt;J51,"——",L48-J53)</f>
        <v>——</v>
      </c>
      <c r="O56" s="1883" t="s">
        <v>1040</v>
      </c>
      <c r="P56" s="1884" t="s">
        <v>1530</v>
      </c>
      <c r="Q56" s="1885">
        <f ca="1">C40+J29</f>
        <v>35209</v>
      </c>
      <c r="R56" s="1885" t="s">
        <v>1531</v>
      </c>
    </row>
    <row r="57" spans="1:18" s="1841" customFormat="1" ht="24.75" thickBot="1">
      <c r="A57" s="1917"/>
      <c r="B57" s="1169" t="s">
        <v>1480</v>
      </c>
      <c r="C57" s="282">
        <f ca="1">C29</f>
        <v>15345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619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132.80000000000001</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128.9</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35209</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460.4</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25.3</v>
      </c>
      <c r="D65" s="1183" t="s">
        <v>1456</v>
      </c>
      <c r="E65" s="1169" t="s">
        <v>1457</v>
      </c>
      <c r="F65" s="376">
        <f t="shared" ca="1" si="0"/>
        <v>2E-3</v>
      </c>
      <c r="I65" s="1928" t="s">
        <v>1581</v>
      </c>
      <c r="J65" s="1929">
        <v>40</v>
      </c>
      <c r="K65" s="1929">
        <v>30</v>
      </c>
      <c r="L65" s="1929">
        <v>50</v>
      </c>
      <c r="M65" s="1931">
        <v>0.02</v>
      </c>
      <c r="O65" s="1883" t="s">
        <v>1040</v>
      </c>
      <c r="P65" s="1884" t="s">
        <v>1582</v>
      </c>
      <c r="Q65" s="1885">
        <f ca="1">C40+J29</f>
        <v>35209</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-619</v>
      </c>
      <c r="D67" s="1182" t="s">
        <v>1466</v>
      </c>
      <c r="E67" s="1187"/>
      <c r="F67" s="1188"/>
      <c r="O67" s="1893" t="s">
        <v>1042</v>
      </c>
      <c r="P67" s="1884" t="s">
        <v>1564</v>
      </c>
      <c r="Q67" s="1932">
        <f ca="1">L51</f>
        <v>14321</v>
      </c>
      <c r="R67" s="1885" t="s">
        <v>1584</v>
      </c>
    </row>
    <row r="68" spans="1:18" s="1841" customFormat="1" ht="16.5" thickBot="1">
      <c r="A68" s="1166" t="s">
        <v>1032</v>
      </c>
      <c r="B68" s="1167" t="s">
        <v>1487</v>
      </c>
      <c r="C68" s="346">
        <f ca="1">ROUND(C67*(1-((1+F70)/(1+F68))^F69)/(F68-F70),0)</f>
        <v>-8790</v>
      </c>
      <c r="D68" s="1184" t="s">
        <v>1471</v>
      </c>
      <c r="E68" s="1169" t="s">
        <v>1472</v>
      </c>
      <c r="F68" s="357">
        <f ca="1">F40</f>
        <v>0.06</v>
      </c>
      <c r="O68" s="1893" t="s">
        <v>1043</v>
      </c>
      <c r="P68" s="1933" t="s">
        <v>1585</v>
      </c>
      <c r="Q68" s="1885">
        <f ca="1">ROUND(Q69-Q70*Q71,0)</f>
        <v>952</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1965</v>
      </c>
      <c r="R69" s="1885" t="s">
        <v>1531</v>
      </c>
    </row>
    <row r="70" spans="1:18" s="1841" customFormat="1" ht="13.5" thickBot="1">
      <c r="A70" s="1173"/>
      <c r="B70" s="1174"/>
      <c r="C70" s="355"/>
      <c r="D70" s="1185"/>
      <c r="E70" s="1169" t="s">
        <v>1479</v>
      </c>
      <c r="F70" s="1275"/>
      <c r="O70" s="1893" t="s">
        <v>1049</v>
      </c>
      <c r="P70" s="1933" t="s">
        <v>1587</v>
      </c>
      <c r="Q70" s="1885">
        <f ca="1">C13</f>
        <v>12660</v>
      </c>
      <c r="R70" s="1885" t="s">
        <v>1531</v>
      </c>
    </row>
    <row r="71" spans="1:18" s="1841" customFormat="1" ht="13.5" thickBot="1">
      <c r="A71" s="1190" t="s">
        <v>1033</v>
      </c>
      <c r="B71" s="1191" t="s">
        <v>1489</v>
      </c>
      <c r="C71" s="382">
        <f ca="1">ROUND(C68*10000/F71,0)</f>
        <v>-4046</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1013</v>
      </c>
      <c r="D75" s="1841"/>
      <c r="E75" s="1841"/>
      <c r="F75" s="1841"/>
      <c r="K75" s="1867"/>
      <c r="L75" s="1841"/>
      <c r="O75" s="1883" t="s">
        <v>1046</v>
      </c>
      <c r="P75" s="1884" t="s">
        <v>1551</v>
      </c>
      <c r="Q75" s="1885">
        <f ca="1">Q65+Q66</f>
        <v>35209</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0.48399999999999999</v>
      </c>
    </row>
    <row r="80" spans="1:18">
      <c r="B80" s="386" t="s">
        <v>1513</v>
      </c>
      <c r="C80" s="318">
        <f ca="1">ROUND(C75/C39,3)</f>
        <v>0.51600000000000001</v>
      </c>
    </row>
    <row r="81" spans="2:3">
      <c r="B81" s="314" t="s">
        <v>1514</v>
      </c>
      <c r="C81" s="282"/>
    </row>
    <row r="82" spans="2:3">
      <c r="B82" s="317" t="s">
        <v>1515</v>
      </c>
      <c r="C82" s="319">
        <f ca="1">1-C83</f>
        <v>0.64</v>
      </c>
    </row>
    <row r="83" spans="2:3">
      <c r="B83" s="317" t="s">
        <v>1516</v>
      </c>
      <c r="C83" s="318">
        <f ca="1">ROUND(C13/C40,3)</f>
        <v>0.36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60" t="s">
        <v>1404</v>
      </c>
      <c r="C6" s="1296">
        <f ca="1">ROUND(F6*F8*F7*(1-F9),0)</f>
        <v>0</v>
      </c>
      <c r="D6" s="164" t="s">
        <v>3030</v>
      </c>
      <c r="E6" s="347" t="s">
        <v>1406</v>
      </c>
      <c r="F6" s="348">
        <f ca="1">INDIRECT("'数据-取费表'!u"&amp;$G$1)</f>
        <v>0</v>
      </c>
      <c r="G6" s="1850"/>
      <c r="H6" s="1291" t="s">
        <v>1035</v>
      </c>
      <c r="I6" s="3260" t="s">
        <v>1404</v>
      </c>
      <c r="J6" s="346">
        <f ca="1">ROUND(M6*M8*M7*(1-M9),0)</f>
        <v>0</v>
      </c>
      <c r="K6" s="1833" t="s">
        <v>3033</v>
      </c>
      <c r="L6" s="347" t="s">
        <v>1406</v>
      </c>
      <c r="M6" s="348">
        <f ca="1">INDIRECT("'数据-取费表'!z"&amp;$G$1)</f>
        <v>0</v>
      </c>
    </row>
    <row r="7" spans="1:37" ht="18" customHeight="1">
      <c r="A7" s="1295"/>
      <c r="B7" s="3261"/>
      <c r="C7" s="1297"/>
      <c r="D7" s="352"/>
      <c r="E7" s="1298" t="s">
        <v>1407</v>
      </c>
      <c r="F7" s="348">
        <f ca="1">IF(INDIRECT("'数据-取费表'!ah"&amp;$G$1)="",INDIRECT("'数据-取费表'!k"&amp;$G$1),INDIRECT("'数据-取费表'!ah"&amp;$G$1))</f>
        <v>0</v>
      </c>
      <c r="G7" s="1850"/>
      <c r="H7" s="349"/>
      <c r="I7" s="3261"/>
      <c r="J7" s="351"/>
      <c r="K7" s="352"/>
      <c r="L7" s="347" t="s">
        <v>1407</v>
      </c>
      <c r="M7" s="348">
        <f ca="1">F7</f>
        <v>0</v>
      </c>
    </row>
    <row r="8" spans="1:37" ht="18" customHeight="1">
      <c r="A8" s="349"/>
      <c r="B8" s="3261"/>
      <c r="C8" s="351"/>
      <c r="D8" s="352"/>
      <c r="E8" s="347" t="s">
        <v>1408</v>
      </c>
      <c r="F8" s="348">
        <f ca="1">INDIRECT("'数据-取费表'!ai"&amp;$G$1)</f>
        <v>0</v>
      </c>
      <c r="G8" s="1850"/>
      <c r="H8" s="349"/>
      <c r="I8" s="3261"/>
      <c r="J8" s="351"/>
      <c r="K8" s="352"/>
      <c r="L8" s="347" t="s">
        <v>1408</v>
      </c>
      <c r="M8" s="348">
        <f ca="1">INDIRECT("'数据-取费表'!ai"&amp;$G$1)</f>
        <v>0</v>
      </c>
    </row>
    <row r="9" spans="1:37" ht="18" customHeight="1">
      <c r="A9" s="349"/>
      <c r="B9" s="3262"/>
      <c r="C9" s="351"/>
      <c r="D9" s="352"/>
      <c r="E9" s="347" t="s">
        <v>1409</v>
      </c>
      <c r="F9" s="357">
        <f ca="1">INDIRECT("'数据-取费表'!w"&amp;$G$1)</f>
        <v>0</v>
      </c>
      <c r="G9" s="1850"/>
      <c r="H9" s="349"/>
      <c r="I9" s="3262"/>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58" t="s">
        <v>1550</v>
      </c>
      <c r="L53" s="3259"/>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60" t="s">
        <v>1404</v>
      </c>
      <c r="C6" s="1296">
        <f ca="1">ROUND(F6*F8*F7*(1-F9)/10000,0)</f>
        <v>5066</v>
      </c>
      <c r="D6" s="164" t="s">
        <v>3035</v>
      </c>
      <c r="E6" s="347" t="s">
        <v>1406</v>
      </c>
      <c r="F6" s="348">
        <f ca="1">INDIRECT("'数据-取费表'!u"&amp;$G$1)</f>
        <v>3.63</v>
      </c>
      <c r="G6" s="1850"/>
      <c r="H6" s="1291" t="s">
        <v>1035</v>
      </c>
      <c r="I6" s="3260" t="s">
        <v>1404</v>
      </c>
      <c r="J6" s="346">
        <f ca="1">ROUND(M6*M8*M7*(1-M9)/10000,0)</f>
        <v>0</v>
      </c>
      <c r="K6" s="164" t="s">
        <v>3034</v>
      </c>
      <c r="L6" s="347" t="s">
        <v>1406</v>
      </c>
      <c r="M6" s="348">
        <f ca="1">INDIRECT("'数据-取费表'!z"&amp;$G$1)</f>
        <v>0</v>
      </c>
    </row>
    <row r="7" spans="1:37" ht="18" customHeight="1">
      <c r="A7" s="1295"/>
      <c r="B7" s="3261"/>
      <c r="C7" s="1297"/>
      <c r="D7" s="352"/>
      <c r="E7" s="2971" t="s">
        <v>1407</v>
      </c>
      <c r="F7" s="348">
        <f ca="1">IF(INDIRECT("'数据-取费表'!ah"&amp;$G$1)="",INDIRECT("'数据-取费表'!k"&amp;$G$1),INDIRECT("'数据-取费表'!ah"&amp;$G$1))</f>
        <v>38237.479999999996</v>
      </c>
      <c r="G7" s="1850"/>
      <c r="H7" s="349"/>
      <c r="I7" s="3261"/>
      <c r="J7" s="351"/>
      <c r="K7" s="352"/>
      <c r="L7" s="347" t="s">
        <v>1407</v>
      </c>
      <c r="M7" s="348">
        <f ca="1">F7</f>
        <v>38237.479999999996</v>
      </c>
    </row>
    <row r="8" spans="1:37" ht="18" customHeight="1">
      <c r="A8" s="349"/>
      <c r="B8" s="3261"/>
      <c r="C8" s="351"/>
      <c r="D8" s="352"/>
      <c r="E8" s="347" t="s">
        <v>1408</v>
      </c>
      <c r="F8" s="348">
        <f ca="1">INDIRECT("'数据-取费表'!ai"&amp;$G$1)</f>
        <v>365</v>
      </c>
      <c r="G8" s="1850"/>
      <c r="H8" s="349"/>
      <c r="I8" s="3261"/>
      <c r="J8" s="351"/>
      <c r="K8" s="352"/>
      <c r="L8" s="347" t="s">
        <v>1408</v>
      </c>
      <c r="M8" s="348">
        <f ca="1">INDIRECT("'数据-取费表'!ai"&amp;$G$1)</f>
        <v>365</v>
      </c>
    </row>
    <row r="9" spans="1:37" ht="18" customHeight="1">
      <c r="A9" s="349"/>
      <c r="B9" s="3262"/>
      <c r="C9" s="351"/>
      <c r="D9" s="352"/>
      <c r="E9" s="347" t="s">
        <v>1409</v>
      </c>
      <c r="F9" s="357">
        <f ca="1">INDIRECT("'数据-取费表'!w"&amp;$G$1)</f>
        <v>0</v>
      </c>
      <c r="G9" s="1850"/>
      <c r="H9" s="349"/>
      <c r="I9" s="3262"/>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22282</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27009</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1044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233.7</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226.88</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810.3</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-1044</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27009</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1607</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499</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265.36</v>
      </c>
      <c r="D32" s="2975"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226.88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810.3</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44.6</v>
      </c>
      <c r="D37" s="2975"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3459</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-14610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27009</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23692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58" t="s">
        <v>1550</v>
      </c>
      <c r="L53" s="3259"/>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22282</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27009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1089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233.7</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226.88</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810.3</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44.6</v>
      </c>
      <c r="D65" s="1183" t="s">
        <v>1456</v>
      </c>
      <c r="E65" s="1169" t="s">
        <v>1424</v>
      </c>
      <c r="F65" s="376">
        <f t="shared" ca="1" si="0"/>
        <v>2E-3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-1089</v>
      </c>
      <c r="D67" s="1182" t="s">
        <v>1466</v>
      </c>
      <c r="E67" s="1187"/>
      <c r="F67" s="1188"/>
      <c r="O67" s="1893" t="s">
        <v>1042</v>
      </c>
      <c r="P67" s="1884" t="s">
        <v>1564</v>
      </c>
      <c r="Q67" s="1932">
        <f ca="1">L51</f>
        <v>23692</v>
      </c>
      <c r="R67" s="1885" t="s">
        <v>1584</v>
      </c>
    </row>
    <row r="68" spans="1:18" s="1841" customFormat="1" ht="16.5" thickBot="1">
      <c r="A68" s="1166" t="s">
        <v>1032</v>
      </c>
      <c r="B68" s="1167" t="s">
        <v>1487</v>
      </c>
      <c r="C68" s="346">
        <f ca="1">ROUND(C67*(1-((1+F70)/(1+F68))^F69)/(F68-F70),0)</f>
        <v>-14610</v>
      </c>
      <c r="D68" s="1184" t="s">
        <v>1471</v>
      </c>
      <c r="E68" s="1169" t="s">
        <v>1472</v>
      </c>
      <c r="F68" s="357">
        <f ca="1">F40</f>
        <v>0.06</v>
      </c>
      <c r="O68" s="1893" t="s">
        <v>1043</v>
      </c>
      <c r="P68" s="1933" t="s">
        <v>1585</v>
      </c>
      <c r="Q68" s="1885">
        <f ca="1">ROUND(Q69-Q70*Q71,0)</f>
        <v>1676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3459</v>
      </c>
      <c r="R69" s="1885" t="s">
        <v>1531</v>
      </c>
    </row>
    <row r="70" spans="1:18" s="1841" customFormat="1" ht="13.5" thickBot="1">
      <c r="A70" s="1173"/>
      <c r="B70" s="1174"/>
      <c r="C70" s="355"/>
      <c r="D70" s="1185"/>
      <c r="E70" s="1169" t="s">
        <v>1479</v>
      </c>
      <c r="F70" s="1275"/>
      <c r="O70" s="1893" t="s">
        <v>1049</v>
      </c>
      <c r="P70" s="1933" t="s">
        <v>1587</v>
      </c>
      <c r="Q70" s="1885">
        <f ca="1">C13</f>
        <v>22282</v>
      </c>
      <c r="R70" s="1885" t="s">
        <v>1531</v>
      </c>
    </row>
    <row r="71" spans="1:18" s="1841" customFormat="1" ht="13.5" thickBot="1">
      <c r="A71" s="1190" t="s">
        <v>1033</v>
      </c>
      <c r="B71" s="1191" t="s">
        <v>1489</v>
      </c>
      <c r="C71" s="382">
        <f ca="1">ROUND(C68*10000/F71,0)</f>
        <v>-3821</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1783</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0.48499999999999999</v>
      </c>
    </row>
    <row r="80" spans="1:18">
      <c r="B80" s="386" t="s">
        <v>1513</v>
      </c>
      <c r="C80" s="318">
        <f ca="1">ROUND(C75/C39,3)</f>
        <v>0.51500000000000001</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I21" sqref="I20:L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57078</v>
      </c>
      <c r="C2" s="1844" t="s">
        <v>1518</v>
      </c>
      <c r="D2" s="1844"/>
      <c r="E2" s="1845"/>
      <c r="F2" s="1846"/>
      <c r="G2" s="1847"/>
      <c r="H2" s="1839"/>
      <c r="I2" s="1839"/>
      <c r="J2" s="1839"/>
      <c r="K2" s="1840"/>
      <c r="L2" s="1839"/>
      <c r="M2" s="1839"/>
    </row>
    <row r="3" spans="1:37" ht="18" customHeight="1" thickBot="1">
      <c r="A3" s="1848" t="s">
        <v>1519</v>
      </c>
      <c r="B3" s="1849">
        <f ca="1">IF(ISERROR(B2*10000/F43),0,ROUND(B2*10000/F43,0))</f>
        <v>14927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60" t="s">
        <v>1404</v>
      </c>
      <c r="C6" s="1296">
        <f ca="1">ROUND(F6*F8*F7*(1-F9)/10000,0)</f>
        <v>5066</v>
      </c>
      <c r="D6" s="164" t="s">
        <v>3035</v>
      </c>
      <c r="E6" s="347" t="s">
        <v>1406</v>
      </c>
      <c r="F6" s="348">
        <f ca="1">INDIRECT("'数据-取费表'!u"&amp;$G$1)</f>
        <v>3.63</v>
      </c>
      <c r="G6" s="1850"/>
      <c r="H6" s="1291" t="s">
        <v>1035</v>
      </c>
      <c r="I6" s="3260" t="s">
        <v>1404</v>
      </c>
      <c r="J6" s="346">
        <f ca="1">ROUND(M6*M8*M7*(1-M9)/10000,0)</f>
        <v>0</v>
      </c>
      <c r="K6" s="164" t="s">
        <v>3034</v>
      </c>
      <c r="L6" s="347" t="s">
        <v>1406</v>
      </c>
      <c r="M6" s="348">
        <f ca="1">INDIRECT("'数据-取费表'!z"&amp;$G$1)</f>
        <v>0</v>
      </c>
    </row>
    <row r="7" spans="1:37" ht="18" customHeight="1">
      <c r="A7" s="1295"/>
      <c r="B7" s="3261"/>
      <c r="C7" s="1297"/>
      <c r="D7" s="352"/>
      <c r="E7" s="2971" t="s">
        <v>1407</v>
      </c>
      <c r="F7" s="348">
        <f ca="1">IF(INDIRECT("'数据-取费表'!ah"&amp;$G$1)="",INDIRECT("'数据-取费表'!k"&amp;$G$1),INDIRECT("'数据-取费表'!ah"&amp;$G$1))</f>
        <v>38237.479999999996</v>
      </c>
      <c r="G7" s="1850"/>
      <c r="H7" s="349"/>
      <c r="I7" s="3261"/>
      <c r="J7" s="351"/>
      <c r="K7" s="352"/>
      <c r="L7" s="347" t="s">
        <v>1407</v>
      </c>
      <c r="M7" s="348">
        <f ca="1">F7</f>
        <v>38237.479999999996</v>
      </c>
    </row>
    <row r="8" spans="1:37" ht="18" customHeight="1">
      <c r="A8" s="349"/>
      <c r="B8" s="3261"/>
      <c r="C8" s="351"/>
      <c r="D8" s="352"/>
      <c r="E8" s="347" t="s">
        <v>1408</v>
      </c>
      <c r="F8" s="348">
        <f ca="1">INDIRECT("'数据-取费表'!ai"&amp;$G$1)</f>
        <v>365</v>
      </c>
      <c r="G8" s="1850"/>
      <c r="H8" s="349"/>
      <c r="I8" s="3261"/>
      <c r="J8" s="351"/>
      <c r="K8" s="352"/>
      <c r="L8" s="347" t="s">
        <v>1408</v>
      </c>
      <c r="M8" s="348">
        <f ca="1">INDIRECT("'数据-取费表'!ai"&amp;$G$1)</f>
        <v>365</v>
      </c>
    </row>
    <row r="9" spans="1:37" ht="18" customHeight="1">
      <c r="A9" s="349"/>
      <c r="B9" s="3262"/>
      <c r="C9" s="351"/>
      <c r="D9" s="352"/>
      <c r="E9" s="347" t="s">
        <v>1409</v>
      </c>
      <c r="F9" s="357">
        <f ca="1">INDIRECT("'数据-取费表'!w"&amp;$G$1)</f>
        <v>0</v>
      </c>
      <c r="G9" s="1850"/>
      <c r="H9" s="349"/>
      <c r="I9" s="3262"/>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22282</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27009</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1044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233.7</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226.88</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810.3</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-1044</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27009</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1607</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499</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265.36</v>
      </c>
      <c r="D32" s="2975"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226.88</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810.3</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44.6</v>
      </c>
      <c r="D37" s="2975"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3459</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57078</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14927</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-71688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57078</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27009</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23692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58" t="s">
        <v>1550</v>
      </c>
      <c r="L53" s="3259"/>
      <c r="O53" s="1883" t="s">
        <v>1046</v>
      </c>
      <c r="P53" s="1884" t="s">
        <v>1551</v>
      </c>
      <c r="Q53" s="1885">
        <f ca="1">Q47+Q48</f>
        <v>57078</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22282</v>
      </c>
      <c r="D56" s="1913"/>
      <c r="E56" s="1914"/>
      <c r="F56" s="1906"/>
      <c r="I56" s="1915" t="s">
        <v>1556</v>
      </c>
      <c r="J56" s="1916" t="s">
        <v>3044</v>
      </c>
      <c r="K56" s="1886" t="s">
        <v>1557</v>
      </c>
      <c r="L56" s="1889" t="str">
        <f ca="1">IF(L48&lt;J51,"——",L48-J53)</f>
        <v>——</v>
      </c>
      <c r="O56" s="1883" t="s">
        <v>1040</v>
      </c>
      <c r="P56" s="1884" t="s">
        <v>1530</v>
      </c>
      <c r="Q56" s="1885">
        <f ca="1">C40+J29</f>
        <v>57078</v>
      </c>
      <c r="R56" s="1885" t="s">
        <v>1531</v>
      </c>
    </row>
    <row r="57" spans="1:18" s="1841" customFormat="1" ht="24.75" thickBot="1">
      <c r="A57" s="1917"/>
      <c r="B57" s="1169" t="s">
        <v>1480</v>
      </c>
      <c r="C57" s="282">
        <f ca="1">C29</f>
        <v>27009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1089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233.7</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226.88</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57078</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810.3</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44.6</v>
      </c>
      <c r="D65" s="1183" t="s">
        <v>1456</v>
      </c>
      <c r="E65" s="1169" t="s">
        <v>1457</v>
      </c>
      <c r="F65" s="376">
        <f t="shared" ca="1" si="0"/>
        <v>2E-3</v>
      </c>
      <c r="I65" s="1928" t="s">
        <v>1581</v>
      </c>
      <c r="J65" s="1929">
        <v>40</v>
      </c>
      <c r="K65" s="1929">
        <v>30</v>
      </c>
      <c r="L65" s="1929">
        <v>50</v>
      </c>
      <c r="M65" s="1931">
        <v>0.02</v>
      </c>
      <c r="O65" s="1883" t="s">
        <v>1040</v>
      </c>
      <c r="P65" s="1884" t="s">
        <v>1530</v>
      </c>
      <c r="Q65" s="1885">
        <f ca="1">C40+J29</f>
        <v>57078</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-1089</v>
      </c>
      <c r="D67" s="1182" t="s">
        <v>1466</v>
      </c>
      <c r="E67" s="1187"/>
      <c r="F67" s="1188"/>
      <c r="O67" s="1893" t="s">
        <v>1042</v>
      </c>
      <c r="P67" s="1884" t="s">
        <v>1564</v>
      </c>
      <c r="Q67" s="1932">
        <f ca="1">L51</f>
        <v>23692</v>
      </c>
      <c r="R67" s="1885" t="s">
        <v>1584</v>
      </c>
    </row>
    <row r="68" spans="1:18" s="1841" customFormat="1" ht="16.5" thickBot="1">
      <c r="A68" s="1166" t="s">
        <v>1032</v>
      </c>
      <c r="B68" s="1167" t="s">
        <v>1487</v>
      </c>
      <c r="C68" s="346">
        <f ca="1">ROUND(C67*(1-((1+F70)/(1+F68))^F69)/(F68-F70),0)</f>
        <v>-14610</v>
      </c>
      <c r="D68" s="1184" t="s">
        <v>1471</v>
      </c>
      <c r="E68" s="1169" t="s">
        <v>1472</v>
      </c>
      <c r="F68" s="357">
        <f ca="1">F40</f>
        <v>0.06</v>
      </c>
      <c r="O68" s="1893" t="s">
        <v>1043</v>
      </c>
      <c r="P68" s="1933" t="s">
        <v>1585</v>
      </c>
      <c r="Q68" s="1885">
        <f ca="1">ROUND(Q69-Q70*Q71,0)</f>
        <v>1676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3459</v>
      </c>
      <c r="R69" s="1885" t="s">
        <v>1531</v>
      </c>
    </row>
    <row r="70" spans="1:18" s="1841" customFormat="1" ht="13.5" thickBot="1">
      <c r="A70" s="1173"/>
      <c r="B70" s="1174"/>
      <c r="C70" s="355"/>
      <c r="D70" s="1185"/>
      <c r="E70" s="1169" t="s">
        <v>1479</v>
      </c>
      <c r="F70" s="1275"/>
      <c r="O70" s="1893" t="s">
        <v>1049</v>
      </c>
      <c r="P70" s="1933" t="s">
        <v>1587</v>
      </c>
      <c r="Q70" s="1885">
        <f ca="1">C13</f>
        <v>22282</v>
      </c>
      <c r="R70" s="1885" t="s">
        <v>1531</v>
      </c>
    </row>
    <row r="71" spans="1:18" s="1841" customFormat="1" ht="13.5" thickBot="1">
      <c r="A71" s="1190" t="s">
        <v>1033</v>
      </c>
      <c r="B71" s="1191" t="s">
        <v>1489</v>
      </c>
      <c r="C71" s="382">
        <f ca="1">ROUND(C68*10000/F71,0)</f>
        <v>-3821</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1783</v>
      </c>
      <c r="D75" s="1841"/>
      <c r="E75" s="1841"/>
      <c r="F75" s="1841"/>
      <c r="K75" s="1867"/>
      <c r="L75" s="1841"/>
      <c r="O75" s="1883" t="s">
        <v>1046</v>
      </c>
      <c r="P75" s="1884" t="s">
        <v>1551</v>
      </c>
      <c r="Q75" s="1885">
        <f ca="1">Q65+Q66</f>
        <v>57078</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0.48499999999999999</v>
      </c>
    </row>
    <row r="80" spans="1:18">
      <c r="B80" s="386" t="s">
        <v>1513</v>
      </c>
      <c r="C80" s="318">
        <f ca="1">ROUND(C75/C39,3)</f>
        <v>0.51500000000000001</v>
      </c>
    </row>
    <row r="81" spans="2:3">
      <c r="B81" s="314" t="s">
        <v>1514</v>
      </c>
      <c r="C81" s="282"/>
    </row>
    <row r="82" spans="2:3">
      <c r="B82" s="317" t="s">
        <v>1515</v>
      </c>
      <c r="C82" s="319">
        <f ca="1">1-C83</f>
        <v>0.61</v>
      </c>
    </row>
    <row r="83" spans="2:3">
      <c r="B83" s="317" t="s">
        <v>1516</v>
      </c>
      <c r="C83" s="318">
        <f ca="1">ROUND(C13/C40,3)</f>
        <v>0.39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1" sqref="G31"/>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3111</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46460</v>
      </c>
      <c r="C2" s="1844" t="s">
        <v>1518</v>
      </c>
      <c r="D2" s="1844"/>
      <c r="E2" s="1845"/>
      <c r="F2" s="1846"/>
      <c r="G2" s="1847"/>
      <c r="H2" s="1839"/>
      <c r="I2" s="1839"/>
      <c r="J2" s="1839"/>
      <c r="K2" s="1840"/>
      <c r="L2" s="1839"/>
      <c r="M2" s="1839"/>
    </row>
    <row r="3" spans="1:37" ht="18" customHeight="1" thickBot="1">
      <c r="A3" s="1848" t="s">
        <v>1519</v>
      </c>
      <c r="B3" s="1849">
        <f ca="1">IF(ISERROR(B2*10000/F43),0,ROUND(B2*10000/F43,0))</f>
        <v>8153</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60" t="s">
        <v>1404</v>
      </c>
      <c r="C6" s="1296">
        <f ca="1">ROUND(F6*F8*F7*(1-F9)/10000,0)</f>
        <v>0</v>
      </c>
      <c r="D6" s="164" t="s">
        <v>3035</v>
      </c>
      <c r="E6" s="347" t="s">
        <v>1406</v>
      </c>
      <c r="F6" s="348">
        <f ca="1">INDIRECT("'数据-取费表'!u"&amp;$G$1)</f>
        <v>0</v>
      </c>
      <c r="G6" s="1850"/>
      <c r="H6" s="1291" t="s">
        <v>1035</v>
      </c>
      <c r="I6" s="3260" t="s">
        <v>1404</v>
      </c>
      <c r="J6" s="346">
        <f ca="1">ROUND(M6*M8*M7*(1-M9)/10000,0)</f>
        <v>5200</v>
      </c>
      <c r="K6" s="164" t="s">
        <v>3034</v>
      </c>
      <c r="L6" s="347" t="s">
        <v>1406</v>
      </c>
      <c r="M6" s="348">
        <f ca="1">INDIRECT("'数据-取费表'!z"&amp;$G$1)</f>
        <v>2.5</v>
      </c>
    </row>
    <row r="7" spans="1:37" ht="18" customHeight="1">
      <c r="A7" s="1295"/>
      <c r="B7" s="3261"/>
      <c r="C7" s="1297"/>
      <c r="D7" s="352"/>
      <c r="E7" s="2943" t="s">
        <v>1407</v>
      </c>
      <c r="F7" s="348">
        <f ca="1">IF(INDIRECT("'数据-取费表'!ah"&amp;$G$1)="",INDIRECT("'数据-取费表'!k"&amp;$G$1),INDIRECT("'数据-取费表'!ah"&amp;$G$1))</f>
        <v>56983.21</v>
      </c>
      <c r="G7" s="1850"/>
      <c r="H7" s="349"/>
      <c r="I7" s="3261"/>
      <c r="J7" s="351"/>
      <c r="K7" s="352"/>
      <c r="L7" s="347" t="s">
        <v>1407</v>
      </c>
      <c r="M7" s="348">
        <f ca="1">F7</f>
        <v>56983.21</v>
      </c>
    </row>
    <row r="8" spans="1:37" ht="18" customHeight="1">
      <c r="A8" s="349"/>
      <c r="B8" s="3261"/>
      <c r="C8" s="351"/>
      <c r="D8" s="352"/>
      <c r="E8" s="347" t="s">
        <v>1408</v>
      </c>
      <c r="F8" s="348">
        <f ca="1">INDIRECT("'数据-取费表'!ai"&amp;$G$1)</f>
        <v>365</v>
      </c>
      <c r="G8" s="1850"/>
      <c r="H8" s="349"/>
      <c r="I8" s="3261"/>
      <c r="J8" s="351"/>
      <c r="K8" s="352"/>
      <c r="L8" s="347" t="s">
        <v>1408</v>
      </c>
      <c r="M8" s="348">
        <f ca="1">INDIRECT("'数据-取费表'!ai"&amp;$G$1)</f>
        <v>365</v>
      </c>
    </row>
    <row r="9" spans="1:37" ht="18" customHeight="1">
      <c r="A9" s="349"/>
      <c r="B9" s="3262"/>
      <c r="C9" s="351"/>
      <c r="D9" s="352"/>
      <c r="E9" s="347" t="s">
        <v>1409</v>
      </c>
      <c r="F9" s="357">
        <f ca="1">INDIRECT("'数据-取费表'!w"&amp;$G$1)</f>
        <v>0.15</v>
      </c>
      <c r="G9" s="1850"/>
      <c r="H9" s="349"/>
      <c r="I9" s="3262"/>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33206</v>
      </c>
      <c r="D13" s="1331" t="s">
        <v>1417</v>
      </c>
      <c r="E13" s="1331" t="s">
        <v>1418</v>
      </c>
      <c r="F13" s="1332">
        <f ca="1">INDIRECT("'数据-取费表'!y"&amp;$G$1)</f>
        <v>0.82499999999999996</v>
      </c>
      <c r="G13" s="1850"/>
      <c r="H13" s="1329">
        <v>2</v>
      </c>
      <c r="I13" s="1330" t="s">
        <v>1416</v>
      </c>
      <c r="J13" s="1290">
        <f ca="1">ROUND(J14*J15,0)</f>
        <v>32864</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40250</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2154</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620.6</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272.38</v>
      </c>
      <c r="K18" s="2936"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1207.5</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65.7</v>
      </c>
      <c r="K23" s="2936"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3046</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49248</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40250</v>
      </c>
      <c r="D29" s="1342"/>
      <c r="E29" s="1340"/>
      <c r="F29" s="1343"/>
      <c r="G29" s="1853"/>
      <c r="H29" s="380" t="s">
        <v>1033</v>
      </c>
      <c r="I29" s="381" t="s">
        <v>1481</v>
      </c>
      <c r="J29" s="382">
        <f ca="1">ROUND(J26/(1+F40)^F41,0)</f>
        <v>46460</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1622</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348.2</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5.5000000000000007E-2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1207.5</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66.400000000000006</v>
      </c>
      <c r="D37" s="2936"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-1622</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-1530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46460</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40250</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-60465</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58" t="s">
        <v>1550</v>
      </c>
      <c r="L53" s="3259"/>
      <c r="O53" s="1883" t="s">
        <v>1046</v>
      </c>
      <c r="P53" s="1884" t="s">
        <v>1551</v>
      </c>
      <c r="Q53" s="1885">
        <f ca="1">Q47+Q48</f>
        <v>46460</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33206</v>
      </c>
      <c r="D56" s="1913"/>
      <c r="E56" s="1914"/>
      <c r="F56" s="1906"/>
      <c r="I56" s="1915" t="s">
        <v>1556</v>
      </c>
      <c r="J56" s="1916" t="s">
        <v>3044</v>
      </c>
      <c r="K56" s="1886" t="s">
        <v>1557</v>
      </c>
      <c r="L56" s="1889" t="str">
        <f ca="1">IF(L48&lt;J51,"——",L48-J53)</f>
        <v>——</v>
      </c>
      <c r="O56" s="1883" t="s">
        <v>1040</v>
      </c>
      <c r="P56" s="1884" t="s">
        <v>1530</v>
      </c>
      <c r="Q56" s="1885">
        <f ca="1">C40+J29</f>
        <v>46460</v>
      </c>
      <c r="R56" s="1885" t="s">
        <v>1531</v>
      </c>
    </row>
    <row r="57" spans="1:18" s="1841" customFormat="1" ht="24.75" thickBot="1">
      <c r="A57" s="1917"/>
      <c r="B57" s="1169" t="s">
        <v>1480</v>
      </c>
      <c r="C57" s="282">
        <f ca="1">C29</f>
        <v>40250</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1622</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348.2</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5.5000000000000007E-2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46460</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1207.5</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66.400000000000006</v>
      </c>
      <c r="D65" s="1183" t="s">
        <v>1456</v>
      </c>
      <c r="E65" s="1169" t="s">
        <v>1424</v>
      </c>
      <c r="F65" s="376">
        <f t="shared" ca="1" si="0"/>
        <v>2E-3</v>
      </c>
      <c r="I65" s="1928" t="s">
        <v>1581</v>
      </c>
      <c r="J65" s="1929">
        <v>40</v>
      </c>
      <c r="K65" s="1929">
        <v>30</v>
      </c>
      <c r="L65" s="1929">
        <v>50</v>
      </c>
      <c r="M65" s="1931">
        <v>0.02</v>
      </c>
      <c r="O65" s="1883" t="s">
        <v>1040</v>
      </c>
      <c r="P65" s="1884" t="s">
        <v>1530</v>
      </c>
      <c r="Q65" s="1885">
        <f ca="1">C40+J29</f>
        <v>46460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-1622</v>
      </c>
      <c r="D67" s="1182" t="s">
        <v>1466</v>
      </c>
      <c r="E67" s="1187"/>
      <c r="F67" s="1188"/>
      <c r="O67" s="1893" t="s">
        <v>1042</v>
      </c>
      <c r="P67" s="1884" t="s">
        <v>1564</v>
      </c>
      <c r="Q67" s="1932">
        <f ca="1">L51</f>
        <v>-60465</v>
      </c>
      <c r="R67" s="1885" t="s">
        <v>1584</v>
      </c>
    </row>
    <row r="68" spans="1:18" s="1841" customFormat="1" ht="16.5" thickBot="1">
      <c r="A68" s="1166" t="s">
        <v>1032</v>
      </c>
      <c r="B68" s="1167" t="s">
        <v>1487</v>
      </c>
      <c r="C68" s="346">
        <f ca="1">ROUND(C67*(1-((1+F70)/(1+F68))^F69)/(F68-F70),0)</f>
        <v>-1530</v>
      </c>
      <c r="D68" s="1184" t="s">
        <v>1471</v>
      </c>
      <c r="E68" s="1169" t="s">
        <v>1472</v>
      </c>
      <c r="F68" s="357">
        <f ca="1">F40</f>
        <v>0.06</v>
      </c>
      <c r="O68" s="1893" t="s">
        <v>1043</v>
      </c>
      <c r="P68" s="1933" t="s">
        <v>1585</v>
      </c>
      <c r="Q68" s="1885">
        <f ca="1">ROUND(Q69-Q70*Q71,0)</f>
        <v>-4278</v>
      </c>
      <c r="R68" s="1885" t="s">
        <v>1051</v>
      </c>
    </row>
    <row r="69" spans="1:18" s="1841" customFormat="1" ht="13.5" thickBot="1">
      <c r="A69" s="1170"/>
      <c r="B69" s="1171"/>
      <c r="C69" s="351"/>
      <c r="D69" s="1189" t="s">
        <v>1475</v>
      </c>
      <c r="E69" s="1169" t="s">
        <v>1476</v>
      </c>
      <c r="F69" s="379">
        <f ca="1">F41</f>
        <v>1</v>
      </c>
      <c r="O69" s="1893" t="s">
        <v>1048</v>
      </c>
      <c r="P69" s="1933" t="s">
        <v>1586</v>
      </c>
      <c r="Q69" s="1885">
        <f ca="1">C39</f>
        <v>-1622</v>
      </c>
      <c r="R69" s="1885" t="s">
        <v>1531</v>
      </c>
    </row>
    <row r="70" spans="1:18" s="1841" customFormat="1" ht="13.5" thickBot="1">
      <c r="A70" s="1173"/>
      <c r="B70" s="1174"/>
      <c r="C70" s="355"/>
      <c r="D70" s="1185"/>
      <c r="E70" s="1169" t="s">
        <v>1479</v>
      </c>
      <c r="F70" s="1275"/>
      <c r="O70" s="1893" t="s">
        <v>1049</v>
      </c>
      <c r="P70" s="1933" t="s">
        <v>1587</v>
      </c>
      <c r="Q70" s="1885">
        <f ca="1">C13</f>
        <v>33206</v>
      </c>
      <c r="R70" s="1885" t="s">
        <v>1531</v>
      </c>
    </row>
    <row r="71" spans="1:18" s="1841" customFormat="1" ht="13.5" thickBot="1">
      <c r="A71" s="1190" t="s">
        <v>1033</v>
      </c>
      <c r="B71" s="1191" t="s">
        <v>1489</v>
      </c>
      <c r="C71" s="382">
        <f ca="1">ROUND(C68*10000/F71,0)</f>
        <v>-269</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2656</v>
      </c>
      <c r="D75" s="1841"/>
      <c r="E75" s="1841"/>
      <c r="F75" s="1841"/>
      <c r="K75" s="1867"/>
      <c r="L75" s="1841"/>
      <c r="O75" s="1883" t="s">
        <v>1046</v>
      </c>
      <c r="P75" s="1884" t="s">
        <v>1551</v>
      </c>
      <c r="Q75" s="1885">
        <f ca="1">Q65+Q66</f>
        <v>46460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2.637</v>
      </c>
    </row>
    <row r="80" spans="1:18">
      <c r="B80" s="386" t="s">
        <v>1513</v>
      </c>
      <c r="C80" s="318">
        <f ca="1">ROUND(C75/C39,3)</f>
        <v>-1.637</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I43" sqref="I43"/>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63" t="s">
        <v>1076</v>
      </c>
      <c r="B1" s="3264"/>
      <c r="C1" s="3265"/>
      <c r="D1" s="3266">
        <f>SUM(I10,I15,I20,I21,I23)</f>
        <v>0</v>
      </c>
      <c r="E1" s="3266"/>
      <c r="F1" s="3266"/>
      <c r="G1" s="3266"/>
      <c r="H1" s="3266"/>
      <c r="I1" s="3267"/>
    </row>
    <row r="2" spans="1:9">
      <c r="A2" s="3268" t="s">
        <v>1077</v>
      </c>
      <c r="B2" s="3269" t="s">
        <v>1078</v>
      </c>
      <c r="C2" s="3269"/>
      <c r="D2" s="1301" t="s">
        <v>1079</v>
      </c>
      <c r="E2" s="1301" t="s">
        <v>1080</v>
      </c>
      <c r="F2" s="1301" t="s">
        <v>1081</v>
      </c>
      <c r="G2" s="1301" t="s">
        <v>1082</v>
      </c>
      <c r="H2" s="1301" t="s">
        <v>1083</v>
      </c>
      <c r="I2" s="1302" t="s">
        <v>1084</v>
      </c>
    </row>
    <row r="3" spans="1:9">
      <c r="A3" s="3268"/>
      <c r="B3" s="3269" t="s">
        <v>1085</v>
      </c>
      <c r="C3" s="3269"/>
      <c r="D3" s="1303"/>
      <c r="E3" s="1301"/>
      <c r="F3" s="1304"/>
      <c r="G3" s="1304"/>
      <c r="H3" s="1305"/>
      <c r="I3" s="1306">
        <f>ROUND(D3*E3*F3*G3*H3/10000,0)</f>
        <v>0</v>
      </c>
    </row>
    <row r="4" spans="1:9">
      <c r="A4" s="3268"/>
      <c r="B4" s="3269" t="s">
        <v>1086</v>
      </c>
      <c r="C4" s="3269"/>
      <c r="D4" s="1303"/>
      <c r="E4" s="1301"/>
      <c r="F4" s="1304"/>
      <c r="G4" s="1304"/>
      <c r="H4" s="1305"/>
      <c r="I4" s="1306">
        <f t="shared" ref="I4:I9" si="0">ROUND(D4*E4*F4*G4*H4/10000,0)</f>
        <v>0</v>
      </c>
    </row>
    <row r="5" spans="1:9">
      <c r="A5" s="3268"/>
      <c r="B5" s="3269" t="s">
        <v>1087</v>
      </c>
      <c r="C5" s="3269"/>
      <c r="D5" s="1303"/>
      <c r="E5" s="1301"/>
      <c r="F5" s="1304"/>
      <c r="G5" s="1304"/>
      <c r="H5" s="1305"/>
      <c r="I5" s="1306">
        <f t="shared" si="0"/>
        <v>0</v>
      </c>
    </row>
    <row r="6" spans="1:9">
      <c r="A6" s="3268"/>
      <c r="B6" s="3269" t="s">
        <v>1088</v>
      </c>
      <c r="C6" s="3269"/>
      <c r="D6" s="1303"/>
      <c r="E6" s="1301"/>
      <c r="F6" s="1304"/>
      <c r="G6" s="1304"/>
      <c r="H6" s="1305"/>
      <c r="I6" s="1306">
        <f t="shared" si="0"/>
        <v>0</v>
      </c>
    </row>
    <row r="7" spans="1:9">
      <c r="A7" s="3268"/>
      <c r="B7" s="3269" t="s">
        <v>1089</v>
      </c>
      <c r="C7" s="3269"/>
      <c r="D7" s="1303"/>
      <c r="E7" s="1301"/>
      <c r="F7" s="1304"/>
      <c r="G7" s="1304"/>
      <c r="H7" s="1305"/>
      <c r="I7" s="1306">
        <f t="shared" si="0"/>
        <v>0</v>
      </c>
    </row>
    <row r="8" spans="1:9">
      <c r="A8" s="3268"/>
      <c r="B8" s="3269" t="s">
        <v>1090</v>
      </c>
      <c r="C8" s="3269"/>
      <c r="D8" s="1303"/>
      <c r="E8" s="1301"/>
      <c r="F8" s="1304"/>
      <c r="G8" s="1304"/>
      <c r="H8" s="1305"/>
      <c r="I8" s="1306">
        <f t="shared" si="0"/>
        <v>0</v>
      </c>
    </row>
    <row r="9" spans="1:9">
      <c r="A9" s="3268"/>
      <c r="B9" s="3269" t="s">
        <v>1091</v>
      </c>
      <c r="C9" s="3269"/>
      <c r="D9" s="1303"/>
      <c r="E9" s="1301"/>
      <c r="F9" s="1304"/>
      <c r="G9" s="1304"/>
      <c r="H9" s="1305"/>
      <c r="I9" s="1306">
        <f t="shared" si="0"/>
        <v>0</v>
      </c>
    </row>
    <row r="10" spans="1:9">
      <c r="A10" s="3268"/>
      <c r="B10" s="3270" t="s">
        <v>1092</v>
      </c>
      <c r="C10" s="3270"/>
      <c r="D10" s="1307"/>
      <c r="E10" s="1307" t="e">
        <f>ROUND(D1*10000/D10/H9,0)</f>
        <v>#DIV/0!</v>
      </c>
      <c r="F10" s="1308"/>
      <c r="G10" s="1308"/>
      <c r="H10" s="1309"/>
      <c r="I10" s="1310">
        <f>SUM(I3:I9)</f>
        <v>0</v>
      </c>
    </row>
    <row r="11" spans="1:9" ht="14.25">
      <c r="A11" s="3268" t="s">
        <v>1093</v>
      </c>
      <c r="B11" s="3269" t="s">
        <v>1094</v>
      </c>
      <c r="C11" s="3269"/>
      <c r="D11" s="1303" t="s">
        <v>1095</v>
      </c>
      <c r="E11" s="1303" t="s">
        <v>1096</v>
      </c>
      <c r="F11" s="1304" t="s">
        <v>1097</v>
      </c>
      <c r="G11" s="1304" t="s">
        <v>1083</v>
      </c>
      <c r="H11" s="1311" t="s">
        <v>1098</v>
      </c>
      <c r="I11" s="1302" t="s">
        <v>1084</v>
      </c>
    </row>
    <row r="12" spans="1:9">
      <c r="A12" s="3268"/>
      <c r="B12" s="3269" t="s">
        <v>1099</v>
      </c>
      <c r="C12" s="3269"/>
      <c r="D12" s="1303"/>
      <c r="E12" s="1303"/>
      <c r="F12" s="1304"/>
      <c r="G12" s="1305"/>
      <c r="H12" s="1312"/>
      <c r="I12" s="1302">
        <f>ROUND(D12*E12*F12*G12/10000,0)</f>
        <v>0</v>
      </c>
    </row>
    <row r="13" spans="1:9">
      <c r="A13" s="3268"/>
      <c r="B13" s="3269" t="s">
        <v>1100</v>
      </c>
      <c r="C13" s="3269"/>
      <c r="D13" s="1303"/>
      <c r="E13" s="1303"/>
      <c r="F13" s="1304"/>
      <c r="G13" s="1305"/>
      <c r="H13" s="1312"/>
      <c r="I13" s="1302">
        <f>ROUND(D13*E13*F13*G13/10000,0)</f>
        <v>0</v>
      </c>
    </row>
    <row r="14" spans="1:9">
      <c r="A14" s="3268"/>
      <c r="B14" s="3269" t="s">
        <v>1101</v>
      </c>
      <c r="C14" s="3269"/>
      <c r="D14" s="1303"/>
      <c r="E14" s="1303"/>
      <c r="F14" s="1304"/>
      <c r="G14" s="1305"/>
      <c r="H14" s="1312"/>
      <c r="I14" s="1302">
        <f>ROUND(D14*E14*F14*G14/10000,0)</f>
        <v>0</v>
      </c>
    </row>
    <row r="15" spans="1:9">
      <c r="A15" s="3268"/>
      <c r="B15" s="3270" t="s">
        <v>1092</v>
      </c>
      <c r="C15" s="3270"/>
      <c r="D15" s="1307"/>
      <c r="E15" s="1307">
        <f>SUM(E12:E14)</f>
        <v>0</v>
      </c>
      <c r="F15" s="1308"/>
      <c r="G15" s="1305"/>
      <c r="H15" s="1312"/>
      <c r="I15" s="1313">
        <f>SUM(I12:I14)</f>
        <v>0</v>
      </c>
    </row>
    <row r="16" spans="1:9" ht="24">
      <c r="A16" s="3268" t="s">
        <v>1102</v>
      </c>
      <c r="B16" s="3269" t="s">
        <v>1103</v>
      </c>
      <c r="C16" s="3269"/>
      <c r="D16" s="1303" t="s">
        <v>1079</v>
      </c>
      <c r="E16" s="1314" t="s">
        <v>1104</v>
      </c>
      <c r="F16" s="1304" t="s">
        <v>1105</v>
      </c>
      <c r="G16" s="1305" t="s">
        <v>1083</v>
      </c>
      <c r="H16" s="1311" t="s">
        <v>1098</v>
      </c>
      <c r="I16" s="1302" t="s">
        <v>1084</v>
      </c>
    </row>
    <row r="17" spans="1:13" ht="14.25">
      <c r="A17" s="3268"/>
      <c r="B17" s="3269" t="s">
        <v>1106</v>
      </c>
      <c r="C17" s="3269"/>
      <c r="D17" s="1303"/>
      <c r="E17" s="1303"/>
      <c r="F17" s="1304"/>
      <c r="G17" s="1305"/>
      <c r="H17" s="1315"/>
      <c r="I17" s="1316">
        <f>ROUND(D17*E17*F17*G17/10000,0)</f>
        <v>0</v>
      </c>
    </row>
    <row r="18" spans="1:13" ht="14.25">
      <c r="A18" s="3268"/>
      <c r="B18" s="3269" t="s">
        <v>1107</v>
      </c>
      <c r="C18" s="3269"/>
      <c r="D18" s="1303"/>
      <c r="E18" s="1303"/>
      <c r="F18" s="1304"/>
      <c r="G18" s="1305"/>
      <c r="H18" s="1315"/>
      <c r="I18" s="1316">
        <f>ROUND(D18*E18*F18*G18/10000,0)</f>
        <v>0</v>
      </c>
    </row>
    <row r="19" spans="1:13" ht="14.25">
      <c r="A19" s="3268"/>
      <c r="B19" s="3269" t="s">
        <v>1108</v>
      </c>
      <c r="C19" s="3269"/>
      <c r="D19" s="1303"/>
      <c r="E19" s="1303"/>
      <c r="F19" s="1304"/>
      <c r="G19" s="1305"/>
      <c r="H19" s="1315"/>
      <c r="I19" s="1316">
        <f>ROUND(D19*E19*F19*G19/10000,0)</f>
        <v>0</v>
      </c>
    </row>
    <row r="20" spans="1:13">
      <c r="A20" s="3268"/>
      <c r="B20" s="3270" t="s">
        <v>1092</v>
      </c>
      <c r="C20" s="3270"/>
      <c r="D20" s="1307">
        <f>SUM(D17:D19)</f>
        <v>0</v>
      </c>
      <c r="E20" s="1307"/>
      <c r="F20" s="1308"/>
      <c r="G20" s="1305"/>
      <c r="H20" s="1312"/>
      <c r="I20" s="1313">
        <f>SUM(I17:I19)</f>
        <v>0</v>
      </c>
    </row>
    <row r="21" spans="1:13">
      <c r="A21" s="3268" t="s">
        <v>1109</v>
      </c>
      <c r="B21" s="3272"/>
      <c r="C21" s="3272"/>
      <c r="D21" s="3272"/>
      <c r="E21" s="3272"/>
      <c r="F21" s="3272"/>
      <c r="G21" s="3272"/>
      <c r="H21" s="1764">
        <v>0.1</v>
      </c>
      <c r="I21" s="1310">
        <f>ROUND(I10*H21,0)</f>
        <v>0</v>
      </c>
    </row>
    <row r="22" spans="1:13" ht="14.25">
      <c r="A22" s="3273" t="s">
        <v>1110</v>
      </c>
      <c r="B22" s="3274"/>
      <c r="C22" s="3275"/>
      <c r="D22" s="1317" t="s">
        <v>1111</v>
      </c>
      <c r="E22" s="1317" t="s">
        <v>1112</v>
      </c>
      <c r="F22" s="1318" t="s">
        <v>1113</v>
      </c>
      <c r="G22" s="1318" t="s">
        <v>1114</v>
      </c>
      <c r="H22" s="1311" t="s">
        <v>1115</v>
      </c>
      <c r="I22" s="1302" t="s">
        <v>1116</v>
      </c>
    </row>
    <row r="23" spans="1:13" ht="14.25" thickBot="1">
      <c r="A23" s="3276"/>
      <c r="B23" s="3277"/>
      <c r="C23" s="3278"/>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79">
        <f>C27-C30-C31-C32</f>
        <v>7938.1499999999987</v>
      </c>
      <c r="F26" s="3279"/>
      <c r="G26" s="3279"/>
      <c r="H26" s="1736" t="s">
        <v>1341</v>
      </c>
      <c r="M26">
        <v>131925847.18000001</v>
      </c>
    </row>
    <row r="27" spans="1:13">
      <c r="A27" s="1324">
        <v>1</v>
      </c>
      <c r="B27" s="1325" t="s">
        <v>1118</v>
      </c>
      <c r="C27" s="1325">
        <f>M29</f>
        <v>14433</v>
      </c>
      <c r="D27" s="1325"/>
      <c r="E27" s="3280"/>
      <c r="F27" s="3280"/>
      <c r="G27" s="3280"/>
      <c r="M27">
        <v>156734882.27000001</v>
      </c>
    </row>
    <row r="28" spans="1:13">
      <c r="A28" s="1326" t="s">
        <v>1119</v>
      </c>
      <c r="B28" s="1325" t="s">
        <v>1120</v>
      </c>
      <c r="C28" s="1325"/>
      <c r="D28" s="1325"/>
      <c r="E28" s="3280"/>
      <c r="F28" s="3280"/>
      <c r="G28" s="3280"/>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71"/>
      <c r="F32" s="3271"/>
      <c r="G32" s="3271"/>
    </row>
    <row r="33" spans="1:7" hidden="1">
      <c r="A33" s="3281" t="s">
        <v>1129</v>
      </c>
      <c r="B33" s="3282"/>
      <c r="C33" s="3282"/>
      <c r="D33" s="3283"/>
      <c r="E33" s="3284"/>
      <c r="F33" s="3284"/>
      <c r="G33" s="3284"/>
    </row>
    <row r="34" spans="1:7" hidden="1">
      <c r="A34" s="1328">
        <v>1</v>
      </c>
      <c r="B34" s="1325" t="s">
        <v>1130</v>
      </c>
      <c r="C34" s="1325"/>
      <c r="D34" s="1325"/>
      <c r="E34" s="3280"/>
      <c r="F34" s="3280"/>
      <c r="G34" s="3280"/>
    </row>
    <row r="35" spans="1:7" hidden="1">
      <c r="A35" s="1328">
        <v>2</v>
      </c>
      <c r="B35" s="1325" t="s">
        <v>1131</v>
      </c>
      <c r="C35" s="1325"/>
      <c r="D35" s="1325"/>
      <c r="E35" s="3280"/>
      <c r="F35" s="3280"/>
      <c r="G35" s="3280"/>
    </row>
    <row r="36" spans="1:7" hidden="1">
      <c r="A36" s="1328">
        <v>3</v>
      </c>
      <c r="B36" s="1325" t="s">
        <v>1132</v>
      </c>
      <c r="C36" s="1325"/>
      <c r="D36" s="1325"/>
      <c r="E36" s="3280"/>
      <c r="F36" s="3280"/>
      <c r="G36" s="3280"/>
    </row>
    <row r="37" spans="1:7" hidden="1">
      <c r="A37" s="1328">
        <v>4</v>
      </c>
      <c r="B37" s="1325" t="s">
        <v>1133</v>
      </c>
      <c r="C37" s="1325"/>
      <c r="D37" s="1325"/>
      <c r="E37" s="3280"/>
      <c r="F37" s="3280"/>
      <c r="G37" s="3280"/>
    </row>
    <row r="38" spans="1:7" hidden="1">
      <c r="A38" s="3281" t="s">
        <v>1134</v>
      </c>
      <c r="B38" s="3282"/>
      <c r="C38" s="3282"/>
      <c r="D38" s="3283"/>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216" t="s">
        <v>2537</v>
      </c>
      <c r="D4" s="3217"/>
      <c r="E4" s="3218" t="s">
        <v>2538</v>
      </c>
      <c r="F4" s="3219"/>
      <c r="G4" s="3216" t="s">
        <v>2539</v>
      </c>
      <c r="H4" s="3217"/>
      <c r="I4" s="3216" t="s">
        <v>2540</v>
      </c>
      <c r="J4" s="3217"/>
      <c r="K4" s="2598" t="s">
        <v>2541</v>
      </c>
      <c r="L4" s="1130"/>
      <c r="M4" s="1131"/>
      <c r="N4" s="1131"/>
      <c r="O4" s="1131"/>
      <c r="P4" s="3220" t="s">
        <v>2542</v>
      </c>
      <c r="Q4" s="3221"/>
      <c r="R4" s="3203" t="s">
        <v>2538</v>
      </c>
      <c r="S4" s="3204"/>
      <c r="T4" s="3203" t="s">
        <v>2539</v>
      </c>
      <c r="U4" s="3204"/>
      <c r="V4" s="3228" t="s">
        <v>2540</v>
      </c>
      <c r="W4" s="3228"/>
      <c r="X4" s="1812"/>
      <c r="Y4" s="3203" t="s">
        <v>2542</v>
      </c>
      <c r="Z4" s="3204"/>
      <c r="AA4" s="3198" t="s">
        <v>2538</v>
      </c>
      <c r="AB4" s="3198" t="s">
        <v>2539</v>
      </c>
      <c r="AC4" s="3198" t="s">
        <v>2540</v>
      </c>
    </row>
    <row r="5" spans="1:29" ht="15">
      <c r="A5" s="404"/>
      <c r="B5" s="405"/>
      <c r="C5" s="3209" t="s">
        <v>2543</v>
      </c>
      <c r="D5" s="3210"/>
      <c r="E5" s="3207" t="s">
        <v>2544</v>
      </c>
      <c r="F5" s="3208"/>
      <c r="G5" s="3209" t="s">
        <v>2545</v>
      </c>
      <c r="H5" s="3210"/>
      <c r="I5" s="3209" t="s">
        <v>2546</v>
      </c>
      <c r="J5" s="3210"/>
      <c r="K5" s="2599"/>
      <c r="L5" s="1130"/>
      <c r="M5" s="1131"/>
      <c r="N5" s="1131"/>
      <c r="O5" s="1131"/>
      <c r="P5" s="3222"/>
      <c r="Q5" s="3223"/>
      <c r="R5" s="3205"/>
      <c r="S5" s="3206"/>
      <c r="T5" s="3205"/>
      <c r="U5" s="3206"/>
      <c r="V5" s="3228"/>
      <c r="W5" s="3228"/>
      <c r="X5" s="1812"/>
      <c r="Y5" s="3205"/>
      <c r="Z5" s="3206"/>
      <c r="AA5" s="3199"/>
      <c r="AB5" s="3199"/>
      <c r="AC5" s="3199"/>
    </row>
    <row r="6" spans="1:29" ht="15.75" thickBot="1">
      <c r="A6" s="406"/>
      <c r="B6" s="407"/>
      <c r="C6" s="3211" t="s">
        <v>2547</v>
      </c>
      <c r="D6" s="3212"/>
      <c r="E6" s="3213" t="s">
        <v>2547</v>
      </c>
      <c r="F6" s="3214"/>
      <c r="G6" s="3211" t="s">
        <v>2547</v>
      </c>
      <c r="H6" s="3212"/>
      <c r="I6" s="3211" t="s">
        <v>2547</v>
      </c>
      <c r="J6" s="3212"/>
      <c r="K6" s="2599" t="s">
        <v>2548</v>
      </c>
      <c r="L6" s="1130"/>
      <c r="M6" s="1131"/>
      <c r="N6" s="1131"/>
      <c r="O6" s="1131"/>
      <c r="P6" s="3224"/>
      <c r="Q6" s="3225"/>
      <c r="R6" s="3205"/>
      <c r="S6" s="3206"/>
      <c r="T6" s="3226"/>
      <c r="U6" s="3227"/>
      <c r="V6" s="3228"/>
      <c r="W6" s="3228"/>
      <c r="X6" s="1812"/>
      <c r="Y6" s="3226"/>
      <c r="Z6" s="3227"/>
      <c r="AA6" s="3200"/>
      <c r="AB6" s="3200"/>
      <c r="AC6" s="320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1" t="s">
        <v>2550</v>
      </c>
      <c r="Q7" s="3229"/>
      <c r="R7" s="770" t="s">
        <v>23</v>
      </c>
      <c r="S7" s="771">
        <f t="shared" ref="S7:S15" si="0">F7</f>
        <v>0</v>
      </c>
      <c r="T7" s="770" t="s">
        <v>23</v>
      </c>
      <c r="U7" s="771">
        <f t="shared" ref="U7:U15" si="1">H7</f>
        <v>0</v>
      </c>
      <c r="V7" s="770" t="s">
        <v>23</v>
      </c>
      <c r="W7" s="771">
        <f t="shared" ref="W7:W15" si="2">J7</f>
        <v>0</v>
      </c>
      <c r="X7" s="772"/>
      <c r="Y7" s="3201" t="s">
        <v>2550</v>
      </c>
      <c r="Z7" s="3202"/>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1" t="s">
        <v>2553</v>
      </c>
      <c r="Q8" s="3202"/>
      <c r="R8" s="770" t="s">
        <v>23</v>
      </c>
      <c r="S8" s="771">
        <f t="shared" si="0"/>
        <v>0</v>
      </c>
      <c r="T8" s="770" t="s">
        <v>23</v>
      </c>
      <c r="U8" s="771">
        <f t="shared" si="1"/>
        <v>0</v>
      </c>
      <c r="V8" s="770" t="s">
        <v>23</v>
      </c>
      <c r="W8" s="771">
        <f t="shared" si="2"/>
        <v>0</v>
      </c>
      <c r="X8" s="772"/>
      <c r="Y8" s="3201" t="s">
        <v>2553</v>
      </c>
      <c r="Z8" s="3202"/>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40" t="s">
        <v>2556</v>
      </c>
      <c r="Q9" s="1794" t="str">
        <f t="shared" ref="Q9:Q15" si="6">B9</f>
        <v>用途</v>
      </c>
      <c r="R9" s="770" t="s">
        <v>17</v>
      </c>
      <c r="S9" s="771">
        <f t="shared" si="0"/>
        <v>100</v>
      </c>
      <c r="T9" s="770" t="s">
        <v>17</v>
      </c>
      <c r="U9" s="771">
        <f t="shared" si="1"/>
        <v>100</v>
      </c>
      <c r="V9" s="770" t="s">
        <v>17</v>
      </c>
      <c r="W9" s="771">
        <f t="shared" si="2"/>
        <v>100</v>
      </c>
      <c r="X9" s="772"/>
      <c r="Y9" s="3065"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40"/>
      <c r="Q11" s="1794" t="str">
        <f t="shared" si="6"/>
        <v>容积率</v>
      </c>
      <c r="R11" s="770" t="s">
        <v>21</v>
      </c>
      <c r="S11" s="771" t="e">
        <f t="shared" si="0"/>
        <v>#N/A</v>
      </c>
      <c r="T11" s="770" t="s">
        <v>21</v>
      </c>
      <c r="U11" s="771" t="e">
        <f t="shared" si="1"/>
        <v>#N/A</v>
      </c>
      <c r="V11" s="770" t="s">
        <v>21</v>
      </c>
      <c r="W11" s="771" t="e">
        <f t="shared" si="2"/>
        <v>#N/A</v>
      </c>
      <c r="X11" s="772"/>
      <c r="Y11" s="3065"/>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40"/>
      <c r="Q12" s="1794">
        <f t="shared" si="6"/>
        <v>111</v>
      </c>
      <c r="R12" s="770" t="s">
        <v>21</v>
      </c>
      <c r="S12" s="771">
        <f t="shared" si="0"/>
        <v>100</v>
      </c>
      <c r="T12" s="770" t="s">
        <v>21</v>
      </c>
      <c r="U12" s="771">
        <f t="shared" si="1"/>
        <v>100</v>
      </c>
      <c r="V12" s="770" t="s">
        <v>21</v>
      </c>
      <c r="W12" s="771">
        <f t="shared" si="2"/>
        <v>100</v>
      </c>
      <c r="X12" s="772"/>
      <c r="Y12" s="3065"/>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0"/>
      <c r="Q13" s="1794">
        <f t="shared" si="6"/>
        <v>111</v>
      </c>
      <c r="R13" s="770" t="s">
        <v>21</v>
      </c>
      <c r="S13" s="771">
        <f t="shared" si="0"/>
        <v>100</v>
      </c>
      <c r="T13" s="770" t="s">
        <v>21</v>
      </c>
      <c r="U13" s="771">
        <f t="shared" si="1"/>
        <v>100</v>
      </c>
      <c r="V13" s="770" t="s">
        <v>21</v>
      </c>
      <c r="W13" s="771">
        <f t="shared" si="2"/>
        <v>100</v>
      </c>
      <c r="X13" s="772"/>
      <c r="Y13" s="3065"/>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0"/>
      <c r="Q14" s="1794">
        <f t="shared" si="6"/>
        <v>111</v>
      </c>
      <c r="R14" s="770" t="s">
        <v>21</v>
      </c>
      <c r="S14" s="771">
        <f t="shared" si="0"/>
        <v>100</v>
      </c>
      <c r="T14" s="770" t="s">
        <v>21</v>
      </c>
      <c r="U14" s="771">
        <f t="shared" si="1"/>
        <v>100</v>
      </c>
      <c r="V14" s="770" t="s">
        <v>21</v>
      </c>
      <c r="W14" s="771">
        <f t="shared" si="2"/>
        <v>100</v>
      </c>
      <c r="X14" s="772"/>
      <c r="Y14" s="3065"/>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91" t="s">
        <v>2561</v>
      </c>
      <c r="Q15" s="1809" t="str">
        <f t="shared" si="6"/>
        <v>居住社区成熟度</v>
      </c>
      <c r="R15" s="774" t="s">
        <v>21</v>
      </c>
      <c r="S15" s="775">
        <f t="shared" si="0"/>
        <v>100</v>
      </c>
      <c r="T15" s="774" t="s">
        <v>21</v>
      </c>
      <c r="U15" s="775">
        <f t="shared" si="1"/>
        <v>100</v>
      </c>
      <c r="V15" s="774" t="s">
        <v>21</v>
      </c>
      <c r="W15" s="775">
        <f t="shared" si="2"/>
        <v>100</v>
      </c>
      <c r="X15" s="1812"/>
      <c r="Y15" s="3230"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92"/>
      <c r="Q16" s="1809"/>
      <c r="R16" s="774"/>
      <c r="S16" s="775"/>
      <c r="T16" s="774"/>
      <c r="U16" s="775"/>
      <c r="V16" s="774"/>
      <c r="W16" s="775"/>
      <c r="X16" s="1812"/>
      <c r="Y16" s="3231"/>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92"/>
      <c r="Q17" s="1809" t="str">
        <f>B17</f>
        <v>交通便捷度</v>
      </c>
      <c r="R17" s="774" t="s">
        <v>21</v>
      </c>
      <c r="S17" s="775">
        <f>F17</f>
        <v>100</v>
      </c>
      <c r="T17" s="774" t="s">
        <v>21</v>
      </c>
      <c r="U17" s="775">
        <f>H17</f>
        <v>100</v>
      </c>
      <c r="V17" s="774" t="s">
        <v>21</v>
      </c>
      <c r="W17" s="775">
        <f>J17</f>
        <v>100</v>
      </c>
      <c r="X17" s="1812"/>
      <c r="Y17" s="3231"/>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92"/>
      <c r="Q18" s="1809"/>
      <c r="R18" s="774"/>
      <c r="S18" s="775"/>
      <c r="T18" s="774"/>
      <c r="U18" s="775"/>
      <c r="V18" s="774"/>
      <c r="W18" s="775"/>
      <c r="X18" s="1812"/>
      <c r="Y18" s="3231"/>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92"/>
      <c r="Q19" s="1809" t="str">
        <f>B19</f>
        <v>公共配套设施</v>
      </c>
      <c r="R19" s="774" t="s">
        <v>21</v>
      </c>
      <c r="S19" s="775">
        <f>F19</f>
        <v>100</v>
      </c>
      <c r="T19" s="774" t="s">
        <v>21</v>
      </c>
      <c r="U19" s="775">
        <f>H19</f>
        <v>100</v>
      </c>
      <c r="V19" s="774" t="s">
        <v>21</v>
      </c>
      <c r="W19" s="775">
        <f>J19</f>
        <v>100</v>
      </c>
      <c r="X19" s="1812"/>
      <c r="Y19" s="3231"/>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92"/>
      <c r="Q20" s="1809"/>
      <c r="R20" s="774"/>
      <c r="S20" s="775"/>
      <c r="T20" s="774"/>
      <c r="U20" s="775"/>
      <c r="V20" s="774"/>
      <c r="W20" s="775"/>
      <c r="X20" s="1812"/>
      <c r="Y20" s="3231"/>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92"/>
      <c r="Q22" s="1809"/>
      <c r="R22" s="774"/>
      <c r="S22" s="775"/>
      <c r="T22" s="774"/>
      <c r="U22" s="775"/>
      <c r="V22" s="774"/>
      <c r="W22" s="775"/>
      <c r="X22" s="1812"/>
      <c r="Y22" s="3231"/>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92"/>
      <c r="Q23" s="1809" t="str">
        <f>B23</f>
        <v>自然及人文环境</v>
      </c>
      <c r="R23" s="774" t="s">
        <v>21</v>
      </c>
      <c r="S23" s="775">
        <f>F23</f>
        <v>100</v>
      </c>
      <c r="T23" s="774" t="s">
        <v>21</v>
      </c>
      <c r="U23" s="775">
        <f>H23</f>
        <v>100</v>
      </c>
      <c r="V23" s="774" t="s">
        <v>21</v>
      </c>
      <c r="W23" s="775">
        <f>J23</f>
        <v>100</v>
      </c>
      <c r="X23" s="1812"/>
      <c r="Y23" s="3231"/>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92"/>
      <c r="Q24" s="1809"/>
      <c r="R24" s="774"/>
      <c r="S24" s="775"/>
      <c r="T24" s="774"/>
      <c r="U24" s="775"/>
      <c r="V24" s="774"/>
      <c r="W24" s="775"/>
      <c r="X24" s="1812"/>
      <c r="Y24" s="3231"/>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9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92"/>
      <c r="Q26" s="1809" t="str">
        <f t="shared" si="11"/>
        <v>朝向</v>
      </c>
      <c r="R26" s="774" t="s">
        <v>21</v>
      </c>
      <c r="S26" s="775">
        <f t="shared" si="12"/>
        <v>100</v>
      </c>
      <c r="T26" s="774" t="s">
        <v>21</v>
      </c>
      <c r="U26" s="775">
        <f t="shared" si="13"/>
        <v>100</v>
      </c>
      <c r="V26" s="774" t="s">
        <v>21</v>
      </c>
      <c r="W26" s="775">
        <f t="shared" si="14"/>
        <v>100</v>
      </c>
      <c r="X26" s="1812"/>
      <c r="Y26" s="3231"/>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92"/>
      <c r="Q27" s="1794">
        <f t="shared" si="11"/>
        <v>111</v>
      </c>
      <c r="R27" s="770" t="s">
        <v>21</v>
      </c>
      <c r="S27" s="771">
        <f t="shared" si="12"/>
        <v>100</v>
      </c>
      <c r="T27" s="770" t="s">
        <v>21</v>
      </c>
      <c r="U27" s="771">
        <f t="shared" si="13"/>
        <v>100</v>
      </c>
      <c r="V27" s="770" t="s">
        <v>21</v>
      </c>
      <c r="W27" s="771">
        <f t="shared" si="14"/>
        <v>100</v>
      </c>
      <c r="X27" s="772"/>
      <c r="Y27" s="3231"/>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92"/>
      <c r="Q28" s="1809">
        <f t="shared" si="11"/>
        <v>111</v>
      </c>
      <c r="R28" s="774" t="s">
        <v>21</v>
      </c>
      <c r="S28" s="775">
        <f t="shared" si="12"/>
        <v>100</v>
      </c>
      <c r="T28" s="774" t="s">
        <v>21</v>
      </c>
      <c r="U28" s="775">
        <f t="shared" si="13"/>
        <v>100</v>
      </c>
      <c r="V28" s="774" t="s">
        <v>21</v>
      </c>
      <c r="W28" s="775">
        <f t="shared" si="14"/>
        <v>100</v>
      </c>
      <c r="X28" s="1812"/>
      <c r="Y28" s="323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92"/>
      <c r="Q29" s="1809">
        <f t="shared" si="11"/>
        <v>111</v>
      </c>
      <c r="R29" s="774" t="s">
        <v>21</v>
      </c>
      <c r="S29" s="775">
        <f t="shared" si="12"/>
        <v>100</v>
      </c>
      <c r="T29" s="774" t="s">
        <v>21</v>
      </c>
      <c r="U29" s="775">
        <f t="shared" si="13"/>
        <v>100</v>
      </c>
      <c r="V29" s="774" t="s">
        <v>21</v>
      </c>
      <c r="W29" s="775">
        <f t="shared" si="14"/>
        <v>100</v>
      </c>
      <c r="X29" s="1812"/>
      <c r="Y29" s="323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92"/>
      <c r="Q30" s="1809">
        <f t="shared" si="11"/>
        <v>111</v>
      </c>
      <c r="R30" s="774" t="s">
        <v>21</v>
      </c>
      <c r="S30" s="775">
        <f t="shared" si="12"/>
        <v>100</v>
      </c>
      <c r="T30" s="774" t="s">
        <v>21</v>
      </c>
      <c r="U30" s="775">
        <f t="shared" si="13"/>
        <v>100</v>
      </c>
      <c r="V30" s="774" t="s">
        <v>21</v>
      </c>
      <c r="W30" s="775">
        <f t="shared" si="14"/>
        <v>100</v>
      </c>
      <c r="X30" s="1812"/>
      <c r="Y30" s="323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92"/>
      <c r="Q31" s="1809">
        <f t="shared" si="11"/>
        <v>111</v>
      </c>
      <c r="R31" s="774" t="s">
        <v>21</v>
      </c>
      <c r="S31" s="775">
        <f t="shared" si="12"/>
        <v>100</v>
      </c>
      <c r="T31" s="774" t="s">
        <v>21</v>
      </c>
      <c r="U31" s="775">
        <f t="shared" si="13"/>
        <v>100</v>
      </c>
      <c r="V31" s="774" t="s">
        <v>21</v>
      </c>
      <c r="W31" s="775">
        <f t="shared" si="14"/>
        <v>100</v>
      </c>
      <c r="X31" s="1812"/>
      <c r="Y31" s="3231"/>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87" t="s">
        <v>2566</v>
      </c>
      <c r="Q32" s="1809" t="str">
        <f t="shared" si="11"/>
        <v>建筑类型</v>
      </c>
      <c r="R32" s="774" t="s">
        <v>21</v>
      </c>
      <c r="S32" s="775">
        <f t="shared" si="12"/>
        <v>100</v>
      </c>
      <c r="T32" s="774" t="s">
        <v>21</v>
      </c>
      <c r="U32" s="775">
        <f t="shared" si="13"/>
        <v>100</v>
      </c>
      <c r="V32" s="774" t="s">
        <v>21</v>
      </c>
      <c r="W32" s="775">
        <f t="shared" si="14"/>
        <v>100</v>
      </c>
      <c r="X32" s="1812"/>
      <c r="Y32" s="3233"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88"/>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88"/>
      <c r="Q34" s="1809" t="str">
        <f t="shared" si="11"/>
        <v>建筑结构</v>
      </c>
      <c r="R34" s="774" t="s">
        <v>21</v>
      </c>
      <c r="S34" s="775">
        <f t="shared" si="12"/>
        <v>100</v>
      </c>
      <c r="T34" s="774" t="s">
        <v>21</v>
      </c>
      <c r="U34" s="775">
        <f t="shared" si="13"/>
        <v>100</v>
      </c>
      <c r="V34" s="774" t="s">
        <v>21</v>
      </c>
      <c r="W34" s="775">
        <f t="shared" si="14"/>
        <v>100</v>
      </c>
      <c r="X34" s="1812"/>
      <c r="Y34" s="3233"/>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88"/>
      <c r="Q35" s="1809" t="str">
        <f t="shared" si="11"/>
        <v>建筑品质</v>
      </c>
      <c r="R35" s="774" t="s">
        <v>21</v>
      </c>
      <c r="S35" s="775">
        <f t="shared" si="12"/>
        <v>100</v>
      </c>
      <c r="T35" s="774" t="s">
        <v>21</v>
      </c>
      <c r="U35" s="775">
        <f t="shared" si="13"/>
        <v>100</v>
      </c>
      <c r="V35" s="774" t="s">
        <v>21</v>
      </c>
      <c r="W35" s="775">
        <f t="shared" si="14"/>
        <v>100</v>
      </c>
      <c r="X35" s="1812"/>
      <c r="Y35" s="3233"/>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88"/>
      <c r="Q36" s="1809" t="str">
        <f t="shared" si="11"/>
        <v>公共部分装修</v>
      </c>
      <c r="R36" s="774" t="s">
        <v>21</v>
      </c>
      <c r="S36" s="775">
        <f t="shared" si="12"/>
        <v>100</v>
      </c>
      <c r="T36" s="774" t="s">
        <v>21</v>
      </c>
      <c r="U36" s="775">
        <f t="shared" si="13"/>
        <v>100</v>
      </c>
      <c r="V36" s="774" t="s">
        <v>21</v>
      </c>
      <c r="W36" s="775">
        <f t="shared" si="14"/>
        <v>100</v>
      </c>
      <c r="X36" s="1812"/>
      <c r="Y36" s="3233"/>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88"/>
      <c r="Q37" s="1794" t="str">
        <f t="shared" si="11"/>
        <v>成新度</v>
      </c>
      <c r="R37" s="770" t="s">
        <v>21</v>
      </c>
      <c r="S37" s="771" t="e">
        <f t="shared" si="12"/>
        <v>#N/A</v>
      </c>
      <c r="T37" s="770" t="s">
        <v>21</v>
      </c>
      <c r="U37" s="771" t="e">
        <f t="shared" si="13"/>
        <v>#N/A</v>
      </c>
      <c r="V37" s="770" t="s">
        <v>21</v>
      </c>
      <c r="W37" s="771" t="e">
        <f t="shared" si="14"/>
        <v>#N/A</v>
      </c>
      <c r="X37" s="772"/>
      <c r="Y37" s="3233"/>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88" t="s">
        <v>2566</v>
      </c>
      <c r="Q38" s="1809" t="str">
        <f t="shared" si="11"/>
        <v>物业管理</v>
      </c>
      <c r="R38" s="774" t="s">
        <v>21</v>
      </c>
      <c r="S38" s="775">
        <f t="shared" si="12"/>
        <v>100</v>
      </c>
      <c r="T38" s="774" t="s">
        <v>21</v>
      </c>
      <c r="U38" s="775">
        <f t="shared" si="13"/>
        <v>100</v>
      </c>
      <c r="V38" s="774" t="s">
        <v>21</v>
      </c>
      <c r="W38" s="775">
        <f t="shared" si="14"/>
        <v>100</v>
      </c>
      <c r="X38" s="1812"/>
      <c r="Y38" s="3233"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88"/>
      <c r="Q39" s="1809" t="str">
        <f t="shared" si="11"/>
        <v>市政基础设施</v>
      </c>
      <c r="R39" s="774" t="s">
        <v>21</v>
      </c>
      <c r="S39" s="775">
        <f t="shared" si="12"/>
        <v>100</v>
      </c>
      <c r="T39" s="774" t="s">
        <v>21</v>
      </c>
      <c r="U39" s="775">
        <f t="shared" si="13"/>
        <v>100</v>
      </c>
      <c r="V39" s="774" t="s">
        <v>21</v>
      </c>
      <c r="W39" s="775">
        <f t="shared" si="14"/>
        <v>100</v>
      </c>
      <c r="X39" s="1812"/>
      <c r="Y39" s="3233"/>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88"/>
      <c r="Q40" s="1809" t="str">
        <f t="shared" si="11"/>
        <v>房型</v>
      </c>
      <c r="R40" s="774" t="s">
        <v>21</v>
      </c>
      <c r="S40" s="775">
        <f t="shared" si="12"/>
        <v>100</v>
      </c>
      <c r="T40" s="774" t="s">
        <v>21</v>
      </c>
      <c r="U40" s="775">
        <f t="shared" si="13"/>
        <v>100</v>
      </c>
      <c r="V40" s="774" t="s">
        <v>21</v>
      </c>
      <c r="W40" s="775">
        <f t="shared" si="14"/>
        <v>100</v>
      </c>
      <c r="X40" s="1812"/>
      <c r="Y40" s="3233"/>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88"/>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88"/>
      <c r="Q42" s="1809" t="str">
        <f t="shared" si="11"/>
        <v>内部装修</v>
      </c>
      <c r="R42" s="774" t="s">
        <v>21</v>
      </c>
      <c r="S42" s="775">
        <f t="shared" si="12"/>
        <v>100</v>
      </c>
      <c r="T42" s="774" t="s">
        <v>21</v>
      </c>
      <c r="U42" s="775">
        <f t="shared" si="13"/>
        <v>100</v>
      </c>
      <c r="V42" s="774" t="s">
        <v>21</v>
      </c>
      <c r="W42" s="775">
        <f t="shared" si="14"/>
        <v>100</v>
      </c>
      <c r="X42" s="1812"/>
      <c r="Y42" s="3233"/>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88"/>
      <c r="Q43" s="1809" t="str">
        <f t="shared" si="11"/>
        <v>内部装修维护情况</v>
      </c>
      <c r="R43" s="774" t="s">
        <v>21</v>
      </c>
      <c r="S43" s="775">
        <f t="shared" si="12"/>
        <v>100</v>
      </c>
      <c r="T43" s="774" t="s">
        <v>21</v>
      </c>
      <c r="U43" s="775">
        <f t="shared" si="13"/>
        <v>100</v>
      </c>
      <c r="V43" s="774" t="s">
        <v>21</v>
      </c>
      <c r="W43" s="775">
        <f t="shared" si="14"/>
        <v>100</v>
      </c>
      <c r="X43" s="1812"/>
      <c r="Y43" s="3233"/>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88"/>
      <c r="Q44" s="1794">
        <f t="shared" si="11"/>
        <v>111</v>
      </c>
      <c r="R44" s="770" t="s">
        <v>21</v>
      </c>
      <c r="S44" s="771">
        <f t="shared" si="12"/>
        <v>100</v>
      </c>
      <c r="T44" s="770" t="s">
        <v>21</v>
      </c>
      <c r="U44" s="771">
        <f t="shared" si="13"/>
        <v>100</v>
      </c>
      <c r="V44" s="770" t="s">
        <v>21</v>
      </c>
      <c r="W44" s="771">
        <f t="shared" si="14"/>
        <v>100</v>
      </c>
      <c r="X44" s="772"/>
      <c r="Y44" s="3233"/>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88"/>
      <c r="Q45" s="1809">
        <f t="shared" si="11"/>
        <v>111</v>
      </c>
      <c r="R45" s="774" t="s">
        <v>21</v>
      </c>
      <c r="S45" s="775">
        <f t="shared" si="12"/>
        <v>100</v>
      </c>
      <c r="T45" s="774" t="s">
        <v>21</v>
      </c>
      <c r="U45" s="775">
        <f t="shared" si="13"/>
        <v>100</v>
      </c>
      <c r="V45" s="774" t="s">
        <v>21</v>
      </c>
      <c r="W45" s="775">
        <f t="shared" si="14"/>
        <v>100</v>
      </c>
      <c r="X45" s="1812"/>
      <c r="Y45" s="3233"/>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89"/>
      <c r="Q46" s="1809">
        <f t="shared" si="11"/>
        <v>111</v>
      </c>
      <c r="R46" s="774" t="s">
        <v>20</v>
      </c>
      <c r="S46" s="775">
        <f t="shared" si="12"/>
        <v>100</v>
      </c>
      <c r="T46" s="774" t="s">
        <v>20</v>
      </c>
      <c r="U46" s="775">
        <f t="shared" si="13"/>
        <v>100</v>
      </c>
      <c r="V46" s="774" t="s">
        <v>20</v>
      </c>
      <c r="W46" s="775">
        <f t="shared" si="14"/>
        <v>100</v>
      </c>
      <c r="X46" s="1812"/>
      <c r="Y46" s="3290"/>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215" t="str">
        <f>A47</f>
        <v>成交单价（元/平方米）</v>
      </c>
      <c r="Q47" s="3215"/>
      <c r="R47" s="3286">
        <f>E47</f>
        <v>0</v>
      </c>
      <c r="S47" s="3286"/>
      <c r="T47" s="3286">
        <f>G47</f>
        <v>0</v>
      </c>
      <c r="U47" s="3286"/>
      <c r="V47" s="3286">
        <f>I47</f>
        <v>0</v>
      </c>
      <c r="W47" s="3286"/>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215" t="str">
        <f>A48</f>
        <v>比较价值（元/平方米）</v>
      </c>
      <c r="Q48" s="321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36" t="str">
        <f>A49</f>
        <v>估价对象XX用房的比较价值（楼面单价，元/平方米）</v>
      </c>
      <c r="Q49" s="3237"/>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228" t="s">
        <v>2649</v>
      </c>
      <c r="AC4" s="3198" t="s">
        <v>2650</v>
      </c>
    </row>
    <row r="5" spans="1:29" ht="15">
      <c r="A5" s="404"/>
      <c r="B5" s="405"/>
      <c r="C5" s="3209" t="s">
        <v>2543</v>
      </c>
      <c r="D5" s="3210"/>
      <c r="E5" s="3207" t="s">
        <v>2544</v>
      </c>
      <c r="F5" s="3208"/>
      <c r="G5" s="3209" t="s">
        <v>2545</v>
      </c>
      <c r="H5" s="3210"/>
      <c r="I5" s="3209" t="s">
        <v>2546</v>
      </c>
      <c r="J5" s="3210"/>
      <c r="K5" s="610"/>
      <c r="L5" s="1130"/>
      <c r="M5" s="1131"/>
      <c r="N5" s="1131"/>
      <c r="O5" s="1131"/>
      <c r="P5" s="3222"/>
      <c r="Q5" s="3223"/>
      <c r="R5" s="3205"/>
      <c r="S5" s="3206"/>
      <c r="T5" s="3205"/>
      <c r="U5" s="3206"/>
      <c r="V5" s="3228"/>
      <c r="W5" s="3228"/>
      <c r="X5" s="1812"/>
      <c r="Y5" s="3205"/>
      <c r="Z5" s="3206"/>
      <c r="AA5" s="3199"/>
      <c r="AB5" s="3228"/>
      <c r="AC5" s="3199"/>
    </row>
    <row r="6" spans="1:29" ht="15.75" thickBot="1">
      <c r="A6" s="406"/>
      <c r="B6" s="407"/>
      <c r="C6" s="3211" t="s">
        <v>2547</v>
      </c>
      <c r="D6" s="3212"/>
      <c r="E6" s="3213" t="s">
        <v>2547</v>
      </c>
      <c r="F6" s="3214"/>
      <c r="G6" s="3211" t="s">
        <v>2547</v>
      </c>
      <c r="H6" s="3212"/>
      <c r="I6" s="3211" t="s">
        <v>2547</v>
      </c>
      <c r="J6" s="3212"/>
      <c r="K6" s="610" t="s">
        <v>2548</v>
      </c>
      <c r="L6" s="1130"/>
      <c r="M6" s="1131"/>
      <c r="N6" s="1131"/>
      <c r="O6" s="1131"/>
      <c r="P6" s="3224"/>
      <c r="Q6" s="3225"/>
      <c r="R6" s="3205"/>
      <c r="S6" s="3206"/>
      <c r="T6" s="3226"/>
      <c r="U6" s="3227"/>
      <c r="V6" s="3228"/>
      <c r="W6" s="3228"/>
      <c r="X6" s="1812"/>
      <c r="Y6" s="3226"/>
      <c r="Z6" s="3227"/>
      <c r="AA6" s="3200"/>
      <c r="AB6" s="3228"/>
      <c r="AC6" s="320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2553</v>
      </c>
      <c r="Q8" s="3202"/>
      <c r="R8" s="770" t="s">
        <v>17</v>
      </c>
      <c r="S8" s="771">
        <f t="shared" si="0"/>
        <v>0</v>
      </c>
      <c r="T8" s="770" t="s">
        <v>17</v>
      </c>
      <c r="U8" s="771">
        <f t="shared" si="1"/>
        <v>0</v>
      </c>
      <c r="V8" s="770" t="s">
        <v>17</v>
      </c>
      <c r="W8" s="771">
        <f t="shared" si="2"/>
        <v>0</v>
      </c>
      <c r="X8" s="772"/>
      <c r="Y8" s="3201" t="s">
        <v>2553</v>
      </c>
      <c r="Z8" s="3202"/>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40" t="s">
        <v>2556</v>
      </c>
      <c r="Q9" s="1794" t="str">
        <f t="shared" ref="Q9:Q15" si="6">B9</f>
        <v>用途</v>
      </c>
      <c r="R9" s="770" t="s">
        <v>17</v>
      </c>
      <c r="S9" s="771">
        <f t="shared" si="0"/>
        <v>100</v>
      </c>
      <c r="T9" s="770" t="s">
        <v>17</v>
      </c>
      <c r="U9" s="771">
        <f t="shared" si="1"/>
        <v>100</v>
      </c>
      <c r="V9" s="770" t="s">
        <v>17</v>
      </c>
      <c r="W9" s="771">
        <f t="shared" si="2"/>
        <v>100</v>
      </c>
      <c r="X9" s="772"/>
      <c r="Y9" s="3065"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40"/>
      <c r="Q11" s="1794" t="str">
        <f t="shared" si="6"/>
        <v>容积率</v>
      </c>
      <c r="R11" s="770" t="s">
        <v>17</v>
      </c>
      <c r="S11" s="771" t="e">
        <f t="shared" si="0"/>
        <v>#N/A</v>
      </c>
      <c r="T11" s="770" t="s">
        <v>17</v>
      </c>
      <c r="U11" s="771" t="e">
        <f t="shared" si="1"/>
        <v>#N/A</v>
      </c>
      <c r="V11" s="770" t="s">
        <v>17</v>
      </c>
      <c r="W11" s="771" t="e">
        <f t="shared" si="2"/>
        <v>#N/A</v>
      </c>
      <c r="X11" s="772"/>
      <c r="Y11" s="3065"/>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40"/>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0"/>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0"/>
      <c r="Q14" s="1794">
        <f t="shared" si="6"/>
        <v>111</v>
      </c>
      <c r="R14" s="770" t="s">
        <v>17</v>
      </c>
      <c r="S14" s="771">
        <f t="shared" si="0"/>
        <v>100</v>
      </c>
      <c r="T14" s="770" t="s">
        <v>17</v>
      </c>
      <c r="U14" s="771">
        <f t="shared" si="1"/>
        <v>100</v>
      </c>
      <c r="V14" s="770" t="s">
        <v>17</v>
      </c>
      <c r="W14" s="771">
        <f t="shared" si="2"/>
        <v>100</v>
      </c>
      <c r="X14" s="772"/>
      <c r="Y14" s="3065"/>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91" t="s">
        <v>2561</v>
      </c>
      <c r="Q15" s="1809" t="str">
        <f t="shared" si="6"/>
        <v>商业繁华度</v>
      </c>
      <c r="R15" s="774" t="s">
        <v>17</v>
      </c>
      <c r="S15" s="775">
        <f t="shared" si="0"/>
        <v>100</v>
      </c>
      <c r="T15" s="774" t="s">
        <v>17</v>
      </c>
      <c r="U15" s="775">
        <f t="shared" si="1"/>
        <v>100</v>
      </c>
      <c r="V15" s="774" t="s">
        <v>17</v>
      </c>
      <c r="W15" s="775">
        <f t="shared" si="2"/>
        <v>100</v>
      </c>
      <c r="X15" s="1812"/>
      <c r="Y15" s="323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92"/>
      <c r="Q16" s="1809"/>
      <c r="R16" s="774"/>
      <c r="S16" s="775"/>
      <c r="T16" s="774"/>
      <c r="U16" s="775"/>
      <c r="V16" s="774"/>
      <c r="W16" s="775"/>
      <c r="X16" s="1812"/>
      <c r="Y16" s="3231"/>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92"/>
      <c r="Q17" s="1809" t="str">
        <f>B17</f>
        <v>交通便捷度</v>
      </c>
      <c r="R17" s="774" t="s">
        <v>17</v>
      </c>
      <c r="S17" s="775">
        <f>F17</f>
        <v>100</v>
      </c>
      <c r="T17" s="774" t="s">
        <v>17</v>
      </c>
      <c r="U17" s="775">
        <f>H17</f>
        <v>100</v>
      </c>
      <c r="V17" s="774" t="s">
        <v>17</v>
      </c>
      <c r="W17" s="775">
        <f>J17</f>
        <v>100</v>
      </c>
      <c r="X17" s="1812"/>
      <c r="Y17" s="323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92"/>
      <c r="Q18" s="1809"/>
      <c r="R18" s="774"/>
      <c r="S18" s="775"/>
      <c r="T18" s="774"/>
      <c r="U18" s="775"/>
      <c r="V18" s="774"/>
      <c r="W18" s="775"/>
      <c r="X18" s="1812"/>
      <c r="Y18" s="3231"/>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92"/>
      <c r="Q19" s="1809" t="str">
        <f>B19</f>
        <v>公共配套设施</v>
      </c>
      <c r="R19" s="774" t="s">
        <v>17</v>
      </c>
      <c r="S19" s="775">
        <f>F19</f>
        <v>100</v>
      </c>
      <c r="T19" s="774" t="s">
        <v>17</v>
      </c>
      <c r="U19" s="775">
        <f>H19</f>
        <v>100</v>
      </c>
      <c r="V19" s="774" t="s">
        <v>17</v>
      </c>
      <c r="W19" s="775">
        <f>J19</f>
        <v>100</v>
      </c>
      <c r="X19" s="1812"/>
      <c r="Y19" s="323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92"/>
      <c r="Q20" s="1809"/>
      <c r="R20" s="774"/>
      <c r="S20" s="775"/>
      <c r="T20" s="774"/>
      <c r="U20" s="775"/>
      <c r="V20" s="774"/>
      <c r="W20" s="775"/>
      <c r="X20" s="1812"/>
      <c r="Y20" s="3231"/>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92"/>
      <c r="Q22" s="1809"/>
      <c r="R22" s="774"/>
      <c r="S22" s="775"/>
      <c r="T22" s="774"/>
      <c r="U22" s="775"/>
      <c r="V22" s="774"/>
      <c r="W22" s="775"/>
      <c r="X22" s="1812"/>
      <c r="Y22" s="3231"/>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92"/>
      <c r="Q23" s="1809" t="str">
        <f>B23</f>
        <v>自然及人文环境</v>
      </c>
      <c r="R23" s="774" t="s">
        <v>17</v>
      </c>
      <c r="S23" s="775">
        <f>F23</f>
        <v>100</v>
      </c>
      <c r="T23" s="774" t="s">
        <v>17</v>
      </c>
      <c r="U23" s="775">
        <f>H23</f>
        <v>100</v>
      </c>
      <c r="V23" s="774" t="s">
        <v>17</v>
      </c>
      <c r="W23" s="775">
        <f>J23</f>
        <v>100</v>
      </c>
      <c r="X23" s="1812"/>
      <c r="Y23" s="3231"/>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92"/>
      <c r="Q24" s="1809"/>
      <c r="R24" s="774"/>
      <c r="S24" s="775"/>
      <c r="T24" s="774"/>
      <c r="U24" s="775"/>
      <c r="V24" s="774"/>
      <c r="W24" s="775"/>
      <c r="X24" s="1812"/>
      <c r="Y24" s="323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92"/>
      <c r="Q25" s="1809" t="str">
        <f t="shared" ref="Q25:Q46" si="11">B25</f>
        <v>临街状况</v>
      </c>
      <c r="R25" s="774" t="s">
        <v>17</v>
      </c>
      <c r="S25" s="775">
        <f>F25</f>
        <v>100</v>
      </c>
      <c r="T25" s="774" t="s">
        <v>17</v>
      </c>
      <c r="U25" s="775">
        <f>H25</f>
        <v>100</v>
      </c>
      <c r="V25" s="774" t="s">
        <v>17</v>
      </c>
      <c r="W25" s="775">
        <f>J25</f>
        <v>100</v>
      </c>
      <c r="X25" s="1812"/>
      <c r="Y25" s="3231"/>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92"/>
      <c r="Q26" s="1809" t="str">
        <f t="shared" si="11"/>
        <v>平面位置/可视性</v>
      </c>
      <c r="R26" s="774" t="s">
        <v>17</v>
      </c>
      <c r="S26" s="775">
        <f>F26</f>
        <v>100</v>
      </c>
      <c r="T26" s="774" t="s">
        <v>17</v>
      </c>
      <c r="U26" s="775">
        <f>H26</f>
        <v>100</v>
      </c>
      <c r="V26" s="774" t="s">
        <v>17</v>
      </c>
      <c r="W26" s="775">
        <f>J26</f>
        <v>100</v>
      </c>
      <c r="X26" s="1812"/>
      <c r="Y26" s="3231"/>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92"/>
      <c r="Q27" s="1794" t="str">
        <f t="shared" si="11"/>
        <v>人流量</v>
      </c>
      <c r="R27" s="770" t="s">
        <v>17</v>
      </c>
      <c r="S27" s="771">
        <f>F27</f>
        <v>100</v>
      </c>
      <c r="T27" s="770" t="s">
        <v>17</v>
      </c>
      <c r="U27" s="771">
        <f>H27</f>
        <v>100</v>
      </c>
      <c r="V27" s="770" t="s">
        <v>17</v>
      </c>
      <c r="W27" s="771">
        <f>J27</f>
        <v>100</v>
      </c>
      <c r="X27" s="772"/>
      <c r="Y27" s="3231"/>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9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92"/>
      <c r="Q29" s="1809">
        <f t="shared" si="11"/>
        <v>111</v>
      </c>
      <c r="R29" s="774" t="s">
        <v>17</v>
      </c>
      <c r="S29" s="775">
        <f t="shared" si="12"/>
        <v>100</v>
      </c>
      <c r="T29" s="774" t="s">
        <v>17</v>
      </c>
      <c r="U29" s="775">
        <f t="shared" si="13"/>
        <v>100</v>
      </c>
      <c r="V29" s="774" t="s">
        <v>17</v>
      </c>
      <c r="W29" s="775">
        <f t="shared" si="14"/>
        <v>100</v>
      </c>
      <c r="X29" s="1812"/>
      <c r="Y29" s="323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92"/>
      <c r="Q30" s="1809">
        <f t="shared" si="11"/>
        <v>111</v>
      </c>
      <c r="R30" s="774" t="s">
        <v>17</v>
      </c>
      <c r="S30" s="775">
        <f t="shared" si="12"/>
        <v>100</v>
      </c>
      <c r="T30" s="774" t="s">
        <v>17</v>
      </c>
      <c r="U30" s="775">
        <f t="shared" si="13"/>
        <v>100</v>
      </c>
      <c r="V30" s="774" t="s">
        <v>17</v>
      </c>
      <c r="W30" s="775">
        <f t="shared" si="14"/>
        <v>100</v>
      </c>
      <c r="X30" s="1812"/>
      <c r="Y30" s="323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92"/>
      <c r="Q31" s="1809">
        <f t="shared" si="11"/>
        <v>111</v>
      </c>
      <c r="R31" s="774" t="s">
        <v>17</v>
      </c>
      <c r="S31" s="775">
        <f t="shared" si="12"/>
        <v>100</v>
      </c>
      <c r="T31" s="774" t="s">
        <v>17</v>
      </c>
      <c r="U31" s="775">
        <f t="shared" si="13"/>
        <v>100</v>
      </c>
      <c r="V31" s="774" t="s">
        <v>17</v>
      </c>
      <c r="W31" s="775">
        <f t="shared" si="14"/>
        <v>100</v>
      </c>
      <c r="X31" s="1812"/>
      <c r="Y31" s="3231"/>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87" t="s">
        <v>2566</v>
      </c>
      <c r="Q32" s="1809" t="str">
        <f t="shared" si="11"/>
        <v>商业类型</v>
      </c>
      <c r="R32" s="774" t="s">
        <v>17</v>
      </c>
      <c r="S32" s="775">
        <f t="shared" si="12"/>
        <v>100</v>
      </c>
      <c r="T32" s="774" t="s">
        <v>17</v>
      </c>
      <c r="U32" s="775">
        <f t="shared" si="13"/>
        <v>100</v>
      </c>
      <c r="V32" s="774" t="s">
        <v>17</v>
      </c>
      <c r="W32" s="775">
        <f t="shared" si="14"/>
        <v>100</v>
      </c>
      <c r="X32" s="1812"/>
      <c r="Y32" s="3233"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88"/>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88"/>
      <c r="Q34" s="1809" t="str">
        <f t="shared" si="11"/>
        <v>建筑结构</v>
      </c>
      <c r="R34" s="774" t="s">
        <v>17</v>
      </c>
      <c r="S34" s="775">
        <f t="shared" si="12"/>
        <v>100</v>
      </c>
      <c r="T34" s="774" t="s">
        <v>17</v>
      </c>
      <c r="U34" s="775">
        <f t="shared" si="13"/>
        <v>100</v>
      </c>
      <c r="V34" s="774" t="s">
        <v>17</v>
      </c>
      <c r="W34" s="775">
        <f t="shared" si="14"/>
        <v>100</v>
      </c>
      <c r="X34" s="1812"/>
      <c r="Y34" s="3233"/>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88"/>
      <c r="Q35" s="1809" t="str">
        <f t="shared" si="11"/>
        <v>公共部分装修</v>
      </c>
      <c r="R35" s="774" t="s">
        <v>17</v>
      </c>
      <c r="S35" s="775">
        <f t="shared" si="12"/>
        <v>100</v>
      </c>
      <c r="T35" s="774" t="s">
        <v>17</v>
      </c>
      <c r="U35" s="775">
        <f t="shared" si="13"/>
        <v>100</v>
      </c>
      <c r="V35" s="774" t="s">
        <v>17</v>
      </c>
      <c r="W35" s="775">
        <f t="shared" si="14"/>
        <v>100</v>
      </c>
      <c r="X35" s="1812"/>
      <c r="Y35" s="3233"/>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8"/>
      <c r="Q36" s="1809" t="str">
        <f t="shared" si="11"/>
        <v>成新度</v>
      </c>
      <c r="R36" s="774" t="s">
        <v>17</v>
      </c>
      <c r="S36" s="775" t="e">
        <f t="shared" si="12"/>
        <v>#N/A</v>
      </c>
      <c r="T36" s="774" t="s">
        <v>17</v>
      </c>
      <c r="U36" s="775" t="e">
        <f t="shared" si="13"/>
        <v>#N/A</v>
      </c>
      <c r="V36" s="774" t="s">
        <v>17</v>
      </c>
      <c r="W36" s="775" t="e">
        <f t="shared" si="14"/>
        <v>#N/A</v>
      </c>
      <c r="X36" s="1812"/>
      <c r="Y36" s="3233"/>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88"/>
      <c r="Q37" s="1794" t="str">
        <f t="shared" si="11"/>
        <v>市政基础设施</v>
      </c>
      <c r="R37" s="770" t="s">
        <v>17</v>
      </c>
      <c r="S37" s="771">
        <f t="shared" si="12"/>
        <v>100</v>
      </c>
      <c r="T37" s="770" t="s">
        <v>17</v>
      </c>
      <c r="U37" s="771">
        <f t="shared" si="13"/>
        <v>100</v>
      </c>
      <c r="V37" s="770" t="s">
        <v>17</v>
      </c>
      <c r="W37" s="771">
        <f t="shared" si="14"/>
        <v>100</v>
      </c>
      <c r="X37" s="772"/>
      <c r="Y37" s="3233"/>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88" t="s">
        <v>2566</v>
      </c>
      <c r="Q38" s="1809" t="str">
        <f t="shared" si="11"/>
        <v>业态</v>
      </c>
      <c r="R38" s="774" t="s">
        <v>17</v>
      </c>
      <c r="S38" s="775">
        <f t="shared" si="12"/>
        <v>100</v>
      </c>
      <c r="T38" s="774" t="s">
        <v>17</v>
      </c>
      <c r="U38" s="775">
        <f t="shared" si="13"/>
        <v>100</v>
      </c>
      <c r="V38" s="774" t="s">
        <v>17</v>
      </c>
      <c r="W38" s="775">
        <f t="shared" si="14"/>
        <v>100</v>
      </c>
      <c r="X38" s="1812"/>
      <c r="Y38" s="3233"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88"/>
      <c r="Q39" s="1809" t="str">
        <f t="shared" si="11"/>
        <v>层高</v>
      </c>
      <c r="R39" s="774" t="s">
        <v>17</v>
      </c>
      <c r="S39" s="775">
        <f t="shared" si="12"/>
        <v>100</v>
      </c>
      <c r="T39" s="774" t="s">
        <v>17</v>
      </c>
      <c r="U39" s="775">
        <f t="shared" si="13"/>
        <v>100</v>
      </c>
      <c r="V39" s="774" t="s">
        <v>17</v>
      </c>
      <c r="W39" s="775">
        <f t="shared" si="14"/>
        <v>100</v>
      </c>
      <c r="X39" s="1812"/>
      <c r="Y39" s="3233"/>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8"/>
      <c r="Q40" s="1809" t="str">
        <f t="shared" si="11"/>
        <v>单套建筑面积</v>
      </c>
      <c r="R40" s="774" t="s">
        <v>17</v>
      </c>
      <c r="S40" s="775">
        <f t="shared" si="12"/>
        <v>100</v>
      </c>
      <c r="T40" s="774" t="s">
        <v>17</v>
      </c>
      <c r="U40" s="775">
        <f t="shared" si="13"/>
        <v>100</v>
      </c>
      <c r="V40" s="774" t="s">
        <v>17</v>
      </c>
      <c r="W40" s="775">
        <f t="shared" si="14"/>
        <v>100</v>
      </c>
      <c r="X40" s="1812"/>
      <c r="Y40" s="3233"/>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8"/>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88"/>
      <c r="Q42" s="1809" t="str">
        <f t="shared" si="11"/>
        <v>内部装修</v>
      </c>
      <c r="R42" s="774" t="s">
        <v>17</v>
      </c>
      <c r="S42" s="775">
        <f t="shared" si="12"/>
        <v>100</v>
      </c>
      <c r="T42" s="774" t="s">
        <v>17</v>
      </c>
      <c r="U42" s="775">
        <f t="shared" si="13"/>
        <v>100</v>
      </c>
      <c r="V42" s="774" t="s">
        <v>17</v>
      </c>
      <c r="W42" s="775">
        <f t="shared" si="14"/>
        <v>100</v>
      </c>
      <c r="X42" s="1812"/>
      <c r="Y42" s="3233"/>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88"/>
      <c r="Q43" s="1809" t="str">
        <f t="shared" si="11"/>
        <v>内部装修维护情况</v>
      </c>
      <c r="R43" s="774" t="s">
        <v>17</v>
      </c>
      <c r="S43" s="775">
        <f t="shared" si="12"/>
        <v>100</v>
      </c>
      <c r="T43" s="774" t="s">
        <v>17</v>
      </c>
      <c r="U43" s="775">
        <f t="shared" si="13"/>
        <v>100</v>
      </c>
      <c r="V43" s="774" t="s">
        <v>17</v>
      </c>
      <c r="W43" s="775">
        <f t="shared" si="14"/>
        <v>100</v>
      </c>
      <c r="X43" s="1812"/>
      <c r="Y43" s="3233"/>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88"/>
      <c r="Q44" s="1794">
        <f t="shared" si="11"/>
        <v>111</v>
      </c>
      <c r="R44" s="770" t="s">
        <v>17</v>
      </c>
      <c r="S44" s="771">
        <f t="shared" si="12"/>
        <v>100</v>
      </c>
      <c r="T44" s="770" t="s">
        <v>17</v>
      </c>
      <c r="U44" s="771">
        <f t="shared" si="13"/>
        <v>100</v>
      </c>
      <c r="V44" s="770" t="s">
        <v>17</v>
      </c>
      <c r="W44" s="771">
        <f t="shared" si="14"/>
        <v>100</v>
      </c>
      <c r="X44" s="772"/>
      <c r="Y44" s="3233"/>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8"/>
      <c r="Q45" s="1809">
        <f t="shared" si="11"/>
        <v>111</v>
      </c>
      <c r="R45" s="774" t="s">
        <v>17</v>
      </c>
      <c r="S45" s="775">
        <f t="shared" si="12"/>
        <v>100</v>
      </c>
      <c r="T45" s="774" t="s">
        <v>17</v>
      </c>
      <c r="U45" s="775">
        <f t="shared" si="13"/>
        <v>100</v>
      </c>
      <c r="V45" s="774" t="s">
        <v>17</v>
      </c>
      <c r="W45" s="775">
        <f t="shared" si="14"/>
        <v>100</v>
      </c>
      <c r="X45" s="1812"/>
      <c r="Y45" s="3233"/>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9"/>
      <c r="Q46" s="1809">
        <f t="shared" si="11"/>
        <v>111</v>
      </c>
      <c r="R46" s="774" t="s">
        <v>17</v>
      </c>
      <c r="S46" s="775">
        <f t="shared" si="12"/>
        <v>100</v>
      </c>
      <c r="T46" s="774" t="s">
        <v>17</v>
      </c>
      <c r="U46" s="775">
        <f t="shared" si="13"/>
        <v>100</v>
      </c>
      <c r="V46" s="774" t="s">
        <v>17</v>
      </c>
      <c r="W46" s="775">
        <f t="shared" si="14"/>
        <v>100</v>
      </c>
      <c r="X46" s="1812"/>
      <c r="Y46" s="3290"/>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15" t="str">
        <f>A47</f>
        <v>成交单价（元/平方米）</v>
      </c>
      <c r="Q47" s="3215"/>
      <c r="R47" s="3228">
        <f>E47</f>
        <v>0</v>
      </c>
      <c r="S47" s="3228"/>
      <c r="T47" s="3228">
        <f>G47</f>
        <v>0</v>
      </c>
      <c r="U47" s="3228"/>
      <c r="V47" s="3228">
        <f>I47</f>
        <v>0</v>
      </c>
      <c r="W47" s="3228"/>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15" t="str">
        <f>A48</f>
        <v>比较价值（元/平方米）</v>
      </c>
      <c r="Q48" s="321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36" t="str">
        <f>A49</f>
        <v>估价对象XX用房的比较价值（楼面单价，元/平方米）</v>
      </c>
      <c r="Q49" s="3237"/>
      <c r="R49" s="3285" t="e">
        <f>IF(F1="售价",ROUND(AVERAGE(R48:V48),0),ROUND(AVERAGE(R48:V48),1))</f>
        <v>#DIV/0!</v>
      </c>
      <c r="S49" s="3285"/>
      <c r="T49" s="3285"/>
      <c r="U49" s="3285"/>
      <c r="V49" s="3285"/>
      <c r="W49" s="32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99" t="s">
        <v>2652</v>
      </c>
      <c r="Q4" s="3300"/>
      <c r="R4" s="3294" t="s">
        <v>2648</v>
      </c>
      <c r="S4" s="3295"/>
      <c r="T4" s="3294" t="s">
        <v>2649</v>
      </c>
      <c r="U4" s="3295"/>
      <c r="V4" s="3303" t="s">
        <v>2650</v>
      </c>
      <c r="W4" s="3303"/>
      <c r="X4" s="2672"/>
      <c r="Y4" s="3294" t="s">
        <v>2652</v>
      </c>
      <c r="Z4" s="3295"/>
      <c r="AA4" s="3293" t="s">
        <v>2648</v>
      </c>
      <c r="AB4" s="3293" t="s">
        <v>2649</v>
      </c>
      <c r="AC4" s="3296" t="s">
        <v>2650</v>
      </c>
    </row>
    <row r="5" spans="1:29" ht="15">
      <c r="A5" s="404"/>
      <c r="B5" s="405"/>
      <c r="C5" s="3209" t="s">
        <v>2543</v>
      </c>
      <c r="D5" s="3210"/>
      <c r="E5" s="3207" t="s">
        <v>2544</v>
      </c>
      <c r="F5" s="3208"/>
      <c r="G5" s="3209" t="s">
        <v>2545</v>
      </c>
      <c r="H5" s="3210"/>
      <c r="I5" s="3209" t="s">
        <v>2546</v>
      </c>
      <c r="J5" s="3210"/>
      <c r="K5" s="610"/>
      <c r="L5" s="1130"/>
      <c r="M5" s="1131"/>
      <c r="N5" s="1131"/>
      <c r="O5" s="1131"/>
      <c r="P5" s="3301"/>
      <c r="Q5" s="3223"/>
      <c r="R5" s="3205"/>
      <c r="S5" s="3206"/>
      <c r="T5" s="3205"/>
      <c r="U5" s="3206"/>
      <c r="V5" s="3228"/>
      <c r="W5" s="3228"/>
      <c r="X5" s="1812"/>
      <c r="Y5" s="3205"/>
      <c r="Z5" s="3206"/>
      <c r="AA5" s="3199"/>
      <c r="AB5" s="3199"/>
      <c r="AC5" s="3297"/>
    </row>
    <row r="6" spans="1:29" ht="15.75" thickBot="1">
      <c r="A6" s="406"/>
      <c r="B6" s="407"/>
      <c r="C6" s="3211" t="s">
        <v>2547</v>
      </c>
      <c r="D6" s="3212"/>
      <c r="E6" s="3213" t="s">
        <v>2547</v>
      </c>
      <c r="F6" s="3214"/>
      <c r="G6" s="3211" t="s">
        <v>2547</v>
      </c>
      <c r="H6" s="3212"/>
      <c r="I6" s="3211" t="s">
        <v>2547</v>
      </c>
      <c r="J6" s="3212"/>
      <c r="K6" s="610" t="s">
        <v>2548</v>
      </c>
      <c r="L6" s="1130"/>
      <c r="M6" s="1131"/>
      <c r="N6" s="1131"/>
      <c r="O6" s="1131"/>
      <c r="P6" s="3302"/>
      <c r="Q6" s="3225"/>
      <c r="R6" s="3205"/>
      <c r="S6" s="3206"/>
      <c r="T6" s="3226"/>
      <c r="U6" s="3227"/>
      <c r="V6" s="3228"/>
      <c r="W6" s="3228"/>
      <c r="X6" s="1812"/>
      <c r="Y6" s="3226"/>
      <c r="Z6" s="3227"/>
      <c r="AA6" s="3200"/>
      <c r="AB6" s="3200"/>
      <c r="AC6" s="3298"/>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4"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4" t="s">
        <v>2553</v>
      </c>
      <c r="Q8" s="3202"/>
      <c r="R8" s="770" t="s">
        <v>17</v>
      </c>
      <c r="S8" s="771">
        <f t="shared" si="0"/>
        <v>0</v>
      </c>
      <c r="T8" s="770" t="s">
        <v>17</v>
      </c>
      <c r="U8" s="771">
        <f t="shared" si="1"/>
        <v>0</v>
      </c>
      <c r="V8" s="770" t="s">
        <v>17</v>
      </c>
      <c r="W8" s="771">
        <f t="shared" si="2"/>
        <v>0</v>
      </c>
      <c r="X8" s="772"/>
      <c r="Y8" s="3201" t="s">
        <v>2553</v>
      </c>
      <c r="Z8" s="3202"/>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40" t="s">
        <v>2556</v>
      </c>
      <c r="Q9" s="1794" t="str">
        <f t="shared" ref="Q9:Q15" si="6">B9</f>
        <v>用途</v>
      </c>
      <c r="R9" s="770" t="s">
        <v>17</v>
      </c>
      <c r="S9" s="771">
        <f t="shared" si="0"/>
        <v>100</v>
      </c>
      <c r="T9" s="770" t="s">
        <v>17</v>
      </c>
      <c r="U9" s="771">
        <f t="shared" si="1"/>
        <v>100</v>
      </c>
      <c r="V9" s="770" t="s">
        <v>17</v>
      </c>
      <c r="W9" s="771">
        <f t="shared" si="2"/>
        <v>100</v>
      </c>
      <c r="X9" s="772"/>
      <c r="Y9" s="3065"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40"/>
      <c r="Q11" s="1794" t="str">
        <f t="shared" si="6"/>
        <v>容积率</v>
      </c>
      <c r="R11" s="770" t="s">
        <v>17</v>
      </c>
      <c r="S11" s="771" t="e">
        <f t="shared" si="0"/>
        <v>#N/A</v>
      </c>
      <c r="T11" s="770" t="s">
        <v>17</v>
      </c>
      <c r="U11" s="771" t="e">
        <f t="shared" si="1"/>
        <v>#N/A</v>
      </c>
      <c r="V11" s="770" t="s">
        <v>17</v>
      </c>
      <c r="W11" s="771" t="e">
        <f t="shared" si="2"/>
        <v>#N/A</v>
      </c>
      <c r="X11" s="772"/>
      <c r="Y11" s="3065"/>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40"/>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40"/>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0"/>
      <c r="Q14" s="1794">
        <f t="shared" si="6"/>
        <v>111</v>
      </c>
      <c r="R14" s="770" t="s">
        <v>17</v>
      </c>
      <c r="S14" s="771">
        <f t="shared" si="0"/>
        <v>100</v>
      </c>
      <c r="T14" s="770" t="s">
        <v>17</v>
      </c>
      <c r="U14" s="771">
        <f t="shared" si="1"/>
        <v>100</v>
      </c>
      <c r="V14" s="770" t="s">
        <v>17</v>
      </c>
      <c r="W14" s="771">
        <f t="shared" si="2"/>
        <v>100</v>
      </c>
      <c r="X14" s="772"/>
      <c r="Y14" s="3065"/>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91" t="s">
        <v>2561</v>
      </c>
      <c r="Q15" s="1809" t="str">
        <f t="shared" si="6"/>
        <v>办公集聚程度</v>
      </c>
      <c r="R15" s="774" t="s">
        <v>17</v>
      </c>
      <c r="S15" s="775">
        <f t="shared" si="0"/>
        <v>100</v>
      </c>
      <c r="T15" s="774" t="s">
        <v>17</v>
      </c>
      <c r="U15" s="775">
        <f t="shared" si="1"/>
        <v>100</v>
      </c>
      <c r="V15" s="774" t="s">
        <v>17</v>
      </c>
      <c r="W15" s="775">
        <f t="shared" si="2"/>
        <v>100</v>
      </c>
      <c r="X15" s="1812"/>
      <c r="Y15" s="3230"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92"/>
      <c r="Q16" s="1809"/>
      <c r="R16" s="774"/>
      <c r="S16" s="775"/>
      <c r="T16" s="774"/>
      <c r="U16" s="775"/>
      <c r="V16" s="774"/>
      <c r="W16" s="775"/>
      <c r="X16" s="1812"/>
      <c r="Y16" s="3231"/>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92"/>
      <c r="Q17" s="1809" t="str">
        <f>B17</f>
        <v>交通便捷度</v>
      </c>
      <c r="R17" s="774" t="s">
        <v>17</v>
      </c>
      <c r="S17" s="775">
        <f>F17</f>
        <v>100</v>
      </c>
      <c r="T17" s="774" t="s">
        <v>17</v>
      </c>
      <c r="U17" s="775">
        <f>H17</f>
        <v>100</v>
      </c>
      <c r="V17" s="774" t="s">
        <v>17</v>
      </c>
      <c r="W17" s="775">
        <f>J17</f>
        <v>100</v>
      </c>
      <c r="X17" s="1812"/>
      <c r="Y17" s="3231"/>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92"/>
      <c r="Q18" s="1809"/>
      <c r="R18" s="774"/>
      <c r="S18" s="775"/>
      <c r="T18" s="774"/>
      <c r="U18" s="775"/>
      <c r="V18" s="774"/>
      <c r="W18" s="775"/>
      <c r="X18" s="1812"/>
      <c r="Y18" s="3231"/>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92"/>
      <c r="Q19" s="1809" t="str">
        <f>B19</f>
        <v>公共配套设施</v>
      </c>
      <c r="R19" s="774" t="s">
        <v>17</v>
      </c>
      <c r="S19" s="775">
        <f>F19</f>
        <v>100</v>
      </c>
      <c r="T19" s="774" t="s">
        <v>17</v>
      </c>
      <c r="U19" s="775">
        <f>H19</f>
        <v>100</v>
      </c>
      <c r="V19" s="774" t="s">
        <v>17</v>
      </c>
      <c r="W19" s="775">
        <f>J19</f>
        <v>100</v>
      </c>
      <c r="X19" s="1812"/>
      <c r="Y19" s="3231"/>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92"/>
      <c r="Q20" s="1809"/>
      <c r="R20" s="774"/>
      <c r="S20" s="775"/>
      <c r="T20" s="774"/>
      <c r="U20" s="775"/>
      <c r="V20" s="774"/>
      <c r="W20" s="775"/>
      <c r="X20" s="1812"/>
      <c r="Y20" s="3231"/>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92"/>
      <c r="Q21" s="1809" t="str">
        <f>B21</f>
        <v>基础设施水平</v>
      </c>
      <c r="R21" s="774" t="s">
        <v>17</v>
      </c>
      <c r="S21" s="775">
        <f>F21</f>
        <v>100</v>
      </c>
      <c r="T21" s="774" t="s">
        <v>17</v>
      </c>
      <c r="U21" s="775">
        <f>H21</f>
        <v>100</v>
      </c>
      <c r="V21" s="774" t="s">
        <v>17</v>
      </c>
      <c r="W21" s="775">
        <f>J21</f>
        <v>100</v>
      </c>
      <c r="X21" s="1812"/>
      <c r="Y21" s="3231"/>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92"/>
      <c r="Q22" s="1809"/>
      <c r="R22" s="774"/>
      <c r="S22" s="775"/>
      <c r="T22" s="774"/>
      <c r="U22" s="775"/>
      <c r="V22" s="774"/>
      <c r="W22" s="775"/>
      <c r="X22" s="1812"/>
      <c r="Y22" s="3231"/>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92"/>
      <c r="Q23" s="1809" t="str">
        <f>B23</f>
        <v>环境质量</v>
      </c>
      <c r="R23" s="774" t="s">
        <v>17</v>
      </c>
      <c r="S23" s="775">
        <f>F23</f>
        <v>100</v>
      </c>
      <c r="T23" s="774" t="s">
        <v>17</v>
      </c>
      <c r="U23" s="775">
        <f>H23</f>
        <v>100</v>
      </c>
      <c r="V23" s="774" t="s">
        <v>17</v>
      </c>
      <c r="W23" s="775">
        <f>J23</f>
        <v>100</v>
      </c>
      <c r="X23" s="1812"/>
      <c r="Y23" s="3231"/>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92"/>
      <c r="Q24" s="1809"/>
      <c r="R24" s="774"/>
      <c r="S24" s="775"/>
      <c r="T24" s="774"/>
      <c r="U24" s="775"/>
      <c r="V24" s="774"/>
      <c r="W24" s="775"/>
      <c r="X24" s="1812"/>
      <c r="Y24" s="3231"/>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92"/>
      <c r="Q25" s="1809" t="str">
        <f>B25</f>
        <v>毗邻道路的类型与等级</v>
      </c>
      <c r="R25" s="774" t="s">
        <v>17</v>
      </c>
      <c r="S25" s="775">
        <f>F25</f>
        <v>100</v>
      </c>
      <c r="T25" s="774" t="s">
        <v>17</v>
      </c>
      <c r="U25" s="775">
        <f>H25</f>
        <v>100</v>
      </c>
      <c r="V25" s="774" t="s">
        <v>17</v>
      </c>
      <c r="W25" s="775">
        <f>J25</f>
        <v>100</v>
      </c>
      <c r="X25" s="1812"/>
      <c r="Y25" s="3231"/>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92"/>
      <c r="Q26" s="1809"/>
      <c r="R26" s="774"/>
      <c r="S26" s="775"/>
      <c r="T26" s="774"/>
      <c r="U26" s="775"/>
      <c r="V26" s="774"/>
      <c r="W26" s="775"/>
      <c r="X26" s="1812"/>
      <c r="Y26" s="3231"/>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92"/>
      <c r="Q27" s="1809" t="str">
        <f t="shared" ref="Q27:Q47" si="11">B27</f>
        <v>楼层</v>
      </c>
      <c r="R27" s="774" t="s">
        <v>17</v>
      </c>
      <c r="S27" s="775">
        <f>F27</f>
        <v>100</v>
      </c>
      <c r="T27" s="774" t="s">
        <v>17</v>
      </c>
      <c r="U27" s="775">
        <f>H27</f>
        <v>100</v>
      </c>
      <c r="V27" s="774" t="s">
        <v>17</v>
      </c>
      <c r="W27" s="775">
        <f>J27</f>
        <v>100</v>
      </c>
      <c r="X27" s="1812"/>
      <c r="Y27" s="3231"/>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92"/>
      <c r="Q28" s="1794" t="str">
        <f t="shared" si="11"/>
        <v>朝向</v>
      </c>
      <c r="R28" s="770" t="s">
        <v>17</v>
      </c>
      <c r="S28" s="771">
        <f>F28</f>
        <v>100</v>
      </c>
      <c r="T28" s="770" t="s">
        <v>17</v>
      </c>
      <c r="U28" s="771">
        <f>H28</f>
        <v>100</v>
      </c>
      <c r="V28" s="770" t="s">
        <v>17</v>
      </c>
      <c r="W28" s="771">
        <f>J28</f>
        <v>100</v>
      </c>
      <c r="X28" s="772"/>
      <c r="Y28" s="3231"/>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92"/>
      <c r="Q29" s="1809">
        <f t="shared" si="11"/>
        <v>111</v>
      </c>
      <c r="R29" s="774" t="s">
        <v>17</v>
      </c>
      <c r="S29" s="775">
        <f t="shared" ref="S29:S47" si="12">F29</f>
        <v>100</v>
      </c>
      <c r="T29" s="774" t="s">
        <v>17</v>
      </c>
      <c r="U29" s="775">
        <f t="shared" ref="U29:U47" si="13">H29</f>
        <v>100</v>
      </c>
      <c r="V29" s="774" t="s">
        <v>17</v>
      </c>
      <c r="W29" s="775">
        <f t="shared" ref="W29:W47" si="14">J29</f>
        <v>100</v>
      </c>
      <c r="X29" s="1812"/>
      <c r="Y29" s="3231"/>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92"/>
      <c r="Q30" s="1809">
        <f t="shared" si="11"/>
        <v>111</v>
      </c>
      <c r="R30" s="774" t="s">
        <v>17</v>
      </c>
      <c r="S30" s="775">
        <f t="shared" si="12"/>
        <v>100</v>
      </c>
      <c r="T30" s="774" t="s">
        <v>17</v>
      </c>
      <c r="U30" s="775">
        <f t="shared" si="13"/>
        <v>100</v>
      </c>
      <c r="V30" s="774" t="s">
        <v>17</v>
      </c>
      <c r="W30" s="775">
        <f t="shared" si="14"/>
        <v>100</v>
      </c>
      <c r="X30" s="1812"/>
      <c r="Y30" s="3231"/>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92"/>
      <c r="Q31" s="1809">
        <f t="shared" si="11"/>
        <v>111</v>
      </c>
      <c r="R31" s="774" t="s">
        <v>17</v>
      </c>
      <c r="S31" s="775">
        <f t="shared" si="12"/>
        <v>100</v>
      </c>
      <c r="T31" s="774" t="s">
        <v>17</v>
      </c>
      <c r="U31" s="775">
        <f t="shared" si="13"/>
        <v>100</v>
      </c>
      <c r="V31" s="774" t="s">
        <v>17</v>
      </c>
      <c r="W31" s="775">
        <f t="shared" si="14"/>
        <v>100</v>
      </c>
      <c r="X31" s="1812"/>
      <c r="Y31" s="3231"/>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92"/>
      <c r="Q32" s="1809">
        <f t="shared" si="11"/>
        <v>111</v>
      </c>
      <c r="R32" s="774" t="s">
        <v>17</v>
      </c>
      <c r="S32" s="775">
        <f t="shared" si="12"/>
        <v>100</v>
      </c>
      <c r="T32" s="774" t="s">
        <v>17</v>
      </c>
      <c r="U32" s="775">
        <f t="shared" si="13"/>
        <v>100</v>
      </c>
      <c r="V32" s="774" t="s">
        <v>17</v>
      </c>
      <c r="W32" s="775">
        <f t="shared" si="14"/>
        <v>100</v>
      </c>
      <c r="X32" s="1812"/>
      <c r="Y32" s="3231"/>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87" t="s">
        <v>2566</v>
      </c>
      <c r="Q33" s="1809" t="str">
        <f t="shared" si="11"/>
        <v>建筑类型</v>
      </c>
      <c r="R33" s="774" t="s">
        <v>17</v>
      </c>
      <c r="S33" s="775">
        <f t="shared" si="12"/>
        <v>100</v>
      </c>
      <c r="T33" s="774" t="s">
        <v>17</v>
      </c>
      <c r="U33" s="775">
        <f t="shared" si="13"/>
        <v>100</v>
      </c>
      <c r="V33" s="774" t="s">
        <v>17</v>
      </c>
      <c r="W33" s="775">
        <f t="shared" si="14"/>
        <v>100</v>
      </c>
      <c r="X33" s="1812"/>
      <c r="Y33" s="3233"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88"/>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8"/>
      <c r="Q35" s="1809" t="str">
        <f t="shared" si="11"/>
        <v>建筑结构</v>
      </c>
      <c r="R35" s="774" t="s">
        <v>17</v>
      </c>
      <c r="S35" s="775">
        <f t="shared" si="12"/>
        <v>100</v>
      </c>
      <c r="T35" s="774" t="s">
        <v>17</v>
      </c>
      <c r="U35" s="775">
        <f t="shared" si="13"/>
        <v>100</v>
      </c>
      <c r="V35" s="774" t="s">
        <v>17</v>
      </c>
      <c r="W35" s="775">
        <f t="shared" si="14"/>
        <v>100</v>
      </c>
      <c r="X35" s="1812"/>
      <c r="Y35" s="3233"/>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8"/>
      <c r="Q36" s="1809" t="str">
        <f t="shared" si="11"/>
        <v>公共部分装修</v>
      </c>
      <c r="R36" s="774" t="s">
        <v>17</v>
      </c>
      <c r="S36" s="775">
        <f t="shared" si="12"/>
        <v>100</v>
      </c>
      <c r="T36" s="774" t="s">
        <v>17</v>
      </c>
      <c r="U36" s="775">
        <f t="shared" si="13"/>
        <v>100</v>
      </c>
      <c r="V36" s="774" t="s">
        <v>17</v>
      </c>
      <c r="W36" s="775">
        <f t="shared" si="14"/>
        <v>100</v>
      </c>
      <c r="X36" s="1812"/>
      <c r="Y36" s="3233"/>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8"/>
      <c r="Q37" s="1809" t="str">
        <f t="shared" si="11"/>
        <v>成新度</v>
      </c>
      <c r="R37" s="774" t="s">
        <v>17</v>
      </c>
      <c r="S37" s="775" t="e">
        <f t="shared" si="12"/>
        <v>#N/A</v>
      </c>
      <c r="T37" s="774" t="s">
        <v>17</v>
      </c>
      <c r="U37" s="775" t="e">
        <f t="shared" si="13"/>
        <v>#N/A</v>
      </c>
      <c r="V37" s="774" t="s">
        <v>17</v>
      </c>
      <c r="W37" s="775" t="e">
        <f t="shared" si="14"/>
        <v>#N/A</v>
      </c>
      <c r="X37" s="1812"/>
      <c r="Y37" s="3233"/>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8"/>
      <c r="Q38" s="1794" t="str">
        <f t="shared" si="11"/>
        <v>写字楼等级</v>
      </c>
      <c r="R38" s="770" t="s">
        <v>17</v>
      </c>
      <c r="S38" s="771">
        <f t="shared" si="12"/>
        <v>100</v>
      </c>
      <c r="T38" s="770" t="s">
        <v>17</v>
      </c>
      <c r="U38" s="771">
        <f t="shared" si="13"/>
        <v>100</v>
      </c>
      <c r="V38" s="770" t="s">
        <v>17</v>
      </c>
      <c r="W38" s="771">
        <f t="shared" si="14"/>
        <v>100</v>
      </c>
      <c r="X38" s="772"/>
      <c r="Y38" s="3233"/>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8" t="s">
        <v>2566</v>
      </c>
      <c r="Q39" s="1809" t="str">
        <f t="shared" si="11"/>
        <v>物业管理</v>
      </c>
      <c r="R39" s="774" t="s">
        <v>17</v>
      </c>
      <c r="S39" s="775">
        <f t="shared" si="12"/>
        <v>100</v>
      </c>
      <c r="T39" s="774" t="s">
        <v>17</v>
      </c>
      <c r="U39" s="775">
        <f t="shared" si="13"/>
        <v>100</v>
      </c>
      <c r="V39" s="774" t="s">
        <v>17</v>
      </c>
      <c r="W39" s="775">
        <f t="shared" si="14"/>
        <v>100</v>
      </c>
      <c r="X39" s="1812"/>
      <c r="Y39" s="3233"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8"/>
      <c r="Q40" s="1809" t="str">
        <f t="shared" si="11"/>
        <v>市政基础设施</v>
      </c>
      <c r="R40" s="774" t="s">
        <v>17</v>
      </c>
      <c r="S40" s="775">
        <f t="shared" si="12"/>
        <v>100</v>
      </c>
      <c r="T40" s="774" t="s">
        <v>17</v>
      </c>
      <c r="U40" s="775">
        <f t="shared" si="13"/>
        <v>100</v>
      </c>
      <c r="V40" s="774" t="s">
        <v>17</v>
      </c>
      <c r="W40" s="775">
        <f t="shared" si="14"/>
        <v>100</v>
      </c>
      <c r="X40" s="1812"/>
      <c r="Y40" s="3233"/>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8"/>
      <c r="Q41" s="1809" t="str">
        <f t="shared" si="11"/>
        <v>层高</v>
      </c>
      <c r="R41" s="774" t="s">
        <v>17</v>
      </c>
      <c r="S41" s="775">
        <f t="shared" si="12"/>
        <v>100</v>
      </c>
      <c r="T41" s="774" t="s">
        <v>17</v>
      </c>
      <c r="U41" s="775">
        <f t="shared" si="13"/>
        <v>100</v>
      </c>
      <c r="V41" s="774" t="s">
        <v>17</v>
      </c>
      <c r="W41" s="775">
        <f t="shared" si="14"/>
        <v>100</v>
      </c>
      <c r="X41" s="1812"/>
      <c r="Y41" s="3233"/>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8"/>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8"/>
      <c r="Q43" s="1809" t="str">
        <f t="shared" si="11"/>
        <v>内部装修</v>
      </c>
      <c r="R43" s="774" t="s">
        <v>17</v>
      </c>
      <c r="S43" s="775">
        <f t="shared" si="12"/>
        <v>100</v>
      </c>
      <c r="T43" s="774" t="s">
        <v>17</v>
      </c>
      <c r="U43" s="775">
        <f t="shared" si="13"/>
        <v>100</v>
      </c>
      <c r="V43" s="774" t="s">
        <v>17</v>
      </c>
      <c r="W43" s="775">
        <f t="shared" si="14"/>
        <v>100</v>
      </c>
      <c r="X43" s="1812"/>
      <c r="Y43" s="3233"/>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88"/>
      <c r="Q44" s="1809" t="str">
        <f t="shared" si="11"/>
        <v>内部装修维护情况</v>
      </c>
      <c r="R44" s="774" t="s">
        <v>17</v>
      </c>
      <c r="S44" s="775">
        <f t="shared" si="12"/>
        <v>100</v>
      </c>
      <c r="T44" s="774" t="s">
        <v>17</v>
      </c>
      <c r="U44" s="775">
        <f t="shared" si="13"/>
        <v>100</v>
      </c>
      <c r="V44" s="774" t="s">
        <v>17</v>
      </c>
      <c r="W44" s="775">
        <f t="shared" si="14"/>
        <v>100</v>
      </c>
      <c r="X44" s="1812"/>
      <c r="Y44" s="3233"/>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88"/>
      <c r="Q45" s="1794">
        <f t="shared" si="11"/>
        <v>111</v>
      </c>
      <c r="R45" s="770" t="s">
        <v>17</v>
      </c>
      <c r="S45" s="771">
        <f t="shared" si="12"/>
        <v>100</v>
      </c>
      <c r="T45" s="770" t="s">
        <v>17</v>
      </c>
      <c r="U45" s="771">
        <f t="shared" si="13"/>
        <v>100</v>
      </c>
      <c r="V45" s="770" t="s">
        <v>17</v>
      </c>
      <c r="W45" s="771">
        <f t="shared" si="14"/>
        <v>100</v>
      </c>
      <c r="X45" s="772"/>
      <c r="Y45" s="3233"/>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8"/>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9"/>
      <c r="Q47" s="1809">
        <f t="shared" si="11"/>
        <v>111</v>
      </c>
      <c r="R47" s="774" t="s">
        <v>17</v>
      </c>
      <c r="S47" s="775">
        <f t="shared" si="12"/>
        <v>100</v>
      </c>
      <c r="T47" s="774" t="s">
        <v>17</v>
      </c>
      <c r="U47" s="775">
        <f t="shared" si="13"/>
        <v>100</v>
      </c>
      <c r="V47" s="774" t="s">
        <v>17</v>
      </c>
      <c r="W47" s="775">
        <f t="shared" si="14"/>
        <v>100</v>
      </c>
      <c r="X47" s="1812"/>
      <c r="Y47" s="3290"/>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40" t="str">
        <f>A48</f>
        <v>成交单价（元/平方米）</v>
      </c>
      <c r="Q48" s="3215"/>
      <c r="R48" s="3286">
        <f>E48</f>
        <v>0</v>
      </c>
      <c r="S48" s="3286"/>
      <c r="T48" s="3286">
        <f>G48</f>
        <v>0</v>
      </c>
      <c r="U48" s="3286"/>
      <c r="V48" s="3286">
        <f>I48</f>
        <v>0</v>
      </c>
      <c r="W48" s="3286"/>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40" t="str">
        <f>A49</f>
        <v>比较价值（元/平方米）</v>
      </c>
      <c r="Q49" s="321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305" t="str">
        <f>A50</f>
        <v>估价对象XX用房的比较价值（楼面单价，元/平方米）</v>
      </c>
      <c r="Q50" s="3306"/>
      <c r="R50" s="3307" t="e">
        <f>IF(F1="售价",ROUND(AVERAGE(R49:V49),0),ROUND(AVERAGE(R49:V49),1))</f>
        <v>#DIV/0!</v>
      </c>
      <c r="S50" s="3307"/>
      <c r="T50" s="3307"/>
      <c r="U50" s="3307"/>
      <c r="V50" s="3307"/>
      <c r="W50" s="330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0"/>
      <c r="M5" s="1131"/>
      <c r="N5" s="1131"/>
      <c r="O5" s="1131"/>
      <c r="P5" s="3222"/>
      <c r="Q5" s="3223"/>
      <c r="R5" s="3205"/>
      <c r="S5" s="3206"/>
      <c r="T5" s="3205"/>
      <c r="U5" s="3206"/>
      <c r="V5" s="3228"/>
      <c r="W5" s="3228"/>
      <c r="X5" s="1812"/>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0"/>
      <c r="M6" s="1131"/>
      <c r="N6" s="1131"/>
      <c r="O6" s="1131"/>
      <c r="P6" s="3224"/>
      <c r="Q6" s="3225"/>
      <c r="R6" s="3205"/>
      <c r="S6" s="3206"/>
      <c r="T6" s="3226"/>
      <c r="U6" s="3227"/>
      <c r="V6" s="3228"/>
      <c r="W6" s="3228"/>
      <c r="X6" s="1812"/>
      <c r="Y6" s="3226"/>
      <c r="Z6" s="3227"/>
      <c r="AA6" s="3200"/>
      <c r="AB6" s="3200"/>
      <c r="AC6" s="3200"/>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2553</v>
      </c>
      <c r="Q8" s="3202"/>
      <c r="R8" s="770" t="s">
        <v>17</v>
      </c>
      <c r="S8" s="771">
        <f t="shared" si="0"/>
        <v>0</v>
      </c>
      <c r="T8" s="770" t="s">
        <v>17</v>
      </c>
      <c r="U8" s="771">
        <f t="shared" si="1"/>
        <v>0</v>
      </c>
      <c r="V8" s="770" t="s">
        <v>17</v>
      </c>
      <c r="W8" s="771">
        <f t="shared" si="2"/>
        <v>0</v>
      </c>
      <c r="X8" s="772"/>
      <c r="Y8" s="3201" t="s">
        <v>2553</v>
      </c>
      <c r="Z8" s="3202"/>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215" t="s">
        <v>2556</v>
      </c>
      <c r="Q9" s="1794" t="str">
        <f t="shared" ref="Q9:Q15" si="6">B9</f>
        <v>用途</v>
      </c>
      <c r="R9" s="770" t="s">
        <v>17</v>
      </c>
      <c r="S9" s="771">
        <f t="shared" si="0"/>
        <v>100</v>
      </c>
      <c r="T9" s="770" t="s">
        <v>17</v>
      </c>
      <c r="U9" s="771">
        <f t="shared" si="1"/>
        <v>100</v>
      </c>
      <c r="V9" s="770" t="s">
        <v>17</v>
      </c>
      <c r="W9" s="771">
        <f t="shared" si="2"/>
        <v>100</v>
      </c>
      <c r="X9" s="772"/>
      <c r="Y9" s="3065"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215"/>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215"/>
      <c r="Q11" s="1794" t="str">
        <f t="shared" si="6"/>
        <v>容积率</v>
      </c>
      <c r="R11" s="770" t="s">
        <v>17</v>
      </c>
      <c r="S11" s="771" t="e">
        <f t="shared" si="0"/>
        <v>#N/A</v>
      </c>
      <c r="T11" s="770" t="s">
        <v>17</v>
      </c>
      <c r="U11" s="771" t="e">
        <f t="shared" si="1"/>
        <v>#N/A</v>
      </c>
      <c r="V11" s="770" t="s">
        <v>17</v>
      </c>
      <c r="W11" s="771" t="e">
        <f t="shared" si="2"/>
        <v>#N/A</v>
      </c>
      <c r="X11" s="772"/>
      <c r="Y11" s="3065"/>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215"/>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215"/>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15"/>
      <c r="Q14" s="1794">
        <f t="shared" si="6"/>
        <v>111</v>
      </c>
      <c r="R14" s="770" t="s">
        <v>17</v>
      </c>
      <c r="S14" s="771">
        <f t="shared" si="0"/>
        <v>100</v>
      </c>
      <c r="T14" s="770" t="s">
        <v>17</v>
      </c>
      <c r="U14" s="771">
        <f t="shared" si="1"/>
        <v>100</v>
      </c>
      <c r="V14" s="770" t="s">
        <v>17</v>
      </c>
      <c r="W14" s="771">
        <f t="shared" si="2"/>
        <v>100</v>
      </c>
      <c r="X14" s="772"/>
      <c r="Y14" s="3065"/>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0" t="s">
        <v>2561</v>
      </c>
      <c r="Q15" s="1809" t="str">
        <f t="shared" si="6"/>
        <v>产业集聚程度</v>
      </c>
      <c r="R15" s="774" t="s">
        <v>17</v>
      </c>
      <c r="S15" s="775">
        <f t="shared" si="0"/>
        <v>100</v>
      </c>
      <c r="T15" s="774" t="s">
        <v>17</v>
      </c>
      <c r="U15" s="775">
        <f t="shared" si="1"/>
        <v>100</v>
      </c>
      <c r="V15" s="774" t="s">
        <v>17</v>
      </c>
      <c r="W15" s="775">
        <f t="shared" si="2"/>
        <v>100</v>
      </c>
      <c r="X15" s="1812"/>
      <c r="Y15" s="323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1"/>
      <c r="Q16" s="1809"/>
      <c r="R16" s="774"/>
      <c r="S16" s="775"/>
      <c r="T16" s="774"/>
      <c r="U16" s="775"/>
      <c r="V16" s="774"/>
      <c r="W16" s="775"/>
      <c r="X16" s="1812"/>
      <c r="Y16" s="3231"/>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1"/>
      <c r="Q17" s="1809" t="str">
        <f>B17</f>
        <v>交通便捷度</v>
      </c>
      <c r="R17" s="774" t="s">
        <v>17</v>
      </c>
      <c r="S17" s="775">
        <f>F17</f>
        <v>100</v>
      </c>
      <c r="T17" s="774" t="s">
        <v>17</v>
      </c>
      <c r="U17" s="775">
        <f>H17</f>
        <v>100</v>
      </c>
      <c r="V17" s="774" t="s">
        <v>17</v>
      </c>
      <c r="W17" s="775">
        <f>J17</f>
        <v>100</v>
      </c>
      <c r="X17" s="1812"/>
      <c r="Y17" s="323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31"/>
      <c r="Q18" s="1809"/>
      <c r="R18" s="774"/>
      <c r="S18" s="775"/>
      <c r="T18" s="774"/>
      <c r="U18" s="775"/>
      <c r="V18" s="774"/>
      <c r="W18" s="775"/>
      <c r="X18" s="1812"/>
      <c r="Y18" s="3231"/>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1"/>
      <c r="Q19" s="1809" t="str">
        <f>B19</f>
        <v>公共配套设施</v>
      </c>
      <c r="R19" s="774" t="s">
        <v>17</v>
      </c>
      <c r="S19" s="775">
        <f>F19</f>
        <v>100</v>
      </c>
      <c r="T19" s="774" t="s">
        <v>17</v>
      </c>
      <c r="U19" s="775">
        <f>H19</f>
        <v>100</v>
      </c>
      <c r="V19" s="774" t="s">
        <v>17</v>
      </c>
      <c r="W19" s="775">
        <f>J19</f>
        <v>100</v>
      </c>
      <c r="X19" s="1812"/>
      <c r="Y19" s="323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31"/>
      <c r="Q20" s="1809"/>
      <c r="R20" s="774"/>
      <c r="S20" s="775"/>
      <c r="T20" s="774"/>
      <c r="U20" s="775"/>
      <c r="V20" s="774"/>
      <c r="W20" s="775"/>
      <c r="X20" s="1812"/>
      <c r="Y20" s="3231"/>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1"/>
      <c r="Q21" s="1809" t="str">
        <f>B21</f>
        <v>基础设施水平</v>
      </c>
      <c r="R21" s="774" t="s">
        <v>17</v>
      </c>
      <c r="S21" s="775">
        <f>F21</f>
        <v>100</v>
      </c>
      <c r="T21" s="774" t="s">
        <v>17</v>
      </c>
      <c r="U21" s="775">
        <f>H21</f>
        <v>100</v>
      </c>
      <c r="V21" s="774" t="s">
        <v>17</v>
      </c>
      <c r="W21" s="775">
        <f>J21</f>
        <v>100</v>
      </c>
      <c r="X21" s="1812"/>
      <c r="Y21" s="3231"/>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31"/>
      <c r="Q22" s="1809"/>
      <c r="R22" s="774"/>
      <c r="S22" s="775"/>
      <c r="T22" s="774"/>
      <c r="U22" s="775"/>
      <c r="V22" s="774"/>
      <c r="W22" s="775"/>
      <c r="X22" s="1812"/>
      <c r="Y22" s="3231"/>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1"/>
      <c r="Q23" s="1809" t="str">
        <f>B23</f>
        <v>环境质量</v>
      </c>
      <c r="R23" s="774" t="s">
        <v>17</v>
      </c>
      <c r="S23" s="775">
        <f>F23</f>
        <v>100</v>
      </c>
      <c r="T23" s="774" t="s">
        <v>17</v>
      </c>
      <c r="U23" s="775">
        <f>H23</f>
        <v>100</v>
      </c>
      <c r="V23" s="774" t="s">
        <v>17</v>
      </c>
      <c r="W23" s="775">
        <f>J23</f>
        <v>100</v>
      </c>
      <c r="X23" s="1812"/>
      <c r="Y23" s="3231"/>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31"/>
      <c r="Q24" s="1809"/>
      <c r="R24" s="774"/>
      <c r="S24" s="775"/>
      <c r="T24" s="774"/>
      <c r="U24" s="775"/>
      <c r="V24" s="774"/>
      <c r="W24" s="775"/>
      <c r="X24" s="1812"/>
      <c r="Y24" s="323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1"/>
      <c r="Q25" s="1809">
        <f>B25</f>
        <v>111</v>
      </c>
      <c r="R25" s="774" t="s">
        <v>17</v>
      </c>
      <c r="S25" s="775">
        <f>F25</f>
        <v>100</v>
      </c>
      <c r="T25" s="774" t="s">
        <v>17</v>
      </c>
      <c r="U25" s="775">
        <f>H25</f>
        <v>100</v>
      </c>
      <c r="V25" s="774" t="s">
        <v>17</v>
      </c>
      <c r="W25" s="775">
        <f>J25</f>
        <v>100</v>
      </c>
      <c r="X25" s="1812"/>
      <c r="Y25" s="323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1"/>
      <c r="Q26" s="1809">
        <f t="shared" ref="Q26:Q40" si="11">B26</f>
        <v>111</v>
      </c>
      <c r="R26" s="774" t="s">
        <v>17</v>
      </c>
      <c r="S26" s="775">
        <f>F26</f>
        <v>100</v>
      </c>
      <c r="T26" s="774" t="s">
        <v>17</v>
      </c>
      <c r="U26" s="775">
        <f>H26</f>
        <v>100</v>
      </c>
      <c r="V26" s="774" t="s">
        <v>17</v>
      </c>
      <c r="W26" s="775">
        <f>J26</f>
        <v>100</v>
      </c>
      <c r="X26" s="1812"/>
      <c r="Y26" s="3231"/>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1"/>
      <c r="Q27" s="1794">
        <f t="shared" si="11"/>
        <v>111</v>
      </c>
      <c r="R27" s="770" t="s">
        <v>17</v>
      </c>
      <c r="S27" s="771">
        <f>F27</f>
        <v>100</v>
      </c>
      <c r="T27" s="770" t="s">
        <v>17</v>
      </c>
      <c r="U27" s="771">
        <f>H27</f>
        <v>100</v>
      </c>
      <c r="V27" s="770" t="s">
        <v>17</v>
      </c>
      <c r="W27" s="771">
        <f>J27</f>
        <v>100</v>
      </c>
      <c r="X27" s="772"/>
      <c r="Y27" s="3231"/>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1"/>
      <c r="Q28" s="1809">
        <f t="shared" si="11"/>
        <v>111</v>
      </c>
      <c r="R28" s="774" t="s">
        <v>17</v>
      </c>
      <c r="S28" s="775">
        <f t="shared" ref="S28:S40" si="12">F28</f>
        <v>100</v>
      </c>
      <c r="T28" s="774" t="s">
        <v>17</v>
      </c>
      <c r="U28" s="775">
        <f t="shared" ref="U28:U40" si="13">H28</f>
        <v>100</v>
      </c>
      <c r="V28" s="774" t="s">
        <v>17</v>
      </c>
      <c r="W28" s="775">
        <f t="shared" ref="W28:W40" si="14">J28</f>
        <v>100</v>
      </c>
      <c r="X28" s="1812"/>
      <c r="Y28" s="3231"/>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2" t="s">
        <v>2566</v>
      </c>
      <c r="Q29" s="1809" t="str">
        <f t="shared" si="11"/>
        <v>建筑类型</v>
      </c>
      <c r="R29" s="774" t="s">
        <v>17</v>
      </c>
      <c r="S29" s="775">
        <f t="shared" si="12"/>
        <v>100</v>
      </c>
      <c r="T29" s="774" t="s">
        <v>17</v>
      </c>
      <c r="U29" s="775">
        <f t="shared" si="13"/>
        <v>100</v>
      </c>
      <c r="V29" s="774" t="s">
        <v>17</v>
      </c>
      <c r="W29" s="775">
        <f t="shared" si="14"/>
        <v>100</v>
      </c>
      <c r="X29" s="1812"/>
      <c r="Y29" s="3233"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3"/>
      <c r="Q31" s="1809" t="str">
        <f t="shared" si="11"/>
        <v>建筑结构</v>
      </c>
      <c r="R31" s="774" t="s">
        <v>17</v>
      </c>
      <c r="S31" s="775">
        <f t="shared" si="12"/>
        <v>100</v>
      </c>
      <c r="T31" s="774" t="s">
        <v>17</v>
      </c>
      <c r="U31" s="775">
        <f t="shared" si="13"/>
        <v>100</v>
      </c>
      <c r="V31" s="774" t="s">
        <v>17</v>
      </c>
      <c r="W31" s="775">
        <f t="shared" si="14"/>
        <v>100</v>
      </c>
      <c r="X31" s="1812"/>
      <c r="Y31" s="3233"/>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3"/>
      <c r="Q32" s="1809" t="str">
        <f t="shared" si="11"/>
        <v>公共部分装修</v>
      </c>
      <c r="R32" s="774" t="s">
        <v>17</v>
      </c>
      <c r="S32" s="775">
        <f t="shared" si="12"/>
        <v>100</v>
      </c>
      <c r="T32" s="774" t="s">
        <v>17</v>
      </c>
      <c r="U32" s="775">
        <f t="shared" si="13"/>
        <v>100</v>
      </c>
      <c r="V32" s="774" t="s">
        <v>17</v>
      </c>
      <c r="W32" s="775">
        <f t="shared" si="14"/>
        <v>100</v>
      </c>
      <c r="X32" s="1812"/>
      <c r="Y32" s="3233"/>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3"/>
      <c r="Q33" s="1809" t="str">
        <f t="shared" si="11"/>
        <v>成新度</v>
      </c>
      <c r="R33" s="774" t="s">
        <v>17</v>
      </c>
      <c r="S33" s="775" t="e">
        <f t="shared" si="12"/>
        <v>#N/A</v>
      </c>
      <c r="T33" s="774" t="s">
        <v>17</v>
      </c>
      <c r="U33" s="775" t="e">
        <f t="shared" si="13"/>
        <v>#N/A</v>
      </c>
      <c r="V33" s="774" t="s">
        <v>17</v>
      </c>
      <c r="W33" s="775" t="e">
        <f t="shared" si="14"/>
        <v>#N/A</v>
      </c>
      <c r="X33" s="1812"/>
      <c r="Y33" s="3233"/>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3"/>
      <c r="Q34" s="1794" t="str">
        <f t="shared" si="11"/>
        <v>物业管理</v>
      </c>
      <c r="R34" s="770" t="s">
        <v>17</v>
      </c>
      <c r="S34" s="771">
        <f t="shared" si="12"/>
        <v>100</v>
      </c>
      <c r="T34" s="770" t="s">
        <v>17</v>
      </c>
      <c r="U34" s="771">
        <f t="shared" si="13"/>
        <v>100</v>
      </c>
      <c r="V34" s="770" t="s">
        <v>17</v>
      </c>
      <c r="W34" s="771">
        <f t="shared" si="14"/>
        <v>100</v>
      </c>
      <c r="X34" s="772"/>
      <c r="Y34" s="3233"/>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3" t="s">
        <v>2566</v>
      </c>
      <c r="Q35" s="1809" t="str">
        <f t="shared" si="11"/>
        <v>市政基础设施</v>
      </c>
      <c r="R35" s="774" t="s">
        <v>17</v>
      </c>
      <c r="S35" s="775">
        <f t="shared" si="12"/>
        <v>100</v>
      </c>
      <c r="T35" s="774" t="s">
        <v>17</v>
      </c>
      <c r="U35" s="775">
        <f t="shared" si="13"/>
        <v>100</v>
      </c>
      <c r="V35" s="774" t="s">
        <v>17</v>
      </c>
      <c r="W35" s="775">
        <f t="shared" si="14"/>
        <v>100</v>
      </c>
      <c r="X35" s="1812"/>
      <c r="Y35" s="3233"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3"/>
      <c r="Q36" s="1809" t="str">
        <f t="shared" si="11"/>
        <v>内部装修</v>
      </c>
      <c r="R36" s="774" t="s">
        <v>17</v>
      </c>
      <c r="S36" s="775">
        <f t="shared" si="12"/>
        <v>100</v>
      </c>
      <c r="T36" s="774" t="s">
        <v>17</v>
      </c>
      <c r="U36" s="775">
        <f t="shared" si="13"/>
        <v>100</v>
      </c>
      <c r="V36" s="774" t="s">
        <v>17</v>
      </c>
      <c r="W36" s="775">
        <f t="shared" si="14"/>
        <v>100</v>
      </c>
      <c r="X36" s="1812"/>
      <c r="Y36" s="3233"/>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3"/>
      <c r="Q37" s="1809" t="str">
        <f t="shared" si="11"/>
        <v>内部装修状况</v>
      </c>
      <c r="R37" s="774" t="s">
        <v>17</v>
      </c>
      <c r="S37" s="775">
        <f t="shared" si="12"/>
        <v>100</v>
      </c>
      <c r="T37" s="774" t="s">
        <v>17</v>
      </c>
      <c r="U37" s="775">
        <f t="shared" si="13"/>
        <v>100</v>
      </c>
      <c r="V37" s="774" t="s">
        <v>17</v>
      </c>
      <c r="W37" s="775">
        <f t="shared" si="14"/>
        <v>100</v>
      </c>
      <c r="X37" s="1812"/>
      <c r="Y37" s="323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3"/>
      <c r="Q39" s="1809">
        <f t="shared" si="11"/>
        <v>111</v>
      </c>
      <c r="R39" s="774" t="s">
        <v>17</v>
      </c>
      <c r="S39" s="775">
        <f t="shared" si="12"/>
        <v>100</v>
      </c>
      <c r="T39" s="774" t="s">
        <v>17</v>
      </c>
      <c r="U39" s="775">
        <f t="shared" si="13"/>
        <v>100</v>
      </c>
      <c r="V39" s="774" t="s">
        <v>17</v>
      </c>
      <c r="W39" s="775">
        <f t="shared" si="14"/>
        <v>100</v>
      </c>
      <c r="X39" s="1812"/>
      <c r="Y39" s="3233"/>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90"/>
      <c r="Q40" s="1809">
        <f t="shared" si="11"/>
        <v>111</v>
      </c>
      <c r="R40" s="774" t="s">
        <v>17</v>
      </c>
      <c r="S40" s="775">
        <f t="shared" si="12"/>
        <v>100</v>
      </c>
      <c r="T40" s="774" t="s">
        <v>17</v>
      </c>
      <c r="U40" s="775">
        <f t="shared" si="13"/>
        <v>100</v>
      </c>
      <c r="V40" s="774" t="s">
        <v>17</v>
      </c>
      <c r="W40" s="775">
        <f t="shared" si="14"/>
        <v>100</v>
      </c>
      <c r="X40" s="1812"/>
      <c r="Y40" s="3290"/>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15" t="str">
        <f>A41</f>
        <v>成交单价（元/平方米）</v>
      </c>
      <c r="Q41" s="3215"/>
      <c r="R41" s="3286">
        <f>E41</f>
        <v>0</v>
      </c>
      <c r="S41" s="3286"/>
      <c r="T41" s="3286">
        <f>G41</f>
        <v>0</v>
      </c>
      <c r="U41" s="3286"/>
      <c r="V41" s="3286">
        <f>I41</f>
        <v>0</v>
      </c>
      <c r="W41" s="3286"/>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15" t="str">
        <f>A42</f>
        <v>比较价值（元/平方米）</v>
      </c>
      <c r="Q42" s="321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36" t="str">
        <f>A43</f>
        <v>估价对象XX用房的比较价值（楼面单价，元/平方米）</v>
      </c>
      <c r="Q43" s="3237"/>
      <c r="R43" s="3285" t="e">
        <f>IF(F1="售价",ROUND(AVERAGE(R42:V42),0),ROUND(AVERAGE(R42:V42),1))</f>
        <v>#DIV/0!</v>
      </c>
      <c r="S43" s="3285"/>
      <c r="T43" s="3285"/>
      <c r="U43" s="3285"/>
      <c r="V43" s="3285"/>
      <c r="W43" s="328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0"/>
      <c r="M5" s="1131"/>
      <c r="N5" s="1131"/>
      <c r="O5" s="1131"/>
      <c r="P5" s="3222"/>
      <c r="Q5" s="3223"/>
      <c r="R5" s="3205"/>
      <c r="S5" s="3206"/>
      <c r="T5" s="3205"/>
      <c r="U5" s="3206"/>
      <c r="V5" s="3228"/>
      <c r="W5" s="3228"/>
      <c r="X5" s="1812"/>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0"/>
      <c r="M6" s="1131"/>
      <c r="N6" s="1131"/>
      <c r="O6" s="1131"/>
      <c r="P6" s="3224"/>
      <c r="Q6" s="3225"/>
      <c r="R6" s="3205"/>
      <c r="S6" s="3206"/>
      <c r="T6" s="3226"/>
      <c r="U6" s="3227"/>
      <c r="V6" s="3228"/>
      <c r="W6" s="3228"/>
      <c r="X6" s="1812"/>
      <c r="Y6" s="3226"/>
      <c r="Z6" s="3227"/>
      <c r="AA6" s="3200"/>
      <c r="AB6" s="3200"/>
      <c r="AC6" s="3200"/>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2550</v>
      </c>
      <c r="Q7" s="3229"/>
      <c r="R7" s="770" t="s">
        <v>17</v>
      </c>
      <c r="S7" s="771">
        <f t="shared" ref="S7:S14" si="0">F7</f>
        <v>0</v>
      </c>
      <c r="T7" s="770" t="s">
        <v>17</v>
      </c>
      <c r="U7" s="771">
        <f t="shared" ref="U7:U14" si="1">H7</f>
        <v>0</v>
      </c>
      <c r="V7" s="770" t="s">
        <v>17</v>
      </c>
      <c r="W7" s="771">
        <f t="shared" ref="W7:W14" si="2">J7</f>
        <v>0</v>
      </c>
      <c r="X7" s="772"/>
      <c r="Y7" s="3201" t="s">
        <v>2550</v>
      </c>
      <c r="Z7" s="3202"/>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2553</v>
      </c>
      <c r="Q8" s="3202"/>
      <c r="R8" s="770" t="s">
        <v>17</v>
      </c>
      <c r="S8" s="771">
        <f t="shared" si="0"/>
        <v>0</v>
      </c>
      <c r="T8" s="770" t="s">
        <v>17</v>
      </c>
      <c r="U8" s="771">
        <f t="shared" si="1"/>
        <v>0</v>
      </c>
      <c r="V8" s="770" t="s">
        <v>17</v>
      </c>
      <c r="W8" s="771">
        <f t="shared" si="2"/>
        <v>0</v>
      </c>
      <c r="X8" s="772"/>
      <c r="Y8" s="3201" t="s">
        <v>2553</v>
      </c>
      <c r="Z8" s="3202"/>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215" t="s">
        <v>2556</v>
      </c>
      <c r="Q9" s="1794" t="str">
        <f t="shared" ref="Q9:Q14" si="6">B9</f>
        <v>用途</v>
      </c>
      <c r="R9" s="770" t="s">
        <v>17</v>
      </c>
      <c r="S9" s="771">
        <f t="shared" si="0"/>
        <v>100</v>
      </c>
      <c r="T9" s="770" t="s">
        <v>17</v>
      </c>
      <c r="U9" s="771">
        <f t="shared" si="1"/>
        <v>100</v>
      </c>
      <c r="V9" s="770" t="s">
        <v>17</v>
      </c>
      <c r="W9" s="771">
        <f t="shared" si="2"/>
        <v>100</v>
      </c>
      <c r="X9" s="772"/>
      <c r="Y9" s="3065"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215"/>
      <c r="Q11" s="1794">
        <f t="shared" si="6"/>
        <v>111</v>
      </c>
      <c r="R11" s="770" t="s">
        <v>17</v>
      </c>
      <c r="S11" s="771">
        <f t="shared" si="0"/>
        <v>100</v>
      </c>
      <c r="T11" s="770" t="s">
        <v>17</v>
      </c>
      <c r="U11" s="771">
        <f t="shared" si="1"/>
        <v>100</v>
      </c>
      <c r="V11" s="770" t="s">
        <v>17</v>
      </c>
      <c r="W11" s="771">
        <f t="shared" si="2"/>
        <v>100</v>
      </c>
      <c r="X11" s="772"/>
      <c r="Y11" s="3065"/>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0" t="s">
        <v>2561</v>
      </c>
      <c r="Q14" s="1809" t="str">
        <f t="shared" si="6"/>
        <v>交通便捷度</v>
      </c>
      <c r="R14" s="774" t="s">
        <v>17</v>
      </c>
      <c r="S14" s="775">
        <f t="shared" si="0"/>
        <v>100</v>
      </c>
      <c r="T14" s="774" t="s">
        <v>17</v>
      </c>
      <c r="U14" s="775">
        <f t="shared" si="1"/>
        <v>100</v>
      </c>
      <c r="V14" s="774" t="s">
        <v>17</v>
      </c>
      <c r="W14" s="775">
        <f t="shared" si="2"/>
        <v>100</v>
      </c>
      <c r="X14" s="1812"/>
      <c r="Y14" s="323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1"/>
      <c r="Q15" s="1809"/>
      <c r="R15" s="774"/>
      <c r="S15" s="775"/>
      <c r="T15" s="774"/>
      <c r="U15" s="775"/>
      <c r="V15" s="774"/>
      <c r="W15" s="775"/>
      <c r="X15" s="1812"/>
      <c r="Y15" s="3231"/>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1"/>
      <c r="Q16" s="1809" t="str">
        <f>B16</f>
        <v>公共配套设施</v>
      </c>
      <c r="R16" s="774" t="s">
        <v>17</v>
      </c>
      <c r="S16" s="775">
        <f>F16</f>
        <v>100</v>
      </c>
      <c r="T16" s="774" t="s">
        <v>17</v>
      </c>
      <c r="U16" s="775">
        <f>H16</f>
        <v>100</v>
      </c>
      <c r="V16" s="774" t="s">
        <v>17</v>
      </c>
      <c r="W16" s="775">
        <f>J16</f>
        <v>100</v>
      </c>
      <c r="X16" s="1812"/>
      <c r="Y16" s="3231"/>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31"/>
      <c r="Q17" s="1809"/>
      <c r="R17" s="774"/>
      <c r="S17" s="775"/>
      <c r="T17" s="774"/>
      <c r="U17" s="775"/>
      <c r="V17" s="774"/>
      <c r="W17" s="775"/>
      <c r="X17" s="1812"/>
      <c r="Y17" s="3231"/>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1"/>
      <c r="Q18" s="1809" t="str">
        <f>B18</f>
        <v>基础设施水平</v>
      </c>
      <c r="R18" s="774" t="s">
        <v>17</v>
      </c>
      <c r="S18" s="775">
        <f>F18</f>
        <v>100</v>
      </c>
      <c r="T18" s="774" t="s">
        <v>17</v>
      </c>
      <c r="U18" s="775">
        <f>H18</f>
        <v>100</v>
      </c>
      <c r="V18" s="774" t="s">
        <v>17</v>
      </c>
      <c r="W18" s="775">
        <f>J18</f>
        <v>100</v>
      </c>
      <c r="X18" s="1812"/>
      <c r="Y18" s="3231"/>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31"/>
      <c r="Q19" s="1809"/>
      <c r="R19" s="774"/>
      <c r="S19" s="775"/>
      <c r="T19" s="774"/>
      <c r="U19" s="775"/>
      <c r="V19" s="774"/>
      <c r="W19" s="775"/>
      <c r="X19" s="1812"/>
      <c r="Y19" s="3231"/>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1"/>
      <c r="Q20" s="1809" t="str">
        <f>B20</f>
        <v>自然及人文环境</v>
      </c>
      <c r="R20" s="774" t="s">
        <v>17</v>
      </c>
      <c r="S20" s="775">
        <f>F20</f>
        <v>100</v>
      </c>
      <c r="T20" s="774" t="s">
        <v>17</v>
      </c>
      <c r="U20" s="775">
        <f>H20</f>
        <v>100</v>
      </c>
      <c r="V20" s="774" t="s">
        <v>17</v>
      </c>
      <c r="W20" s="775">
        <f>J20</f>
        <v>100</v>
      </c>
      <c r="X20" s="1812"/>
      <c r="Y20" s="323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1"/>
      <c r="Q21" s="1809"/>
      <c r="R21" s="774"/>
      <c r="S21" s="775"/>
      <c r="T21" s="774"/>
      <c r="U21" s="775"/>
      <c r="V21" s="774"/>
      <c r="W21" s="775"/>
      <c r="X21" s="1812"/>
      <c r="Y21" s="323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1"/>
      <c r="Q22" s="1809" t="str">
        <f>B22</f>
        <v>楼层</v>
      </c>
      <c r="R22" s="774" t="s">
        <v>17</v>
      </c>
      <c r="S22" s="775">
        <f>F22</f>
        <v>100</v>
      </c>
      <c r="T22" s="774" t="s">
        <v>17</v>
      </c>
      <c r="U22" s="775">
        <f>H22</f>
        <v>100</v>
      </c>
      <c r="V22" s="774" t="s">
        <v>17</v>
      </c>
      <c r="W22" s="775">
        <f>J22</f>
        <v>100</v>
      </c>
      <c r="X22" s="1812"/>
      <c r="Y22" s="323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1"/>
      <c r="Q23" s="1809">
        <f>B23</f>
        <v>111</v>
      </c>
      <c r="R23" s="774" t="s">
        <v>17</v>
      </c>
      <c r="S23" s="775">
        <f>F23</f>
        <v>100</v>
      </c>
      <c r="T23" s="774" t="s">
        <v>17</v>
      </c>
      <c r="U23" s="775">
        <f>H23</f>
        <v>100</v>
      </c>
      <c r="V23" s="774" t="s">
        <v>17</v>
      </c>
      <c r="W23" s="775">
        <f>J23</f>
        <v>100</v>
      </c>
      <c r="X23" s="1812"/>
      <c r="Y23" s="323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1"/>
      <c r="Q24" s="1809">
        <f t="shared" ref="Q24:Q36" si="11">B24</f>
        <v>111</v>
      </c>
      <c r="R24" s="774" t="s">
        <v>17</v>
      </c>
      <c r="S24" s="775">
        <f>F24</f>
        <v>100</v>
      </c>
      <c r="T24" s="774" t="s">
        <v>17</v>
      </c>
      <c r="U24" s="775">
        <f>H24</f>
        <v>100</v>
      </c>
      <c r="V24" s="774" t="s">
        <v>17</v>
      </c>
      <c r="W24" s="775">
        <f>J24</f>
        <v>100</v>
      </c>
      <c r="X24" s="1812"/>
      <c r="Y24" s="3231"/>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1"/>
      <c r="Q25" s="1794">
        <f t="shared" si="11"/>
        <v>111</v>
      </c>
      <c r="R25" s="770" t="s">
        <v>17</v>
      </c>
      <c r="S25" s="771">
        <f>F25</f>
        <v>100</v>
      </c>
      <c r="T25" s="770" t="s">
        <v>17</v>
      </c>
      <c r="U25" s="771">
        <f>H25</f>
        <v>100</v>
      </c>
      <c r="V25" s="770" t="s">
        <v>17</v>
      </c>
      <c r="W25" s="771">
        <f>J25</f>
        <v>100</v>
      </c>
      <c r="X25" s="772"/>
      <c r="Y25" s="3231"/>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3"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3"/>
      <c r="Q28" s="1809" t="str">
        <f t="shared" si="11"/>
        <v>公共部分装修</v>
      </c>
      <c r="R28" s="774" t="s">
        <v>17</v>
      </c>
      <c r="S28" s="775">
        <f t="shared" si="12"/>
        <v>100</v>
      </c>
      <c r="T28" s="774" t="s">
        <v>17</v>
      </c>
      <c r="U28" s="775">
        <f t="shared" si="13"/>
        <v>100</v>
      </c>
      <c r="V28" s="774" t="s">
        <v>17</v>
      </c>
      <c r="W28" s="775">
        <f t="shared" si="14"/>
        <v>100</v>
      </c>
      <c r="X28" s="1812"/>
      <c r="Y28" s="3233"/>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3"/>
      <c r="Q29" s="1809" t="str">
        <f t="shared" si="11"/>
        <v>成新率</v>
      </c>
      <c r="R29" s="774" t="s">
        <v>17</v>
      </c>
      <c r="S29" s="775" t="e">
        <f t="shared" si="12"/>
        <v>#N/A</v>
      </c>
      <c r="T29" s="774" t="s">
        <v>17</v>
      </c>
      <c r="U29" s="775" t="e">
        <f t="shared" si="13"/>
        <v>#N/A</v>
      </c>
      <c r="V29" s="774" t="s">
        <v>17</v>
      </c>
      <c r="W29" s="775" t="e">
        <f t="shared" si="14"/>
        <v>#N/A</v>
      </c>
      <c r="X29" s="1812"/>
      <c r="Y29" s="3233"/>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3"/>
      <c r="Q30" s="1809" t="str">
        <f t="shared" si="11"/>
        <v>物业等级</v>
      </c>
      <c r="R30" s="774" t="s">
        <v>17</v>
      </c>
      <c r="S30" s="775">
        <f t="shared" si="12"/>
        <v>100</v>
      </c>
      <c r="T30" s="774" t="s">
        <v>17</v>
      </c>
      <c r="U30" s="775">
        <f t="shared" si="13"/>
        <v>100</v>
      </c>
      <c r="V30" s="774" t="s">
        <v>17</v>
      </c>
      <c r="W30" s="775">
        <f t="shared" si="14"/>
        <v>100</v>
      </c>
      <c r="X30" s="1812"/>
      <c r="Y30" s="3233"/>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3"/>
      <c r="Q31" s="1794" t="str">
        <f t="shared" si="11"/>
        <v>停车位面积</v>
      </c>
      <c r="R31" s="770" t="s">
        <v>17</v>
      </c>
      <c r="S31" s="771" t="e">
        <f t="shared" si="12"/>
        <v>#N/A</v>
      </c>
      <c r="T31" s="770" t="s">
        <v>17</v>
      </c>
      <c r="U31" s="771" t="e">
        <f t="shared" si="13"/>
        <v>#N/A</v>
      </c>
      <c r="V31" s="770" t="s">
        <v>17</v>
      </c>
      <c r="W31" s="771" t="e">
        <f t="shared" si="14"/>
        <v>#N/A</v>
      </c>
      <c r="X31" s="772"/>
      <c r="Y31" s="3233"/>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3" t="s">
        <v>2566</v>
      </c>
      <c r="Q32" s="1809" t="str">
        <f t="shared" si="11"/>
        <v>车位类型</v>
      </c>
      <c r="R32" s="774" t="s">
        <v>17</v>
      </c>
      <c r="S32" s="775">
        <f t="shared" si="12"/>
        <v>100</v>
      </c>
      <c r="T32" s="774" t="s">
        <v>17</v>
      </c>
      <c r="U32" s="775">
        <f t="shared" si="13"/>
        <v>100</v>
      </c>
      <c r="V32" s="774" t="s">
        <v>17</v>
      </c>
      <c r="W32" s="775">
        <f t="shared" si="14"/>
        <v>100</v>
      </c>
      <c r="X32" s="1812"/>
      <c r="Y32" s="3233"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3"/>
      <c r="Q33" s="1809" t="str">
        <f t="shared" si="11"/>
        <v>是否直接入户</v>
      </c>
      <c r="R33" s="774" t="s">
        <v>17</v>
      </c>
      <c r="S33" s="775">
        <f t="shared" si="12"/>
        <v>100</v>
      </c>
      <c r="T33" s="774" t="s">
        <v>17</v>
      </c>
      <c r="U33" s="775">
        <f t="shared" si="13"/>
        <v>100</v>
      </c>
      <c r="V33" s="774" t="s">
        <v>17</v>
      </c>
      <c r="W33" s="775">
        <f t="shared" si="14"/>
        <v>100</v>
      </c>
      <c r="X33" s="1812"/>
      <c r="Y33" s="323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3"/>
      <c r="Q34" s="1809">
        <f t="shared" si="11"/>
        <v>111</v>
      </c>
      <c r="R34" s="774" t="s">
        <v>17</v>
      </c>
      <c r="S34" s="775">
        <f t="shared" si="12"/>
        <v>100</v>
      </c>
      <c r="T34" s="774" t="s">
        <v>17</v>
      </c>
      <c r="U34" s="775">
        <f t="shared" si="13"/>
        <v>100</v>
      </c>
      <c r="V34" s="774" t="s">
        <v>17</v>
      </c>
      <c r="W34" s="775">
        <f t="shared" si="14"/>
        <v>100</v>
      </c>
      <c r="X34" s="1812"/>
      <c r="Y34" s="323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3"/>
      <c r="Q36" s="1809">
        <f t="shared" si="11"/>
        <v>111</v>
      </c>
      <c r="R36" s="774" t="s">
        <v>17</v>
      </c>
      <c r="S36" s="775">
        <f t="shared" si="12"/>
        <v>100</v>
      </c>
      <c r="T36" s="774" t="s">
        <v>17</v>
      </c>
      <c r="U36" s="775">
        <f t="shared" si="13"/>
        <v>100</v>
      </c>
      <c r="V36" s="774" t="s">
        <v>17</v>
      </c>
      <c r="W36" s="775">
        <f t="shared" si="14"/>
        <v>100</v>
      </c>
      <c r="X36" s="1812"/>
      <c r="Y36" s="3233"/>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215" t="str">
        <f>A37</f>
        <v>成交单价</v>
      </c>
      <c r="Q37" s="3215"/>
      <c r="R37" s="3286">
        <f>E37</f>
        <v>0</v>
      </c>
      <c r="S37" s="3286"/>
      <c r="T37" s="3286">
        <f>G37</f>
        <v>0</v>
      </c>
      <c r="U37" s="3286"/>
      <c r="V37" s="3286">
        <f>I37</f>
        <v>0</v>
      </c>
      <c r="W37" s="3286"/>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15" t="str">
        <f>A38</f>
        <v>比较价值（元/平方米）</v>
      </c>
      <c r="Q38" s="321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36" t="str">
        <f>A39</f>
        <v>估价对象XX用房的比较价值（楼面单价，元/平方米）</v>
      </c>
      <c r="Q39" s="3237"/>
      <c r="R39" s="3285" t="e">
        <f>IF(F1="售价",ROUND(AVERAGE(R38:V38),0),ROUND(AVERAGE(R38:V38),1))</f>
        <v>#DIV/0!</v>
      </c>
      <c r="S39" s="3285"/>
      <c r="T39" s="3285"/>
      <c r="U39" s="3285"/>
      <c r="V39" s="3285"/>
      <c r="W39" s="328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0"/>
      <c r="M5" s="1131"/>
      <c r="N5" s="1131"/>
      <c r="O5" s="1131"/>
      <c r="P5" s="3222"/>
      <c r="Q5" s="3223"/>
      <c r="R5" s="3205"/>
      <c r="S5" s="3206"/>
      <c r="T5" s="3205"/>
      <c r="U5" s="3206"/>
      <c r="V5" s="3228"/>
      <c r="W5" s="3228"/>
      <c r="X5" s="1812"/>
      <c r="Y5" s="3205"/>
      <c r="Z5" s="3206"/>
      <c r="AA5" s="3199"/>
      <c r="AB5" s="3199"/>
      <c r="AC5" s="3199"/>
    </row>
    <row r="6" spans="1:29" ht="15.75" thickBot="1">
      <c r="A6" s="406"/>
      <c r="B6" s="407"/>
      <c r="C6" s="3211" t="s">
        <v>2547</v>
      </c>
      <c r="D6" s="3212"/>
      <c r="E6" s="3213" t="s">
        <v>2547</v>
      </c>
      <c r="F6" s="3214"/>
      <c r="G6" s="3211" t="s">
        <v>2547</v>
      </c>
      <c r="H6" s="3212"/>
      <c r="I6" s="3211" t="s">
        <v>2547</v>
      </c>
      <c r="J6" s="3212"/>
      <c r="K6" s="610" t="s">
        <v>2548</v>
      </c>
      <c r="L6" s="1130"/>
      <c r="M6" s="1131"/>
      <c r="N6" s="1131"/>
      <c r="O6" s="1131"/>
      <c r="P6" s="3224"/>
      <c r="Q6" s="3225"/>
      <c r="R6" s="3205"/>
      <c r="S6" s="3206"/>
      <c r="T6" s="3226"/>
      <c r="U6" s="3227"/>
      <c r="V6" s="3228"/>
      <c r="W6" s="3228"/>
      <c r="X6" s="1812"/>
      <c r="Y6" s="3226"/>
      <c r="Z6" s="3227"/>
      <c r="AA6" s="3200"/>
      <c r="AB6" s="3200"/>
      <c r="AC6" s="3200"/>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1" t="s">
        <v>2550</v>
      </c>
      <c r="Q7" s="3229"/>
      <c r="R7" s="770" t="s">
        <v>17</v>
      </c>
      <c r="S7" s="771">
        <f t="shared" ref="S7:S14" si="0">F7</f>
        <v>0</v>
      </c>
      <c r="T7" s="770" t="s">
        <v>17</v>
      </c>
      <c r="U7" s="771">
        <f t="shared" ref="U7:U14" si="1">H7</f>
        <v>0</v>
      </c>
      <c r="V7" s="770" t="s">
        <v>17</v>
      </c>
      <c r="W7" s="771">
        <f t="shared" ref="W7:W14" si="2">J7</f>
        <v>0</v>
      </c>
      <c r="X7" s="772"/>
      <c r="Y7" s="3201" t="s">
        <v>2550</v>
      </c>
      <c r="Z7" s="3202"/>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2553</v>
      </c>
      <c r="Q8" s="3202"/>
      <c r="R8" s="770" t="s">
        <v>17</v>
      </c>
      <c r="S8" s="771">
        <f t="shared" si="0"/>
        <v>0</v>
      </c>
      <c r="T8" s="770" t="s">
        <v>17</v>
      </c>
      <c r="U8" s="771">
        <f t="shared" si="1"/>
        <v>0</v>
      </c>
      <c r="V8" s="770" t="s">
        <v>17</v>
      </c>
      <c r="W8" s="771">
        <f t="shared" si="2"/>
        <v>0</v>
      </c>
      <c r="X8" s="772"/>
      <c r="Y8" s="3201" t="s">
        <v>2553</v>
      </c>
      <c r="Z8" s="3202"/>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215" t="s">
        <v>2556</v>
      </c>
      <c r="Q9" s="1794" t="str">
        <f t="shared" ref="Q9:Q14" si="6">B9</f>
        <v>用途</v>
      </c>
      <c r="R9" s="770" t="s">
        <v>17</v>
      </c>
      <c r="S9" s="771">
        <f t="shared" si="0"/>
        <v>100</v>
      </c>
      <c r="T9" s="770" t="s">
        <v>17</v>
      </c>
      <c r="U9" s="771">
        <f t="shared" si="1"/>
        <v>100</v>
      </c>
      <c r="V9" s="770" t="s">
        <v>17</v>
      </c>
      <c r="W9" s="771">
        <f t="shared" si="2"/>
        <v>100</v>
      </c>
      <c r="X9" s="772"/>
      <c r="Y9" s="3065"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215"/>
      <c r="Q10" s="1794" t="str">
        <f t="shared" si="6"/>
        <v>土地使用年限（年）</v>
      </c>
      <c r="R10" s="770" t="s">
        <v>17</v>
      </c>
      <c r="S10" s="771">
        <f t="shared" si="0"/>
        <v>100</v>
      </c>
      <c r="T10" s="770" t="s">
        <v>17</v>
      </c>
      <c r="U10" s="771">
        <f t="shared" si="1"/>
        <v>100</v>
      </c>
      <c r="V10" s="770" t="s">
        <v>17</v>
      </c>
      <c r="W10" s="771">
        <f t="shared" si="2"/>
        <v>100</v>
      </c>
      <c r="X10" s="772"/>
      <c r="Y10" s="3065"/>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215"/>
      <c r="Q11" s="1794">
        <f t="shared" si="6"/>
        <v>111</v>
      </c>
      <c r="R11" s="770" t="s">
        <v>17</v>
      </c>
      <c r="S11" s="771">
        <f t="shared" si="0"/>
        <v>100</v>
      </c>
      <c r="T11" s="770" t="s">
        <v>17</v>
      </c>
      <c r="U11" s="771">
        <f t="shared" si="1"/>
        <v>100</v>
      </c>
      <c r="V11" s="770" t="s">
        <v>17</v>
      </c>
      <c r="W11" s="771">
        <f t="shared" si="2"/>
        <v>100</v>
      </c>
      <c r="X11" s="772"/>
      <c r="Y11" s="3065"/>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215"/>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15"/>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0" t="s">
        <v>2561</v>
      </c>
      <c r="Q14" s="1809" t="str">
        <f t="shared" si="6"/>
        <v>交通便捷度</v>
      </c>
      <c r="R14" s="774" t="s">
        <v>17</v>
      </c>
      <c r="S14" s="775">
        <f t="shared" si="0"/>
        <v>100</v>
      </c>
      <c r="T14" s="774" t="s">
        <v>17</v>
      </c>
      <c r="U14" s="775">
        <f t="shared" si="1"/>
        <v>100</v>
      </c>
      <c r="V14" s="774" t="s">
        <v>17</v>
      </c>
      <c r="W14" s="775">
        <f t="shared" si="2"/>
        <v>100</v>
      </c>
      <c r="X14" s="1812"/>
      <c r="Y14" s="323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1"/>
      <c r="Q15" s="1809"/>
      <c r="R15" s="774"/>
      <c r="S15" s="775"/>
      <c r="T15" s="774"/>
      <c r="U15" s="775"/>
      <c r="V15" s="774"/>
      <c r="W15" s="775"/>
      <c r="X15" s="1812"/>
      <c r="Y15" s="3231"/>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1"/>
      <c r="Q16" s="1809" t="str">
        <f>B16</f>
        <v>公共配套设施</v>
      </c>
      <c r="R16" s="774" t="s">
        <v>17</v>
      </c>
      <c r="S16" s="775">
        <f>F16</f>
        <v>100</v>
      </c>
      <c r="T16" s="774" t="s">
        <v>17</v>
      </c>
      <c r="U16" s="775">
        <f>H16</f>
        <v>100</v>
      </c>
      <c r="V16" s="774" t="s">
        <v>17</v>
      </c>
      <c r="W16" s="775">
        <f>J16</f>
        <v>100</v>
      </c>
      <c r="X16" s="1812"/>
      <c r="Y16" s="3231"/>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31"/>
      <c r="Q17" s="1809"/>
      <c r="R17" s="774"/>
      <c r="S17" s="775"/>
      <c r="T17" s="774"/>
      <c r="U17" s="775"/>
      <c r="V17" s="774"/>
      <c r="W17" s="775"/>
      <c r="X17" s="1812"/>
      <c r="Y17" s="3231"/>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1"/>
      <c r="Q18" s="1809" t="str">
        <f>B18</f>
        <v>基础设施水平</v>
      </c>
      <c r="R18" s="774" t="s">
        <v>17</v>
      </c>
      <c r="S18" s="775">
        <f>F18</f>
        <v>100</v>
      </c>
      <c r="T18" s="774" t="s">
        <v>17</v>
      </c>
      <c r="U18" s="775">
        <f>H18</f>
        <v>100</v>
      </c>
      <c r="V18" s="774" t="s">
        <v>17</v>
      </c>
      <c r="W18" s="775">
        <f>J18</f>
        <v>100</v>
      </c>
      <c r="X18" s="1812"/>
      <c r="Y18" s="3231"/>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31"/>
      <c r="Q19" s="1809"/>
      <c r="R19" s="774"/>
      <c r="S19" s="775"/>
      <c r="T19" s="774"/>
      <c r="U19" s="775"/>
      <c r="V19" s="774"/>
      <c r="W19" s="775"/>
      <c r="X19" s="1812"/>
      <c r="Y19" s="3231"/>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1"/>
      <c r="Q20" s="1809" t="str">
        <f>B20</f>
        <v>自然及人文环境</v>
      </c>
      <c r="R20" s="774" t="s">
        <v>17</v>
      </c>
      <c r="S20" s="775">
        <f>F20</f>
        <v>100</v>
      </c>
      <c r="T20" s="774" t="s">
        <v>17</v>
      </c>
      <c r="U20" s="775">
        <f>H20</f>
        <v>100</v>
      </c>
      <c r="V20" s="774" t="s">
        <v>17</v>
      </c>
      <c r="W20" s="775">
        <f>J20</f>
        <v>100</v>
      </c>
      <c r="X20" s="1812"/>
      <c r="Y20" s="323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1"/>
      <c r="Q21" s="1809"/>
      <c r="R21" s="774"/>
      <c r="S21" s="775"/>
      <c r="T21" s="774"/>
      <c r="U21" s="775"/>
      <c r="V21" s="774"/>
      <c r="W21" s="775"/>
      <c r="X21" s="1812"/>
      <c r="Y21" s="323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1"/>
      <c r="Q22" s="1809" t="str">
        <f>B22</f>
        <v>楼层</v>
      </c>
      <c r="R22" s="774" t="s">
        <v>17</v>
      </c>
      <c r="S22" s="775">
        <f>F22</f>
        <v>100</v>
      </c>
      <c r="T22" s="774" t="s">
        <v>17</v>
      </c>
      <c r="U22" s="775">
        <f>H22</f>
        <v>100</v>
      </c>
      <c r="V22" s="774" t="s">
        <v>17</v>
      </c>
      <c r="W22" s="775">
        <f>J22</f>
        <v>100</v>
      </c>
      <c r="X22" s="1812"/>
      <c r="Y22" s="3231"/>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1"/>
      <c r="Q23" s="1809">
        <f>B23</f>
        <v>111</v>
      </c>
      <c r="R23" s="774" t="s">
        <v>17</v>
      </c>
      <c r="S23" s="775">
        <f>F23</f>
        <v>100</v>
      </c>
      <c r="T23" s="774" t="s">
        <v>17</v>
      </c>
      <c r="U23" s="775">
        <f>H23</f>
        <v>100</v>
      </c>
      <c r="V23" s="774" t="s">
        <v>17</v>
      </c>
      <c r="W23" s="775">
        <f>J23</f>
        <v>100</v>
      </c>
      <c r="X23" s="1812"/>
      <c r="Y23" s="3231"/>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1"/>
      <c r="Q24" s="1809">
        <f t="shared" ref="Q24:Q34" si="11">B24</f>
        <v>111</v>
      </c>
      <c r="R24" s="774" t="s">
        <v>17</v>
      </c>
      <c r="S24" s="775">
        <f>F24</f>
        <v>100</v>
      </c>
      <c r="T24" s="774" t="s">
        <v>17</v>
      </c>
      <c r="U24" s="775">
        <f>H24</f>
        <v>100</v>
      </c>
      <c r="V24" s="774" t="s">
        <v>17</v>
      </c>
      <c r="W24" s="775">
        <f>J24</f>
        <v>100</v>
      </c>
      <c r="X24" s="1812"/>
      <c r="Y24" s="3231"/>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1"/>
      <c r="Q25" s="1794">
        <f t="shared" si="11"/>
        <v>111</v>
      </c>
      <c r="R25" s="770" t="s">
        <v>17</v>
      </c>
      <c r="S25" s="771">
        <f>F25</f>
        <v>100</v>
      </c>
      <c r="T25" s="770" t="s">
        <v>17</v>
      </c>
      <c r="U25" s="771">
        <f>H25</f>
        <v>100</v>
      </c>
      <c r="V25" s="770" t="s">
        <v>17</v>
      </c>
      <c r="W25" s="771">
        <f>J25</f>
        <v>100</v>
      </c>
      <c r="X25" s="772"/>
      <c r="Y25" s="3231"/>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2"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3"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3"/>
      <c r="Q28" s="1809" t="str">
        <f t="shared" si="11"/>
        <v>物业等级</v>
      </c>
      <c r="R28" s="774" t="s">
        <v>17</v>
      </c>
      <c r="S28" s="775">
        <f t="shared" si="12"/>
        <v>100</v>
      </c>
      <c r="T28" s="774" t="s">
        <v>17</v>
      </c>
      <c r="U28" s="775">
        <f t="shared" si="13"/>
        <v>100</v>
      </c>
      <c r="V28" s="774" t="s">
        <v>17</v>
      </c>
      <c r="W28" s="775">
        <f t="shared" si="14"/>
        <v>100</v>
      </c>
      <c r="X28" s="1812"/>
      <c r="Y28" s="3233"/>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3"/>
      <c r="Q29" s="1809" t="str">
        <f t="shared" si="11"/>
        <v>有无电梯</v>
      </c>
      <c r="R29" s="774" t="s">
        <v>17</v>
      </c>
      <c r="S29" s="775">
        <f t="shared" si="12"/>
        <v>100</v>
      </c>
      <c r="T29" s="774" t="s">
        <v>17</v>
      </c>
      <c r="U29" s="775">
        <f t="shared" si="13"/>
        <v>100</v>
      </c>
      <c r="V29" s="774" t="s">
        <v>17</v>
      </c>
      <c r="W29" s="775">
        <f t="shared" si="14"/>
        <v>100</v>
      </c>
      <c r="X29" s="1812"/>
      <c r="Y29" s="3233"/>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3"/>
      <c r="Q30" s="1809" t="str">
        <f t="shared" si="11"/>
        <v>建筑面积</v>
      </c>
      <c r="R30" s="774" t="s">
        <v>17</v>
      </c>
      <c r="S30" s="775" t="e">
        <f t="shared" si="12"/>
        <v>#N/A</v>
      </c>
      <c r="T30" s="774" t="s">
        <v>17</v>
      </c>
      <c r="U30" s="775" t="e">
        <f t="shared" si="13"/>
        <v>#N/A</v>
      </c>
      <c r="V30" s="774" t="s">
        <v>17</v>
      </c>
      <c r="W30" s="775" t="e">
        <f t="shared" si="14"/>
        <v>#N/A</v>
      </c>
      <c r="X30" s="1812"/>
      <c r="Y30" s="3233"/>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3"/>
      <c r="Q31" s="1794" t="str">
        <f t="shared" si="11"/>
        <v>是否封闭</v>
      </c>
      <c r="R31" s="770" t="s">
        <v>17</v>
      </c>
      <c r="S31" s="771">
        <f t="shared" si="12"/>
        <v>100</v>
      </c>
      <c r="T31" s="770" t="s">
        <v>17</v>
      </c>
      <c r="U31" s="771">
        <f t="shared" si="13"/>
        <v>100</v>
      </c>
      <c r="V31" s="770" t="s">
        <v>17</v>
      </c>
      <c r="W31" s="771">
        <f t="shared" si="14"/>
        <v>100</v>
      </c>
      <c r="X31" s="772"/>
      <c r="Y31" s="3233"/>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3" t="s">
        <v>2566</v>
      </c>
      <c r="Q32" s="1809">
        <f t="shared" si="11"/>
        <v>111</v>
      </c>
      <c r="R32" s="774" t="s">
        <v>17</v>
      </c>
      <c r="S32" s="775">
        <f t="shared" si="12"/>
        <v>100</v>
      </c>
      <c r="T32" s="774" t="s">
        <v>17</v>
      </c>
      <c r="U32" s="775">
        <f t="shared" si="13"/>
        <v>100</v>
      </c>
      <c r="V32" s="774" t="s">
        <v>17</v>
      </c>
      <c r="W32" s="775">
        <f t="shared" si="14"/>
        <v>100</v>
      </c>
      <c r="X32" s="1812"/>
      <c r="Y32" s="3233"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3"/>
      <c r="Q33" s="1809">
        <f t="shared" si="11"/>
        <v>111</v>
      </c>
      <c r="R33" s="774" t="s">
        <v>17</v>
      </c>
      <c r="S33" s="775">
        <f t="shared" si="12"/>
        <v>100</v>
      </c>
      <c r="T33" s="774" t="s">
        <v>17</v>
      </c>
      <c r="U33" s="775">
        <f t="shared" si="13"/>
        <v>100</v>
      </c>
      <c r="V33" s="774" t="s">
        <v>17</v>
      </c>
      <c r="W33" s="775">
        <f t="shared" si="14"/>
        <v>100</v>
      </c>
      <c r="X33" s="1812"/>
      <c r="Y33" s="3233"/>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3"/>
      <c r="Q34" s="1809">
        <f t="shared" si="11"/>
        <v>111</v>
      </c>
      <c r="R34" s="774" t="s">
        <v>17</v>
      </c>
      <c r="S34" s="775">
        <f t="shared" si="12"/>
        <v>100</v>
      </c>
      <c r="T34" s="774" t="s">
        <v>17</v>
      </c>
      <c r="U34" s="775">
        <f t="shared" si="13"/>
        <v>100</v>
      </c>
      <c r="V34" s="774" t="s">
        <v>17</v>
      </c>
      <c r="W34" s="775">
        <f t="shared" si="14"/>
        <v>100</v>
      </c>
      <c r="X34" s="1812"/>
      <c r="Y34" s="3233"/>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15" t="str">
        <f>A35</f>
        <v>成交单价（元/平方米）</v>
      </c>
      <c r="Q35" s="3215"/>
      <c r="R35" s="3286">
        <f>E35</f>
        <v>0</v>
      </c>
      <c r="S35" s="3286"/>
      <c r="T35" s="3286">
        <f>G35</f>
        <v>0</v>
      </c>
      <c r="U35" s="3286"/>
      <c r="V35" s="3286">
        <f>I35</f>
        <v>0</v>
      </c>
      <c r="W35" s="3286"/>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15" t="str">
        <f>A36</f>
        <v>比较价值（元/平方米）</v>
      </c>
      <c r="Q36" s="321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36" t="str">
        <f>A37</f>
        <v>估价对象XX用房的比较价值（楼面单价，元/平方米）</v>
      </c>
      <c r="Q37" s="3237"/>
      <c r="R37" s="3285" t="e">
        <f>IF(F1="售价",ROUND(AVERAGE(R36:V36),0),ROUND(AVERAGE(R36:V36),1))</f>
        <v>#DIV/0!</v>
      </c>
      <c r="S37" s="3285"/>
      <c r="T37" s="3285"/>
      <c r="U37" s="3285"/>
      <c r="V37" s="3285"/>
      <c r="W37" s="328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6" t="s">
        <v>2647</v>
      </c>
      <c r="D4" s="3217"/>
      <c r="E4" s="3218" t="s">
        <v>2648</v>
      </c>
      <c r="F4" s="3219"/>
      <c r="G4" s="3216" t="s">
        <v>2649</v>
      </c>
      <c r="H4" s="3217"/>
      <c r="I4" s="3216" t="s">
        <v>2650</v>
      </c>
      <c r="J4" s="3217"/>
      <c r="K4" s="610" t="s">
        <v>2651</v>
      </c>
      <c r="L4" s="1130"/>
      <c r="M4" s="1131"/>
      <c r="N4" s="1131"/>
      <c r="O4" s="1131"/>
      <c r="P4" s="3220" t="s">
        <v>2652</v>
      </c>
      <c r="Q4" s="3221"/>
      <c r="R4" s="3203" t="s">
        <v>2648</v>
      </c>
      <c r="S4" s="3204"/>
      <c r="T4" s="3203" t="s">
        <v>2649</v>
      </c>
      <c r="U4" s="3204"/>
      <c r="V4" s="3228" t="s">
        <v>2650</v>
      </c>
      <c r="W4" s="3228"/>
      <c r="X4" s="1812"/>
      <c r="Y4" s="3203" t="s">
        <v>2652</v>
      </c>
      <c r="Z4" s="3204"/>
      <c r="AA4" s="3198" t="s">
        <v>2648</v>
      </c>
      <c r="AB4" s="3199" t="s">
        <v>2649</v>
      </c>
      <c r="AC4" s="3198" t="s">
        <v>2650</v>
      </c>
    </row>
    <row r="5" spans="1:29" ht="15">
      <c r="A5" s="404"/>
      <c r="B5" s="405"/>
      <c r="C5" s="3209" t="s">
        <v>2543</v>
      </c>
      <c r="D5" s="3210"/>
      <c r="E5" s="3207" t="s">
        <v>2544</v>
      </c>
      <c r="F5" s="3208"/>
      <c r="G5" s="3209" t="s">
        <v>2545</v>
      </c>
      <c r="H5" s="3210"/>
      <c r="I5" s="3209" t="s">
        <v>2546</v>
      </c>
      <c r="J5" s="3210"/>
      <c r="K5" s="610"/>
      <c r="L5" s="1130"/>
      <c r="M5" s="1131"/>
      <c r="N5" s="1131"/>
      <c r="O5" s="1131"/>
      <c r="P5" s="3222"/>
      <c r="Q5" s="3223"/>
      <c r="R5" s="3205"/>
      <c r="S5" s="3206"/>
      <c r="T5" s="3205"/>
      <c r="U5" s="3206"/>
      <c r="V5" s="3228"/>
      <c r="W5" s="3228"/>
      <c r="X5" s="1812"/>
      <c r="Y5" s="3205"/>
      <c r="Z5" s="3206"/>
      <c r="AA5" s="3199"/>
      <c r="AB5" s="3199"/>
      <c r="AC5" s="3199"/>
    </row>
    <row r="6" spans="1:29" ht="15.75" thickBot="1">
      <c r="A6" s="406"/>
      <c r="B6" s="407"/>
      <c r="C6" s="3308" t="s">
        <v>2796</v>
      </c>
      <c r="D6" s="3309"/>
      <c r="E6" s="3310" t="s">
        <v>2796</v>
      </c>
      <c r="F6" s="3311"/>
      <c r="G6" s="3308" t="s">
        <v>2796</v>
      </c>
      <c r="H6" s="3309"/>
      <c r="I6" s="3308" t="s">
        <v>2796</v>
      </c>
      <c r="J6" s="3309"/>
      <c r="K6" s="610" t="s">
        <v>2548</v>
      </c>
      <c r="L6" s="1130"/>
      <c r="M6" s="1131"/>
      <c r="N6" s="1131"/>
      <c r="O6" s="1131"/>
      <c r="P6" s="3224"/>
      <c r="Q6" s="3225"/>
      <c r="R6" s="3205"/>
      <c r="S6" s="3206"/>
      <c r="T6" s="3226"/>
      <c r="U6" s="3227"/>
      <c r="V6" s="3228"/>
      <c r="W6" s="3228"/>
      <c r="X6" s="1812"/>
      <c r="Y6" s="3226"/>
      <c r="Z6" s="3227"/>
      <c r="AA6" s="3200"/>
      <c r="AB6" s="3200"/>
      <c r="AC6" s="3200"/>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1" t="s">
        <v>2550</v>
      </c>
      <c r="Q7" s="3229"/>
      <c r="R7" s="770" t="s">
        <v>17</v>
      </c>
      <c r="S7" s="771">
        <f t="shared" ref="S7:S15" si="0">F7</f>
        <v>0</v>
      </c>
      <c r="T7" s="770" t="s">
        <v>17</v>
      </c>
      <c r="U7" s="771">
        <f t="shared" ref="U7:U15" si="1">H7</f>
        <v>0</v>
      </c>
      <c r="V7" s="770" t="s">
        <v>17</v>
      </c>
      <c r="W7" s="771">
        <f t="shared" ref="W7:W15" si="2">J7</f>
        <v>0</v>
      </c>
      <c r="X7" s="772"/>
      <c r="Y7" s="3201" t="s">
        <v>2550</v>
      </c>
      <c r="Z7" s="3202"/>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2553</v>
      </c>
      <c r="Q8" s="3202"/>
      <c r="R8" s="770" t="s">
        <v>17</v>
      </c>
      <c r="S8" s="771">
        <f t="shared" si="0"/>
        <v>0</v>
      </c>
      <c r="T8" s="770" t="s">
        <v>17</v>
      </c>
      <c r="U8" s="771">
        <f t="shared" si="1"/>
        <v>0</v>
      </c>
      <c r="V8" s="770" t="s">
        <v>17</v>
      </c>
      <c r="W8" s="771">
        <f t="shared" si="2"/>
        <v>0</v>
      </c>
      <c r="X8" s="772"/>
      <c r="Y8" s="3201" t="s">
        <v>2553</v>
      </c>
      <c r="Z8" s="3202"/>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215" t="s">
        <v>2556</v>
      </c>
      <c r="Q9" s="1794" t="str">
        <f t="shared" ref="Q9:Q15" si="6">B9</f>
        <v>用途</v>
      </c>
      <c r="R9" s="770" t="s">
        <v>17</v>
      </c>
      <c r="S9" s="771">
        <f t="shared" si="0"/>
        <v>100</v>
      </c>
      <c r="T9" s="770" t="s">
        <v>17</v>
      </c>
      <c r="U9" s="771">
        <f t="shared" si="1"/>
        <v>100</v>
      </c>
      <c r="V9" s="770" t="s">
        <v>17</v>
      </c>
      <c r="W9" s="771">
        <f t="shared" si="2"/>
        <v>100</v>
      </c>
      <c r="X9" s="772"/>
      <c r="Y9" s="3065"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215"/>
      <c r="Q10" s="1794" t="str">
        <f t="shared" si="6"/>
        <v>土地使用年限（年）</v>
      </c>
      <c r="R10" s="770" t="s">
        <v>17</v>
      </c>
      <c r="S10" s="771">
        <f t="shared" si="0"/>
        <v>113</v>
      </c>
      <c r="T10" s="770" t="s">
        <v>17</v>
      </c>
      <c r="U10" s="771">
        <f t="shared" si="1"/>
        <v>113</v>
      </c>
      <c r="V10" s="770" t="s">
        <v>17</v>
      </c>
      <c r="W10" s="771">
        <f t="shared" si="2"/>
        <v>113</v>
      </c>
      <c r="X10" s="772"/>
      <c r="Y10" s="3065"/>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215"/>
      <c r="Q11" s="1794" t="str">
        <f t="shared" si="6"/>
        <v>容积率</v>
      </c>
      <c r="R11" s="770" t="s">
        <v>17</v>
      </c>
      <c r="S11" s="771" t="e">
        <f t="shared" si="0"/>
        <v>#N/A</v>
      </c>
      <c r="T11" s="770" t="s">
        <v>17</v>
      </c>
      <c r="U11" s="771" t="e">
        <f t="shared" si="1"/>
        <v>#N/A</v>
      </c>
      <c r="V11" s="770" t="s">
        <v>17</v>
      </c>
      <c r="W11" s="771" t="e">
        <f t="shared" si="2"/>
        <v>#N/A</v>
      </c>
      <c r="X11" s="772"/>
      <c r="Y11" s="3065"/>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215"/>
      <c r="Q12" s="1794">
        <f t="shared" si="6"/>
        <v>111</v>
      </c>
      <c r="R12" s="770" t="s">
        <v>17</v>
      </c>
      <c r="S12" s="771">
        <f t="shared" si="0"/>
        <v>100</v>
      </c>
      <c r="T12" s="770" t="s">
        <v>17</v>
      </c>
      <c r="U12" s="771">
        <f t="shared" si="1"/>
        <v>100</v>
      </c>
      <c r="V12" s="770" t="s">
        <v>17</v>
      </c>
      <c r="W12" s="771">
        <f t="shared" si="2"/>
        <v>100</v>
      </c>
      <c r="X12" s="772"/>
      <c r="Y12" s="3065"/>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215"/>
      <c r="Q13" s="1794">
        <f t="shared" si="6"/>
        <v>111</v>
      </c>
      <c r="R13" s="770" t="s">
        <v>17</v>
      </c>
      <c r="S13" s="771">
        <f t="shared" si="0"/>
        <v>100</v>
      </c>
      <c r="T13" s="770" t="s">
        <v>17</v>
      </c>
      <c r="U13" s="771">
        <f t="shared" si="1"/>
        <v>100</v>
      </c>
      <c r="V13" s="770" t="s">
        <v>17</v>
      </c>
      <c r="W13" s="771">
        <f t="shared" si="2"/>
        <v>100</v>
      </c>
      <c r="X13" s="772"/>
      <c r="Y13" s="3065"/>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5"/>
      <c r="Q14" s="1794">
        <f t="shared" si="6"/>
        <v>111</v>
      </c>
      <c r="R14" s="770" t="s">
        <v>17</v>
      </c>
      <c r="S14" s="771">
        <f t="shared" si="0"/>
        <v>100</v>
      </c>
      <c r="T14" s="770" t="s">
        <v>17</v>
      </c>
      <c r="U14" s="771">
        <f t="shared" si="1"/>
        <v>100</v>
      </c>
      <c r="V14" s="770" t="s">
        <v>17</v>
      </c>
      <c r="W14" s="771">
        <f t="shared" si="2"/>
        <v>100</v>
      </c>
      <c r="X14" s="772"/>
      <c r="Y14" s="3065"/>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0" t="s">
        <v>2561</v>
      </c>
      <c r="Q15" s="1809" t="str">
        <f t="shared" si="6"/>
        <v>产业集聚程度</v>
      </c>
      <c r="R15" s="774" t="s">
        <v>17</v>
      </c>
      <c r="S15" s="775">
        <f t="shared" si="0"/>
        <v>100</v>
      </c>
      <c r="T15" s="774" t="s">
        <v>17</v>
      </c>
      <c r="U15" s="775">
        <f t="shared" si="1"/>
        <v>100</v>
      </c>
      <c r="V15" s="774" t="s">
        <v>17</v>
      </c>
      <c r="W15" s="775">
        <f t="shared" si="2"/>
        <v>100</v>
      </c>
      <c r="X15" s="1812"/>
      <c r="Y15" s="3230"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31"/>
      <c r="Q16" s="1809"/>
      <c r="R16" s="774"/>
      <c r="S16" s="775"/>
      <c r="T16" s="774"/>
      <c r="U16" s="775"/>
      <c r="V16" s="774"/>
      <c r="W16" s="775"/>
      <c r="X16" s="1812"/>
      <c r="Y16" s="3231"/>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1"/>
      <c r="Q17" s="1809" t="str">
        <f>B17</f>
        <v>交通便捷度</v>
      </c>
      <c r="R17" s="774" t="s">
        <v>17</v>
      </c>
      <c r="S17" s="775">
        <f>F17</f>
        <v>100</v>
      </c>
      <c r="T17" s="774" t="s">
        <v>17</v>
      </c>
      <c r="U17" s="775">
        <f>H17</f>
        <v>100</v>
      </c>
      <c r="V17" s="774" t="s">
        <v>17</v>
      </c>
      <c r="W17" s="775">
        <f>J17</f>
        <v>100</v>
      </c>
      <c r="X17" s="1812"/>
      <c r="Y17" s="3231"/>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31"/>
      <c r="Q18" s="1809"/>
      <c r="R18" s="774"/>
      <c r="S18" s="775"/>
      <c r="T18" s="774"/>
      <c r="U18" s="775"/>
      <c r="V18" s="774"/>
      <c r="W18" s="775"/>
      <c r="X18" s="1812"/>
      <c r="Y18" s="3231"/>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1"/>
      <c r="Q19" s="1809" t="str">
        <f t="shared" ref="Q19:Q33" si="8">B19</f>
        <v>区域土地利用方向</v>
      </c>
      <c r="R19" s="774" t="s">
        <v>17</v>
      </c>
      <c r="S19" s="775">
        <f>F19</f>
        <v>100</v>
      </c>
      <c r="T19" s="774" t="s">
        <v>17</v>
      </c>
      <c r="U19" s="775">
        <f>H19</f>
        <v>100</v>
      </c>
      <c r="V19" s="774" t="s">
        <v>17</v>
      </c>
      <c r="W19" s="775">
        <f>J19</f>
        <v>100</v>
      </c>
      <c r="X19" s="1812"/>
      <c r="Y19" s="3231"/>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31"/>
      <c r="Q20" s="1809"/>
      <c r="R20" s="774"/>
      <c r="S20" s="775"/>
      <c r="T20" s="774"/>
      <c r="U20" s="775"/>
      <c r="V20" s="774"/>
      <c r="W20" s="775"/>
      <c r="X20" s="1812"/>
      <c r="Y20" s="3231"/>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1"/>
      <c r="Q21" s="1809" t="str">
        <f t="shared" si="8"/>
        <v>环境状况</v>
      </c>
      <c r="R21" s="774" t="s">
        <v>17</v>
      </c>
      <c r="S21" s="775">
        <f>F21</f>
        <v>100</v>
      </c>
      <c r="T21" s="774" t="s">
        <v>17</v>
      </c>
      <c r="U21" s="775">
        <f>H21</f>
        <v>100</v>
      </c>
      <c r="V21" s="774" t="s">
        <v>17</v>
      </c>
      <c r="W21" s="775">
        <f>J21</f>
        <v>100</v>
      </c>
      <c r="X21" s="1812"/>
      <c r="Y21" s="3231"/>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31"/>
      <c r="Q22" s="1809"/>
      <c r="R22" s="774"/>
      <c r="S22" s="775"/>
      <c r="T22" s="774"/>
      <c r="U22" s="775"/>
      <c r="V22" s="774"/>
      <c r="W22" s="775"/>
      <c r="X22" s="1812"/>
      <c r="Y22" s="3231"/>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1"/>
      <c r="Q23" s="1794" t="str">
        <f t="shared" si="8"/>
        <v>公共配套设施</v>
      </c>
      <c r="R23" s="770" t="s">
        <v>17</v>
      </c>
      <c r="S23" s="771">
        <f>F23</f>
        <v>100</v>
      </c>
      <c r="T23" s="770" t="s">
        <v>17</v>
      </c>
      <c r="U23" s="771">
        <f>H23</f>
        <v>100</v>
      </c>
      <c r="V23" s="770" t="s">
        <v>17</v>
      </c>
      <c r="W23" s="771">
        <f>J23</f>
        <v>100</v>
      </c>
      <c r="X23" s="772"/>
      <c r="Y23" s="3231"/>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31"/>
      <c r="Q24" s="1794"/>
      <c r="R24" s="770"/>
      <c r="S24" s="771"/>
      <c r="T24" s="770"/>
      <c r="U24" s="771"/>
      <c r="V24" s="770"/>
      <c r="W24" s="771"/>
      <c r="X24" s="772"/>
      <c r="Y24" s="3231"/>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1"/>
      <c r="Q25" s="1794" t="str">
        <f t="shared" ref="Q25" si="9">B25</f>
        <v>基础设施水平</v>
      </c>
      <c r="R25" s="770" t="s">
        <v>17</v>
      </c>
      <c r="S25" s="771">
        <f>F25</f>
        <v>100</v>
      </c>
      <c r="T25" s="770" t="s">
        <v>17</v>
      </c>
      <c r="U25" s="771">
        <f>H25</f>
        <v>100</v>
      </c>
      <c r="V25" s="770" t="s">
        <v>17</v>
      </c>
      <c r="W25" s="771">
        <f>J25</f>
        <v>100</v>
      </c>
      <c r="X25" s="772"/>
      <c r="Y25" s="3231"/>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31"/>
      <c r="Q26" s="1794"/>
      <c r="R26" s="770"/>
      <c r="S26" s="771"/>
      <c r="T26" s="770"/>
      <c r="U26" s="771"/>
      <c r="V26" s="770"/>
      <c r="W26" s="771"/>
      <c r="X26" s="772"/>
      <c r="Y26" s="3231"/>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1"/>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1"/>
      <c r="Q28" s="1809" t="str">
        <f t="shared" si="8"/>
        <v>毗邻道路的类型与等级</v>
      </c>
      <c r="R28" s="774" t="s">
        <v>17</v>
      </c>
      <c r="S28" s="775">
        <f t="shared" si="10"/>
        <v>100</v>
      </c>
      <c r="T28" s="774" t="s">
        <v>17</v>
      </c>
      <c r="U28" s="775">
        <f t="shared" si="11"/>
        <v>100</v>
      </c>
      <c r="V28" s="774" t="s">
        <v>17</v>
      </c>
      <c r="W28" s="775">
        <f t="shared" si="12"/>
        <v>100</v>
      </c>
      <c r="X28" s="1812"/>
      <c r="Y28" s="3231"/>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31"/>
      <c r="Q29" s="1809"/>
      <c r="R29" s="774"/>
      <c r="S29" s="775"/>
      <c r="T29" s="774"/>
      <c r="U29" s="775"/>
      <c r="V29" s="774"/>
      <c r="W29" s="775"/>
      <c r="X29" s="1812"/>
      <c r="Y29" s="3231"/>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1"/>
      <c r="Q30" s="1809" t="str">
        <f t="shared" si="8"/>
        <v>土地级别</v>
      </c>
      <c r="R30" s="774" t="s">
        <v>17</v>
      </c>
      <c r="S30" s="775">
        <f t="shared" si="10"/>
        <v>100</v>
      </c>
      <c r="T30" s="774" t="s">
        <v>17</v>
      </c>
      <c r="U30" s="775">
        <f t="shared" si="11"/>
        <v>100</v>
      </c>
      <c r="V30" s="774" t="s">
        <v>17</v>
      </c>
      <c r="W30" s="775">
        <f t="shared" si="12"/>
        <v>100</v>
      </c>
      <c r="X30" s="1812"/>
      <c r="Y30" s="3231"/>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1"/>
      <c r="Q31" s="1809">
        <f t="shared" si="8"/>
        <v>111</v>
      </c>
      <c r="R31" s="774" t="s">
        <v>17</v>
      </c>
      <c r="S31" s="775">
        <f t="shared" si="10"/>
        <v>100</v>
      </c>
      <c r="T31" s="774" t="s">
        <v>17</v>
      </c>
      <c r="U31" s="775">
        <f t="shared" si="11"/>
        <v>100</v>
      </c>
      <c r="V31" s="774" t="s">
        <v>17</v>
      </c>
      <c r="W31" s="775">
        <f t="shared" si="12"/>
        <v>100</v>
      </c>
      <c r="X31" s="1812"/>
      <c r="Y31" s="3231"/>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2566</v>
      </c>
      <c r="Q32" s="1809">
        <f t="shared" si="8"/>
        <v>111</v>
      </c>
      <c r="R32" s="774" t="s">
        <v>17</v>
      </c>
      <c r="S32" s="775">
        <f t="shared" si="10"/>
        <v>100</v>
      </c>
      <c r="T32" s="774" t="s">
        <v>17</v>
      </c>
      <c r="U32" s="775">
        <f t="shared" si="11"/>
        <v>100</v>
      </c>
      <c r="V32" s="774" t="s">
        <v>17</v>
      </c>
      <c r="W32" s="775">
        <f t="shared" si="12"/>
        <v>100</v>
      </c>
      <c r="X32" s="1812"/>
      <c r="Y32" s="3233"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3"/>
      <c r="Q33" s="1809">
        <f t="shared" si="8"/>
        <v>111</v>
      </c>
      <c r="R33" s="777" t="s">
        <v>17</v>
      </c>
      <c r="S33" s="778">
        <f t="shared" si="10"/>
        <v>100</v>
      </c>
      <c r="T33" s="777" t="s">
        <v>17</v>
      </c>
      <c r="U33" s="778">
        <f t="shared" si="11"/>
        <v>100</v>
      </c>
      <c r="V33" s="777" t="s">
        <v>17</v>
      </c>
      <c r="W33" s="778">
        <f t="shared" si="12"/>
        <v>100</v>
      </c>
      <c r="X33" s="779"/>
      <c r="Y33" s="3233"/>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3"/>
      <c r="Q34" s="1809" t="str">
        <f>B34</f>
        <v>宗地面积</v>
      </c>
      <c r="R34" s="774" t="s">
        <v>17</v>
      </c>
      <c r="S34" s="775" t="e">
        <f t="shared" si="10"/>
        <v>#N/A</v>
      </c>
      <c r="T34" s="774" t="s">
        <v>17</v>
      </c>
      <c r="U34" s="775" t="e">
        <f t="shared" si="11"/>
        <v>#N/A</v>
      </c>
      <c r="V34" s="774" t="s">
        <v>17</v>
      </c>
      <c r="W34" s="775" t="e">
        <f t="shared" si="12"/>
        <v>#N/A</v>
      </c>
      <c r="X34" s="1812"/>
      <c r="Y34" s="3233"/>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3"/>
      <c r="Q35" s="1809" t="str">
        <f t="shared" ref="Q35:Q40" si="14">B35</f>
        <v>宗地形状</v>
      </c>
      <c r="R35" s="774" t="s">
        <v>17</v>
      </c>
      <c r="S35" s="775">
        <f t="shared" si="10"/>
        <v>100</v>
      </c>
      <c r="T35" s="774" t="s">
        <v>17</v>
      </c>
      <c r="U35" s="775">
        <f t="shared" si="11"/>
        <v>100</v>
      </c>
      <c r="V35" s="774" t="s">
        <v>17</v>
      </c>
      <c r="W35" s="775">
        <f t="shared" si="12"/>
        <v>100</v>
      </c>
      <c r="X35" s="1812"/>
      <c r="Y35" s="3233"/>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3"/>
      <c r="Q36" s="1809" t="str">
        <f t="shared" si="14"/>
        <v>宗地开发程度</v>
      </c>
      <c r="R36" s="770" t="s">
        <v>17</v>
      </c>
      <c r="S36" s="771">
        <f t="shared" si="10"/>
        <v>100</v>
      </c>
      <c r="T36" s="770" t="s">
        <v>17</v>
      </c>
      <c r="U36" s="771">
        <f t="shared" si="11"/>
        <v>100</v>
      </c>
      <c r="V36" s="770" t="s">
        <v>17</v>
      </c>
      <c r="W36" s="771">
        <f t="shared" si="12"/>
        <v>100</v>
      </c>
      <c r="X36" s="772"/>
      <c r="Y36" s="3233"/>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3" t="s">
        <v>2566</v>
      </c>
      <c r="Q37" s="1809" t="str">
        <f t="shared" si="14"/>
        <v>工程地质条件</v>
      </c>
      <c r="R37" s="774" t="s">
        <v>17</v>
      </c>
      <c r="S37" s="775">
        <f t="shared" si="10"/>
        <v>100</v>
      </c>
      <c r="T37" s="774" t="s">
        <v>17</v>
      </c>
      <c r="U37" s="775">
        <f t="shared" si="11"/>
        <v>100</v>
      </c>
      <c r="V37" s="774" t="s">
        <v>17</v>
      </c>
      <c r="W37" s="775">
        <f t="shared" si="12"/>
        <v>100</v>
      </c>
      <c r="X37" s="1812"/>
      <c r="Y37" s="3233"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3"/>
      <c r="Q38" s="1809">
        <f t="shared" si="14"/>
        <v>111</v>
      </c>
      <c r="R38" s="774" t="s">
        <v>17</v>
      </c>
      <c r="S38" s="775">
        <f t="shared" si="10"/>
        <v>100</v>
      </c>
      <c r="T38" s="774" t="s">
        <v>17</v>
      </c>
      <c r="U38" s="775">
        <f t="shared" si="11"/>
        <v>100</v>
      </c>
      <c r="V38" s="774" t="s">
        <v>17</v>
      </c>
      <c r="W38" s="775">
        <f t="shared" si="12"/>
        <v>100</v>
      </c>
      <c r="X38" s="1812"/>
      <c r="Y38" s="323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3"/>
      <c r="Q39" s="1809">
        <f t="shared" si="14"/>
        <v>111</v>
      </c>
      <c r="R39" s="774" t="s">
        <v>17</v>
      </c>
      <c r="S39" s="775">
        <f t="shared" si="10"/>
        <v>100</v>
      </c>
      <c r="T39" s="774" t="s">
        <v>17</v>
      </c>
      <c r="U39" s="775">
        <f t="shared" si="11"/>
        <v>100</v>
      </c>
      <c r="V39" s="774" t="s">
        <v>17</v>
      </c>
      <c r="W39" s="775">
        <f t="shared" si="12"/>
        <v>100</v>
      </c>
      <c r="X39" s="1812"/>
      <c r="Y39" s="3233"/>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3"/>
      <c r="Q40" s="1809">
        <f t="shared" si="14"/>
        <v>111</v>
      </c>
      <c r="R40" s="777" t="s">
        <v>17</v>
      </c>
      <c r="S40" s="778">
        <f t="shared" si="10"/>
        <v>100</v>
      </c>
      <c r="T40" s="777" t="s">
        <v>17</v>
      </c>
      <c r="U40" s="778">
        <f t="shared" si="11"/>
        <v>100</v>
      </c>
      <c r="V40" s="777" t="s">
        <v>17</v>
      </c>
      <c r="W40" s="778">
        <f t="shared" si="12"/>
        <v>100</v>
      </c>
      <c r="X40" s="779"/>
      <c r="Y40" s="3233"/>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215" t="str">
        <f>A41</f>
        <v>成交单价</v>
      </c>
      <c r="Q41" s="3215"/>
      <c r="R41" s="3228">
        <f>E41</f>
        <v>0</v>
      </c>
      <c r="S41" s="3228"/>
      <c r="T41" s="3228">
        <f>G41</f>
        <v>0</v>
      </c>
      <c r="U41" s="3228"/>
      <c r="V41" s="3228">
        <f>I41</f>
        <v>0</v>
      </c>
      <c r="W41" s="322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15" t="str">
        <f>A42</f>
        <v>比较价值（元/平方米）</v>
      </c>
      <c r="Q42" s="3215"/>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36" t="str">
        <f>A43</f>
        <v>估价对象XX用房的比较价值（楼面单价，元/平方米）</v>
      </c>
      <c r="Q43" s="3237"/>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16" t="s">
        <v>2764</v>
      </c>
      <c r="H50" s="3239"/>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40"/>
      <c r="H51" s="3215"/>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41"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41"/>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41"/>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41"/>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6"/>
      <c r="B4" s="3327"/>
      <c r="C4" s="3327"/>
      <c r="D4" s="3328"/>
      <c r="E4" s="3328"/>
      <c r="F4" s="3328"/>
      <c r="G4" s="3328"/>
      <c r="H4" s="3328"/>
      <c r="I4" s="3328"/>
      <c r="J4" s="3329"/>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12"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313"/>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23" t="s">
        <v>2839</v>
      </c>
      <c r="X8" s="3324"/>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313"/>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25"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3"/>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2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3"/>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25"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312"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25"/>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0"/>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325"/>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30"/>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31"/>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12"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13"/>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320"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1"/>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1"/>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322"/>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314" t="s">
        <v>2973</v>
      </c>
      <c r="B90" s="3314"/>
      <c r="C90" s="3314"/>
      <c r="D90" s="3314"/>
      <c r="E90" s="3314"/>
      <c r="F90" s="3314"/>
      <c r="G90" s="3314"/>
      <c r="H90" s="3314"/>
      <c r="I90" s="3314"/>
      <c r="J90" s="3314"/>
      <c r="K90" s="2894"/>
      <c r="L90" s="2894"/>
      <c r="M90" s="2894"/>
      <c r="N90" s="2894"/>
    </row>
    <row r="91" spans="1:37">
      <c r="A91" s="3316" t="s">
        <v>2974</v>
      </c>
      <c r="B91" s="3316" t="s">
        <v>2975</v>
      </c>
      <c r="C91" s="2848" t="s">
        <v>2976</v>
      </c>
      <c r="D91" s="2849"/>
      <c r="E91" s="2849"/>
      <c r="F91" s="2849"/>
      <c r="G91" s="2849"/>
      <c r="H91" s="2849"/>
      <c r="I91" s="2849"/>
      <c r="J91" s="2895"/>
      <c r="K91" s="2896"/>
      <c r="L91" s="2896"/>
      <c r="M91" s="2896"/>
      <c r="N91" s="2896"/>
    </row>
    <row r="92" spans="1:37">
      <c r="A92" s="3316"/>
      <c r="B92" s="331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17"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1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1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1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1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1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18"/>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1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17"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318"/>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318"/>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318"/>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318"/>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318"/>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318"/>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318"/>
      <c r="B108" s="3119"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19"/>
      <c r="B109" s="3120"/>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315" t="s">
        <v>2981</v>
      </c>
      <c r="B110" s="3315"/>
      <c r="C110" s="3315"/>
      <c r="D110" s="3315"/>
      <c r="E110" s="3315"/>
      <c r="F110" s="3315"/>
      <c r="G110" s="3315"/>
      <c r="H110" s="3315"/>
      <c r="I110" s="3315"/>
      <c r="J110" s="3315"/>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0"/>
      <c r="B4" s="3003" t="s">
        <v>1632</v>
      </c>
      <c r="C4" s="3003"/>
      <c r="D4" s="3003"/>
      <c r="E4" s="1960"/>
    </row>
    <row r="5" spans="1:5" ht="16.5" thickTop="1">
      <c r="A5" s="1958"/>
      <c r="B5" s="3001" t="s">
        <v>1624</v>
      </c>
      <c r="C5" s="1961" t="s">
        <v>1625</v>
      </c>
      <c r="D5" s="1040">
        <f ca="1">结果表!H101</f>
        <v>118139</v>
      </c>
      <c r="E5" s="1958"/>
    </row>
    <row r="6" spans="1:5" ht="15.75">
      <c r="A6" s="1958"/>
      <c r="B6" s="3001"/>
      <c r="C6" s="1961" t="s">
        <v>1626</v>
      </c>
      <c r="D6" s="1040" t="str">
        <f ca="1">NUMBERSTRING(INT(D5*10000),2)&amp;"元整"</f>
        <v>壹拾壹亿捌仟壹佰叁拾玖万元整</v>
      </c>
      <c r="E6" s="1958"/>
    </row>
    <row r="7" spans="1:5" ht="15.75">
      <c r="A7" s="1958"/>
      <c r="B7" s="3006"/>
      <c r="C7" s="1962" t="s">
        <v>1627</v>
      </c>
      <c r="D7" s="1041">
        <f ca="1">结果表!H102</f>
        <v>10102</v>
      </c>
      <c r="E7" s="1958"/>
    </row>
    <row r="8" spans="1:5" ht="15.75">
      <c r="A8" s="1958"/>
      <c r="B8" s="3007" t="str">
        <f>结果表!E103</f>
        <v>2.估价师知悉的法定优先受偿款</v>
      </c>
      <c r="C8" s="1963" t="s">
        <v>1628</v>
      </c>
      <c r="D8" s="1041">
        <f>结果表!H103</f>
        <v>0</v>
      </c>
      <c r="E8" s="1958"/>
    </row>
    <row r="9" spans="1:5" ht="15.75">
      <c r="A9" s="1958"/>
      <c r="B9" s="3009"/>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3000" t="str">
        <f>结果表!E107</f>
        <v>3.房地产抵押价值</v>
      </c>
      <c r="C13" s="1966" t="s">
        <v>1625</v>
      </c>
      <c r="D13" s="1043">
        <f ca="1">结果表!H107</f>
        <v>118139</v>
      </c>
      <c r="E13" s="1958"/>
    </row>
    <row r="14" spans="1:5" ht="15.75">
      <c r="A14" s="1958"/>
      <c r="B14" s="3001"/>
      <c r="C14" s="1961" t="s">
        <v>1626</v>
      </c>
      <c r="D14" s="1040" t="str">
        <f ca="1">NUMBERSTRING(INT(D13*10000),2)&amp;"元整"</f>
        <v>壹拾壹亿捌仟壹佰叁拾玖万元整</v>
      </c>
      <c r="E14" s="1958"/>
    </row>
    <row r="15" spans="1:5" ht="15">
      <c r="A15" s="1958"/>
      <c r="B15" s="3006"/>
      <c r="C15" s="1962" t="s">
        <v>1636</v>
      </c>
      <c r="D15" s="1052">
        <f ca="1">结果表!H108</f>
        <v>10102</v>
      </c>
      <c r="E15" s="1958"/>
    </row>
    <row r="16" spans="1:5" ht="15">
      <c r="A16" s="1958"/>
      <c r="B16" s="3007" t="str">
        <f>结果表!E109</f>
        <v>——</v>
      </c>
      <c r="C16" s="1966" t="s">
        <v>1637</v>
      </c>
      <c r="D16" s="1967" t="str">
        <f>结果表!H109</f>
        <v>——</v>
      </c>
      <c r="E16" s="1958"/>
    </row>
    <row r="17" spans="1:5" ht="15.75">
      <c r="A17" s="1958"/>
      <c r="B17" s="3008"/>
      <c r="C17" s="1961" t="s">
        <v>1638</v>
      </c>
      <c r="D17" s="1040" t="e">
        <f>NUMBERSTRING(INT(D16*10000),2)&amp;"元整"</f>
        <v>#VALUE!</v>
      </c>
      <c r="E17" s="1958"/>
    </row>
    <row r="18" spans="1:5" ht="15">
      <c r="A18" s="1958"/>
      <c r="B18" s="3009"/>
      <c r="C18" s="1962" t="s">
        <v>1627</v>
      </c>
      <c r="D18" s="1052" t="str">
        <f>结果表!H110</f>
        <v>——</v>
      </c>
      <c r="E18" s="1958"/>
    </row>
    <row r="19" spans="1:5" ht="15.75">
      <c r="A19" s="1958"/>
      <c r="B19" s="3000" t="str">
        <f>结果表!E111</f>
        <v>——</v>
      </c>
      <c r="C19" s="1966" t="s">
        <v>1625</v>
      </c>
      <c r="D19" s="1041" t="str">
        <f>结果表!H111</f>
        <v>——</v>
      </c>
      <c r="E19" s="1958"/>
    </row>
    <row r="20" spans="1:5" ht="15.75">
      <c r="A20" s="1958"/>
      <c r="B20" s="3001"/>
      <c r="C20" s="1961" t="s">
        <v>1638</v>
      </c>
      <c r="D20" s="1040" t="e">
        <f>NUMBERSTRING(INT(D19*10000),2)&amp;"元整"</f>
        <v>#VALUE!</v>
      </c>
      <c r="E20" s="1958"/>
    </row>
    <row r="21" spans="1:5" ht="15.75" thickBot="1">
      <c r="A21" s="1958"/>
      <c r="B21" s="3002"/>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2" t="s">
        <v>183</v>
      </c>
      <c r="B18" s="879" t="s">
        <v>560</v>
      </c>
      <c r="C18" s="880" t="s">
        <v>561</v>
      </c>
      <c r="D18" s="881"/>
      <c r="E18" s="879">
        <v>1</v>
      </c>
      <c r="F18" s="882" t="s">
        <v>562</v>
      </c>
      <c r="G18" s="883"/>
      <c r="H18" s="875"/>
      <c r="I18" s="875"/>
    </row>
    <row r="19" spans="1:9" s="884" customFormat="1" ht="19.5" customHeight="1">
      <c r="A19" s="3332"/>
      <c r="B19" s="3332" t="s">
        <v>563</v>
      </c>
      <c r="C19" s="880" t="s">
        <v>564</v>
      </c>
      <c r="D19" s="881"/>
      <c r="E19" s="879">
        <v>0.9</v>
      </c>
      <c r="F19" s="882" t="s">
        <v>565</v>
      </c>
      <c r="G19" s="883"/>
      <c r="H19" s="875"/>
      <c r="I19" s="875"/>
    </row>
    <row r="20" spans="1:9" s="884" customFormat="1" ht="19.5" customHeight="1">
      <c r="A20" s="3332"/>
      <c r="B20" s="3332"/>
      <c r="C20" s="880" t="s">
        <v>566</v>
      </c>
      <c r="D20" s="881"/>
      <c r="E20" s="879">
        <v>1.1000000000000001</v>
      </c>
      <c r="F20" s="882" t="s">
        <v>567</v>
      </c>
      <c r="G20" s="883"/>
      <c r="H20" s="875"/>
      <c r="I20" s="875"/>
    </row>
    <row r="21" spans="1:9" s="884" customFormat="1" ht="19.5" customHeight="1">
      <c r="A21" s="3332"/>
      <c r="B21" s="3332"/>
      <c r="C21" s="880" t="s">
        <v>568</v>
      </c>
      <c r="D21" s="881"/>
      <c r="E21" s="879">
        <v>0.8</v>
      </c>
      <c r="F21" s="882" t="s">
        <v>569</v>
      </c>
      <c r="G21" s="883"/>
      <c r="H21" s="875"/>
      <c r="I21" s="875"/>
    </row>
    <row r="22" spans="1:9" s="884" customFormat="1" ht="19.5" customHeight="1">
      <c r="A22" s="3332"/>
      <c r="B22" s="3332"/>
      <c r="C22" s="880" t="s">
        <v>570</v>
      </c>
      <c r="D22" s="881"/>
      <c r="E22" s="879">
        <v>0.5</v>
      </c>
      <c r="F22" s="882"/>
      <c r="G22" s="883"/>
      <c r="H22" s="875"/>
      <c r="I22" s="875"/>
    </row>
    <row r="23" spans="1:9" s="884" customFormat="1" ht="19.5" customHeight="1">
      <c r="A23" s="3332" t="s">
        <v>184</v>
      </c>
      <c r="B23" s="879" t="s">
        <v>560</v>
      </c>
      <c r="C23" s="880" t="s">
        <v>571</v>
      </c>
      <c r="D23" s="881"/>
      <c r="E23" s="879">
        <v>1</v>
      </c>
      <c r="F23" s="882" t="s">
        <v>572</v>
      </c>
      <c r="G23" s="883"/>
      <c r="H23" s="875"/>
      <c r="I23" s="875"/>
    </row>
    <row r="24" spans="1:9" s="884" customFormat="1" ht="19.5" customHeight="1">
      <c r="A24" s="3332"/>
      <c r="B24" s="3332" t="s">
        <v>563</v>
      </c>
      <c r="C24" s="880" t="s">
        <v>573</v>
      </c>
      <c r="D24" s="881"/>
      <c r="E24" s="879">
        <v>0.5</v>
      </c>
      <c r="F24" s="882"/>
      <c r="G24" s="883"/>
      <c r="H24" s="875"/>
      <c r="I24" s="875"/>
    </row>
    <row r="25" spans="1:9" s="884" customFormat="1" ht="19.5" customHeight="1">
      <c r="A25" s="3332"/>
      <c r="B25" s="3332"/>
      <c r="C25" s="880" t="s">
        <v>574</v>
      </c>
      <c r="D25" s="881"/>
      <c r="E25" s="879">
        <v>1.1000000000000001</v>
      </c>
      <c r="F25" s="882"/>
      <c r="G25" s="883"/>
      <c r="H25" s="875"/>
      <c r="I25" s="875"/>
    </row>
    <row r="26" spans="1:9" s="884" customFormat="1" ht="19.5" customHeight="1">
      <c r="A26" s="3332"/>
      <c r="B26" s="3332"/>
      <c r="C26" s="880" t="s">
        <v>575</v>
      </c>
      <c r="D26" s="881"/>
      <c r="E26" s="879">
        <v>1.1000000000000001</v>
      </c>
      <c r="F26" s="882"/>
      <c r="G26" s="883"/>
      <c r="H26" s="875"/>
      <c r="I26" s="875"/>
    </row>
    <row r="27" spans="1:9" s="884" customFormat="1" ht="19.5" customHeight="1">
      <c r="A27" s="3332"/>
      <c r="B27" s="3332"/>
      <c r="C27" s="880" t="s">
        <v>576</v>
      </c>
      <c r="D27" s="881"/>
      <c r="E27" s="879">
        <v>0.9</v>
      </c>
      <c r="F27" s="882" t="s">
        <v>577</v>
      </c>
      <c r="G27" s="883"/>
      <c r="H27" s="875"/>
      <c r="I27" s="875"/>
    </row>
    <row r="28" spans="1:9" s="884" customFormat="1" ht="19.5" customHeight="1">
      <c r="A28" s="3332"/>
      <c r="B28" s="3332"/>
      <c r="C28" s="880" t="s">
        <v>578</v>
      </c>
      <c r="D28" s="881"/>
      <c r="E28" s="879">
        <v>0.9</v>
      </c>
      <c r="F28" s="882" t="s">
        <v>579</v>
      </c>
      <c r="G28" s="883"/>
      <c r="H28" s="875"/>
      <c r="I28" s="875"/>
    </row>
    <row r="29" spans="1:9" s="884" customFormat="1" ht="19.5" customHeight="1">
      <c r="A29" s="3332"/>
      <c r="B29" s="3332"/>
      <c r="C29" s="880" t="s">
        <v>580</v>
      </c>
      <c r="D29" s="881"/>
      <c r="E29" s="879">
        <v>0.9</v>
      </c>
      <c r="F29" s="882" t="s">
        <v>581</v>
      </c>
      <c r="G29" s="883"/>
      <c r="H29" s="875"/>
      <c r="I29" s="875"/>
    </row>
    <row r="30" spans="1:9" s="884" customFormat="1" ht="19.5" customHeight="1">
      <c r="A30" s="3332"/>
      <c r="B30" s="3332"/>
      <c r="C30" s="880" t="s">
        <v>582</v>
      </c>
      <c r="D30" s="881"/>
      <c r="E30" s="879">
        <v>0.9</v>
      </c>
      <c r="F30" s="882" t="s">
        <v>583</v>
      </c>
      <c r="G30" s="883"/>
      <c r="H30" s="875"/>
      <c r="I30" s="875"/>
    </row>
    <row r="31" spans="1:9" s="884" customFormat="1" ht="19.5" customHeight="1">
      <c r="A31" s="3332"/>
      <c r="B31" s="3332"/>
      <c r="C31" s="880" t="s">
        <v>584</v>
      </c>
      <c r="D31" s="881"/>
      <c r="E31" s="879">
        <v>0.8</v>
      </c>
      <c r="F31" s="882" t="s">
        <v>585</v>
      </c>
      <c r="G31" s="883"/>
      <c r="H31" s="875"/>
      <c r="I31" s="875"/>
    </row>
    <row r="32" spans="1:9" s="884" customFormat="1" ht="19.5" customHeight="1">
      <c r="A32" s="3332"/>
      <c r="B32" s="3332"/>
      <c r="C32" s="880" t="s">
        <v>586</v>
      </c>
      <c r="D32" s="881"/>
      <c r="E32" s="879">
        <v>0.8</v>
      </c>
      <c r="F32" s="882" t="s">
        <v>587</v>
      </c>
      <c r="G32" s="883"/>
      <c r="H32" s="875"/>
      <c r="I32" s="875"/>
    </row>
    <row r="33" spans="1:9" s="884" customFormat="1" ht="19.5" customHeight="1">
      <c r="A33" s="3332" t="s">
        <v>185</v>
      </c>
      <c r="B33" s="879" t="s">
        <v>560</v>
      </c>
      <c r="C33" s="880" t="s">
        <v>588</v>
      </c>
      <c r="D33" s="881"/>
      <c r="E33" s="879">
        <v>1</v>
      </c>
      <c r="F33" s="882" t="s">
        <v>589</v>
      </c>
      <c r="G33" s="883"/>
      <c r="H33" s="875"/>
      <c r="I33" s="875"/>
    </row>
    <row r="34" spans="1:9" s="884" customFormat="1" ht="19.5" customHeight="1">
      <c r="A34" s="3332"/>
      <c r="B34" s="879" t="s">
        <v>563</v>
      </c>
      <c r="C34" s="880" t="s">
        <v>590</v>
      </c>
      <c r="D34" s="881"/>
      <c r="E34" s="879">
        <v>1.5</v>
      </c>
      <c r="F34" s="882" t="s">
        <v>591</v>
      </c>
      <c r="G34" s="883"/>
      <c r="H34" s="875"/>
      <c r="I34" s="875"/>
    </row>
    <row r="35" spans="1:9" s="884" customFormat="1" ht="19.5" customHeight="1">
      <c r="A35" s="3332" t="s">
        <v>186</v>
      </c>
      <c r="B35" s="879" t="s">
        <v>560</v>
      </c>
      <c r="C35" s="880" t="s">
        <v>592</v>
      </c>
      <c r="D35" s="881"/>
      <c r="E35" s="879">
        <v>1</v>
      </c>
      <c r="F35" s="882" t="s">
        <v>593</v>
      </c>
      <c r="G35" s="883"/>
      <c r="H35" s="875"/>
      <c r="I35" s="875"/>
    </row>
    <row r="36" spans="1:9" s="884" customFormat="1" ht="19.5" customHeight="1">
      <c r="A36" s="3332"/>
      <c r="B36" s="3332" t="s">
        <v>563</v>
      </c>
      <c r="C36" s="880" t="s">
        <v>594</v>
      </c>
      <c r="D36" s="881"/>
      <c r="E36" s="879">
        <v>1</v>
      </c>
      <c r="F36" s="882" t="s">
        <v>595</v>
      </c>
      <c r="G36" s="883"/>
      <c r="H36" s="875"/>
      <c r="I36" s="875"/>
    </row>
    <row r="37" spans="1:9" s="884" customFormat="1" ht="19.5" customHeight="1">
      <c r="A37" s="3332"/>
      <c r="B37" s="3332"/>
      <c r="C37" s="880" t="s">
        <v>596</v>
      </c>
      <c r="D37" s="881"/>
      <c r="E37" s="879">
        <v>1.5</v>
      </c>
      <c r="F37" s="882" t="s">
        <v>597</v>
      </c>
      <c r="G37" s="883"/>
      <c r="H37" s="875"/>
      <c r="I37" s="875"/>
    </row>
    <row r="38" spans="1:9" s="884" customFormat="1" ht="19.5" customHeight="1">
      <c r="A38" s="3332"/>
      <c r="B38" s="3332"/>
      <c r="C38" s="880" t="s">
        <v>598</v>
      </c>
      <c r="D38" s="881"/>
      <c r="E38" s="879">
        <v>1</v>
      </c>
      <c r="F38" s="882" t="s">
        <v>599</v>
      </c>
      <c r="G38" s="883"/>
      <c r="H38" s="875"/>
      <c r="I38" s="875"/>
    </row>
    <row r="39" spans="1:9" s="884" customFormat="1" ht="19.5" customHeight="1">
      <c r="A39" s="3332"/>
      <c r="B39" s="333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2" t="s">
        <v>614</v>
      </c>
      <c r="C61" s="815" t="s">
        <v>615</v>
      </c>
      <c r="D61" s="815" t="s">
        <v>616</v>
      </c>
      <c r="E61" s="892">
        <v>0.5</v>
      </c>
      <c r="F61" s="879">
        <v>80</v>
      </c>
    </row>
    <row r="62" spans="1:8" s="875" customFormat="1" ht="24">
      <c r="A62" s="879">
        <v>2</v>
      </c>
      <c r="B62" s="3332"/>
      <c r="C62" s="815" t="s">
        <v>617</v>
      </c>
      <c r="D62" s="815" t="s">
        <v>618</v>
      </c>
      <c r="E62" s="892">
        <v>0.5</v>
      </c>
      <c r="F62" s="879">
        <v>80</v>
      </c>
    </row>
    <row r="63" spans="1:8" s="875" customFormat="1" ht="36">
      <c r="A63" s="879">
        <v>3</v>
      </c>
      <c r="B63" s="3332"/>
      <c r="C63" s="815" t="s">
        <v>619</v>
      </c>
      <c r="D63" s="815" t="s">
        <v>620</v>
      </c>
      <c r="E63" s="892">
        <v>0.5</v>
      </c>
      <c r="F63" s="879">
        <v>80</v>
      </c>
    </row>
    <row r="64" spans="1:8" s="875" customFormat="1" ht="36">
      <c r="A64" s="879">
        <v>4</v>
      </c>
      <c r="B64" s="3332"/>
      <c r="C64" s="815" t="s">
        <v>621</v>
      </c>
      <c r="D64" s="815" t="s">
        <v>622</v>
      </c>
      <c r="E64" s="892">
        <v>0.4</v>
      </c>
      <c r="F64" s="879">
        <v>60</v>
      </c>
    </row>
    <row r="65" spans="1:6" s="875" customFormat="1" ht="36">
      <c r="A65" s="879">
        <v>5</v>
      </c>
      <c r="B65" s="3332"/>
      <c r="C65" s="815" t="s">
        <v>623</v>
      </c>
      <c r="D65" s="815" t="s">
        <v>624</v>
      </c>
      <c r="E65" s="892">
        <v>0.2</v>
      </c>
      <c r="F65" s="879">
        <v>30</v>
      </c>
    </row>
    <row r="66" spans="1:6" s="875" customFormat="1" ht="36">
      <c r="A66" s="879">
        <v>6</v>
      </c>
      <c r="B66" s="3332"/>
      <c r="C66" s="815" t="s">
        <v>625</v>
      </c>
      <c r="D66" s="815" t="s">
        <v>626</v>
      </c>
      <c r="E66" s="892">
        <v>0.3</v>
      </c>
      <c r="F66" s="879">
        <v>50</v>
      </c>
    </row>
    <row r="67" spans="1:6" s="875" customFormat="1" ht="36">
      <c r="A67" s="879">
        <v>7</v>
      </c>
      <c r="B67" s="3332"/>
      <c r="C67" s="815" t="s">
        <v>627</v>
      </c>
      <c r="D67" s="815" t="s">
        <v>628</v>
      </c>
      <c r="E67" s="892">
        <v>0.2</v>
      </c>
      <c r="F67" s="879">
        <v>30</v>
      </c>
    </row>
    <row r="68" spans="1:6" s="875" customFormat="1" ht="36">
      <c r="A68" s="879">
        <v>8</v>
      </c>
      <c r="B68" s="3332"/>
      <c r="C68" s="815" t="s">
        <v>629</v>
      </c>
      <c r="D68" s="815" t="s">
        <v>630</v>
      </c>
      <c r="E68" s="892">
        <v>0.2</v>
      </c>
      <c r="F68" s="879">
        <v>30</v>
      </c>
    </row>
    <row r="69" spans="1:6" s="875" customFormat="1" ht="36">
      <c r="A69" s="879">
        <v>9</v>
      </c>
      <c r="B69" s="3332"/>
      <c r="C69" s="815" t="s">
        <v>631</v>
      </c>
      <c r="D69" s="815" t="s">
        <v>632</v>
      </c>
      <c r="E69" s="892">
        <v>0.2</v>
      </c>
      <c r="F69" s="879">
        <v>30</v>
      </c>
    </row>
    <row r="70" spans="1:6" s="875" customFormat="1" ht="48">
      <c r="A70" s="879">
        <v>10</v>
      </c>
      <c r="B70" s="3332"/>
      <c r="C70" s="815" t="s">
        <v>633</v>
      </c>
      <c r="D70" s="815" t="s">
        <v>634</v>
      </c>
      <c r="E70" s="892">
        <v>0.2</v>
      </c>
      <c r="F70" s="879">
        <v>30</v>
      </c>
    </row>
    <row r="71" spans="1:6" s="875" customFormat="1" ht="48">
      <c r="A71" s="879">
        <v>11</v>
      </c>
      <c r="B71" s="3332"/>
      <c r="C71" s="815" t="s">
        <v>635</v>
      </c>
      <c r="D71" s="815" t="s">
        <v>636</v>
      </c>
      <c r="E71" s="892">
        <v>0.2</v>
      </c>
      <c r="F71" s="879">
        <v>30</v>
      </c>
    </row>
    <row r="72" spans="1:6" s="875" customFormat="1" ht="36">
      <c r="A72" s="879">
        <v>12</v>
      </c>
      <c r="B72" s="3332"/>
      <c r="C72" s="815" t="s">
        <v>637</v>
      </c>
      <c r="D72" s="815" t="s">
        <v>638</v>
      </c>
      <c r="E72" s="892">
        <v>0.5</v>
      </c>
      <c r="F72" s="879">
        <v>80</v>
      </c>
    </row>
    <row r="73" spans="1:6" s="875" customFormat="1" ht="24">
      <c r="A73" s="879">
        <v>13</v>
      </c>
      <c r="B73" s="3332"/>
      <c r="C73" s="815" t="s">
        <v>639</v>
      </c>
      <c r="D73" s="815" t="s">
        <v>640</v>
      </c>
      <c r="E73" s="892">
        <v>0.4</v>
      </c>
      <c r="F73" s="879">
        <v>60</v>
      </c>
    </row>
    <row r="74" spans="1:6" s="875" customFormat="1" ht="24">
      <c r="A74" s="879">
        <v>14</v>
      </c>
      <c r="B74" s="3332"/>
      <c r="C74" s="815" t="s">
        <v>641</v>
      </c>
      <c r="D74" s="815" t="s">
        <v>642</v>
      </c>
      <c r="E74" s="892">
        <v>0.2</v>
      </c>
      <c r="F74" s="879">
        <v>30</v>
      </c>
    </row>
    <row r="75" spans="1:6" s="875" customFormat="1" ht="24">
      <c r="A75" s="879">
        <v>15</v>
      </c>
      <c r="B75" s="3332"/>
      <c r="C75" s="815" t="s">
        <v>643</v>
      </c>
      <c r="D75" s="815" t="s">
        <v>644</v>
      </c>
      <c r="E75" s="892">
        <v>0.2</v>
      </c>
      <c r="F75" s="879">
        <v>30</v>
      </c>
    </row>
    <row r="76" spans="1:6" s="875" customFormat="1" ht="24">
      <c r="A76" s="879">
        <v>16</v>
      </c>
      <c r="B76" s="3332" t="s">
        <v>645</v>
      </c>
      <c r="C76" s="815" t="s">
        <v>646</v>
      </c>
      <c r="D76" s="815" t="s">
        <v>647</v>
      </c>
      <c r="E76" s="892">
        <v>0.5</v>
      </c>
      <c r="F76" s="879">
        <v>80</v>
      </c>
    </row>
    <row r="77" spans="1:6" s="875" customFormat="1" ht="24">
      <c r="A77" s="879">
        <v>17</v>
      </c>
      <c r="B77" s="3332"/>
      <c r="C77" s="815" t="s">
        <v>648</v>
      </c>
      <c r="D77" s="815" t="s">
        <v>649</v>
      </c>
      <c r="E77" s="892">
        <v>0.5</v>
      </c>
      <c r="F77" s="879">
        <v>80</v>
      </c>
    </row>
    <row r="78" spans="1:6" s="875" customFormat="1" ht="24">
      <c r="A78" s="879">
        <v>18</v>
      </c>
      <c r="B78" s="3332"/>
      <c r="C78" s="815" t="s">
        <v>650</v>
      </c>
      <c r="D78" s="815" t="s">
        <v>651</v>
      </c>
      <c r="E78" s="892">
        <v>0.2</v>
      </c>
      <c r="F78" s="879">
        <v>30</v>
      </c>
    </row>
    <row r="79" spans="1:6" s="875" customFormat="1" ht="24">
      <c r="A79" s="879">
        <v>19</v>
      </c>
      <c r="B79" s="3332"/>
      <c r="C79" s="815" t="s">
        <v>652</v>
      </c>
      <c r="D79" s="815" t="s">
        <v>653</v>
      </c>
      <c r="E79" s="892">
        <v>0.5</v>
      </c>
      <c r="F79" s="879">
        <v>80</v>
      </c>
    </row>
    <row r="80" spans="1:6" s="875" customFormat="1" ht="36">
      <c r="A80" s="879">
        <v>20</v>
      </c>
      <c r="B80" s="3332"/>
      <c r="C80" s="815" t="s">
        <v>654</v>
      </c>
      <c r="D80" s="815" t="s">
        <v>655</v>
      </c>
      <c r="E80" s="892">
        <v>0.2</v>
      </c>
      <c r="F80" s="879">
        <v>30</v>
      </c>
    </row>
    <row r="81" spans="1:6" s="875" customFormat="1" ht="36">
      <c r="A81" s="879">
        <v>21</v>
      </c>
      <c r="B81" s="3332"/>
      <c r="C81" s="815" t="s">
        <v>656</v>
      </c>
      <c r="D81" s="815" t="s">
        <v>657</v>
      </c>
      <c r="E81" s="892">
        <v>0.2</v>
      </c>
      <c r="F81" s="879">
        <v>30</v>
      </c>
    </row>
    <row r="82" spans="1:6" s="875" customFormat="1" ht="48">
      <c r="A82" s="879">
        <v>22</v>
      </c>
      <c r="B82" s="3332"/>
      <c r="C82" s="815" t="s">
        <v>658</v>
      </c>
      <c r="D82" s="815" t="s">
        <v>659</v>
      </c>
      <c r="E82" s="892">
        <v>0.2</v>
      </c>
      <c r="F82" s="879">
        <v>30</v>
      </c>
    </row>
    <row r="83" spans="1:6" s="875" customFormat="1" ht="48">
      <c r="A83" s="879">
        <v>23</v>
      </c>
      <c r="B83" s="3332"/>
      <c r="C83" s="815" t="s">
        <v>660</v>
      </c>
      <c r="D83" s="815" t="s">
        <v>661</v>
      </c>
      <c r="E83" s="892">
        <v>0.2</v>
      </c>
      <c r="F83" s="879">
        <v>30</v>
      </c>
    </row>
    <row r="84" spans="1:6" s="875" customFormat="1" ht="36">
      <c r="A84" s="879">
        <v>24</v>
      </c>
      <c r="B84" s="3332"/>
      <c r="C84" s="815" t="s">
        <v>662</v>
      </c>
      <c r="D84" s="815" t="s">
        <v>663</v>
      </c>
      <c r="E84" s="892">
        <v>0.2</v>
      </c>
      <c r="F84" s="879">
        <v>30</v>
      </c>
    </row>
    <row r="85" spans="1:6" s="875" customFormat="1" ht="36">
      <c r="A85" s="879">
        <v>25</v>
      </c>
      <c r="B85" s="3332"/>
      <c r="C85" s="815" t="s">
        <v>664</v>
      </c>
      <c r="D85" s="815" t="s">
        <v>665</v>
      </c>
      <c r="E85" s="892">
        <v>0.5</v>
      </c>
      <c r="F85" s="879">
        <v>80</v>
      </c>
    </row>
    <row r="86" spans="1:6" s="875" customFormat="1" ht="36">
      <c r="A86" s="879">
        <v>26</v>
      </c>
      <c r="B86" s="3332"/>
      <c r="C86" s="815" t="s">
        <v>666</v>
      </c>
      <c r="D86" s="815" t="s">
        <v>667</v>
      </c>
      <c r="E86" s="892">
        <v>0.2</v>
      </c>
      <c r="F86" s="879">
        <v>30</v>
      </c>
    </row>
    <row r="87" spans="1:6" s="875" customFormat="1" ht="36">
      <c r="A87" s="879">
        <v>27</v>
      </c>
      <c r="B87" s="3332"/>
      <c r="C87" s="815" t="s">
        <v>668</v>
      </c>
      <c r="D87" s="815" t="s">
        <v>669</v>
      </c>
      <c r="E87" s="892">
        <v>0.2</v>
      </c>
      <c r="F87" s="879">
        <v>30</v>
      </c>
    </row>
    <row r="88" spans="1:6" s="875" customFormat="1" ht="36">
      <c r="A88" s="879">
        <v>28</v>
      </c>
      <c r="B88" s="3332"/>
      <c r="C88" s="815" t="s">
        <v>670</v>
      </c>
      <c r="D88" s="815" t="s">
        <v>671</v>
      </c>
      <c r="E88" s="892">
        <v>0.2</v>
      </c>
      <c r="F88" s="879">
        <v>30</v>
      </c>
    </row>
    <row r="89" spans="1:6" s="875" customFormat="1" ht="24">
      <c r="A89" s="879">
        <v>29</v>
      </c>
      <c r="B89" s="3332"/>
      <c r="C89" s="815" t="s">
        <v>672</v>
      </c>
      <c r="D89" s="815" t="s">
        <v>673</v>
      </c>
      <c r="E89" s="892">
        <v>0.2</v>
      </c>
      <c r="F89" s="879">
        <v>30</v>
      </c>
    </row>
    <row r="90" spans="1:6" s="875" customFormat="1" ht="24">
      <c r="A90" s="879">
        <v>30</v>
      </c>
      <c r="B90" s="3332"/>
      <c r="C90" s="815" t="s">
        <v>674</v>
      </c>
      <c r="D90" s="815" t="s">
        <v>675</v>
      </c>
      <c r="E90" s="892">
        <v>0.2</v>
      </c>
      <c r="F90" s="879">
        <v>30</v>
      </c>
    </row>
    <row r="91" spans="1:6" s="875" customFormat="1" ht="36">
      <c r="A91" s="879">
        <v>31</v>
      </c>
      <c r="B91" s="3332"/>
      <c r="C91" s="815" t="s">
        <v>676</v>
      </c>
      <c r="D91" s="815" t="s">
        <v>677</v>
      </c>
      <c r="E91" s="892">
        <v>0.2</v>
      </c>
      <c r="F91" s="879">
        <v>30</v>
      </c>
    </row>
    <row r="92" spans="1:6" s="875" customFormat="1" ht="24">
      <c r="A92" s="879">
        <v>32</v>
      </c>
      <c r="B92" s="3332" t="s">
        <v>678</v>
      </c>
      <c r="C92" s="879" t="s">
        <v>679</v>
      </c>
      <c r="D92" s="815" t="s">
        <v>680</v>
      </c>
      <c r="E92" s="892">
        <v>0.2</v>
      </c>
      <c r="F92" s="879">
        <v>30</v>
      </c>
    </row>
    <row r="93" spans="1:6" s="875" customFormat="1" ht="36">
      <c r="A93" s="879">
        <v>33</v>
      </c>
      <c r="B93" s="3332"/>
      <c r="C93" s="879" t="s">
        <v>681</v>
      </c>
      <c r="D93" s="815" t="s">
        <v>682</v>
      </c>
      <c r="E93" s="892">
        <v>0.2</v>
      </c>
      <c r="F93" s="879">
        <v>30</v>
      </c>
    </row>
    <row r="94" spans="1:6" s="875" customFormat="1" ht="48">
      <c r="A94" s="879">
        <v>34</v>
      </c>
      <c r="B94" s="3332"/>
      <c r="C94" s="879" t="s">
        <v>683</v>
      </c>
      <c r="D94" s="815" t="s">
        <v>684</v>
      </c>
      <c r="E94" s="892">
        <v>0.2</v>
      </c>
      <c r="F94" s="879">
        <v>30</v>
      </c>
    </row>
    <row r="95" spans="1:6" s="875" customFormat="1" ht="36">
      <c r="A95" s="879">
        <v>35</v>
      </c>
      <c r="B95" s="3332"/>
      <c r="C95" s="879" t="s">
        <v>685</v>
      </c>
      <c r="D95" s="815" t="s">
        <v>686</v>
      </c>
      <c r="E95" s="892">
        <v>0.2</v>
      </c>
      <c r="F95" s="879">
        <v>30</v>
      </c>
    </row>
    <row r="96" spans="1:6" s="875" customFormat="1" ht="48">
      <c r="A96" s="879">
        <v>36</v>
      </c>
      <c r="B96" s="3332"/>
      <c r="C96" s="815" t="s">
        <v>687</v>
      </c>
      <c r="D96" s="815" t="s">
        <v>688</v>
      </c>
      <c r="E96" s="892">
        <v>0.2</v>
      </c>
      <c r="F96" s="879">
        <v>30</v>
      </c>
    </row>
    <row r="97" spans="1:6" s="875" customFormat="1" ht="36">
      <c r="A97" s="879">
        <v>37</v>
      </c>
      <c r="B97" s="3332"/>
      <c r="C97" s="879" t="s">
        <v>689</v>
      </c>
      <c r="D97" s="815" t="s">
        <v>690</v>
      </c>
      <c r="E97" s="892">
        <v>0.2</v>
      </c>
      <c r="F97" s="879">
        <v>30</v>
      </c>
    </row>
    <row r="98" spans="1:6" s="875" customFormat="1" ht="36">
      <c r="A98" s="879">
        <v>38</v>
      </c>
      <c r="B98" s="3332"/>
      <c r="C98" s="879" t="s">
        <v>691</v>
      </c>
      <c r="D98" s="815" t="s">
        <v>692</v>
      </c>
      <c r="E98" s="892">
        <v>0.2</v>
      </c>
      <c r="F98" s="879">
        <v>30</v>
      </c>
    </row>
    <row r="99" spans="1:6" s="875" customFormat="1" ht="36">
      <c r="A99" s="879">
        <v>39</v>
      </c>
      <c r="B99" s="3332" t="s">
        <v>693</v>
      </c>
      <c r="C99" s="879" t="s">
        <v>694</v>
      </c>
      <c r="D99" s="815" t="s">
        <v>695</v>
      </c>
      <c r="E99" s="892">
        <v>0.3</v>
      </c>
      <c r="F99" s="879">
        <v>50</v>
      </c>
    </row>
    <row r="100" spans="1:6" s="875" customFormat="1" ht="24">
      <c r="A100" s="879">
        <v>40</v>
      </c>
      <c r="B100" s="3332"/>
      <c r="C100" s="879" t="s">
        <v>696</v>
      </c>
      <c r="D100" s="815" t="s">
        <v>697</v>
      </c>
      <c r="E100" s="892">
        <v>0.2</v>
      </c>
      <c r="F100" s="879">
        <v>30</v>
      </c>
    </row>
    <row r="101" spans="1:6" s="875" customFormat="1" ht="36">
      <c r="A101" s="879">
        <v>41</v>
      </c>
      <c r="B101" s="333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2" t="s">
        <v>708</v>
      </c>
      <c r="C105" s="879" t="s">
        <v>709</v>
      </c>
      <c r="D105" s="815" t="s">
        <v>710</v>
      </c>
      <c r="E105" s="892">
        <v>0.2</v>
      </c>
      <c r="F105" s="879">
        <v>30</v>
      </c>
    </row>
    <row r="106" spans="1:6" s="875" customFormat="1" ht="36">
      <c r="A106" s="879">
        <v>46</v>
      </c>
      <c r="B106" s="3332"/>
      <c r="C106" s="879" t="s">
        <v>711</v>
      </c>
      <c r="D106" s="815" t="s">
        <v>712</v>
      </c>
      <c r="E106" s="892">
        <v>0.2</v>
      </c>
      <c r="F106" s="879">
        <v>30</v>
      </c>
    </row>
    <row r="107" spans="1:6" s="875" customFormat="1" ht="36">
      <c r="A107" s="879">
        <v>47</v>
      </c>
      <c r="B107" s="3332" t="s">
        <v>713</v>
      </c>
      <c r="C107" s="879" t="s">
        <v>714</v>
      </c>
      <c r="D107" s="815" t="s">
        <v>715</v>
      </c>
      <c r="E107" s="892">
        <v>0.3</v>
      </c>
      <c r="F107" s="879">
        <v>50</v>
      </c>
    </row>
    <row r="108" spans="1:6" s="875" customFormat="1" ht="36">
      <c r="A108" s="879">
        <v>48</v>
      </c>
      <c r="B108" s="333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2" t="s">
        <v>724</v>
      </c>
      <c r="C111" s="879" t="s">
        <v>725</v>
      </c>
      <c r="D111" s="815" t="s">
        <v>726</v>
      </c>
      <c r="E111" s="892">
        <v>0.2</v>
      </c>
      <c r="F111" s="879">
        <v>30</v>
      </c>
    </row>
    <row r="112" spans="1:6" s="875" customFormat="1" ht="24">
      <c r="A112" s="879">
        <v>52</v>
      </c>
      <c r="B112" s="3332"/>
      <c r="C112" s="879" t="s">
        <v>727</v>
      </c>
      <c r="D112" s="815" t="s">
        <v>728</v>
      </c>
      <c r="E112" s="892">
        <v>0.2</v>
      </c>
      <c r="F112" s="879">
        <v>30</v>
      </c>
    </row>
    <row r="113" spans="1:6" s="875" customFormat="1" ht="24">
      <c r="A113" s="879">
        <v>53</v>
      </c>
      <c r="B113" s="333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2" t="s">
        <v>737</v>
      </c>
      <c r="C116" s="879" t="s">
        <v>738</v>
      </c>
      <c r="D116" s="815" t="s">
        <v>739</v>
      </c>
      <c r="E116" s="892">
        <v>0.2</v>
      </c>
      <c r="F116" s="879">
        <v>30</v>
      </c>
    </row>
    <row r="117" spans="1:6" ht="36">
      <c r="A117" s="879">
        <v>57</v>
      </c>
      <c r="B117" s="333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38" t="s">
        <v>1150</v>
      </c>
      <c r="C1" s="3338"/>
      <c r="D1" s="3338"/>
      <c r="E1" s="3338"/>
      <c r="F1" s="3338"/>
      <c r="G1" s="3334" t="s">
        <v>1151</v>
      </c>
      <c r="H1" s="3334"/>
      <c r="I1" s="3334"/>
      <c r="J1" s="3334"/>
      <c r="K1" s="3334"/>
      <c r="L1" s="3334"/>
      <c r="N1" s="3334" t="s">
        <v>1152</v>
      </c>
      <c r="O1" s="3334"/>
      <c r="P1" s="3334"/>
      <c r="Q1" s="3334"/>
      <c r="R1" s="1445"/>
      <c r="S1" s="3334" t="s">
        <v>1153</v>
      </c>
      <c r="T1" s="3334"/>
      <c r="U1" s="3334"/>
      <c r="V1" s="3334"/>
      <c r="X1" s="3333" t="s">
        <v>1154</v>
      </c>
      <c r="Y1" s="3334"/>
      <c r="Z1" s="3334"/>
      <c r="AA1" s="3334"/>
      <c r="AB1" s="3334"/>
      <c r="AD1" s="3333" t="s">
        <v>1155</v>
      </c>
      <c r="AE1" s="3334"/>
      <c r="AF1" s="3334"/>
      <c r="AG1" s="3334"/>
      <c r="AH1" s="3334"/>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39">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36"/>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36"/>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37"/>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35">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36"/>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36"/>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37"/>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35">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36"/>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36"/>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37"/>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40">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41"/>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41"/>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42"/>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35">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36"/>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36"/>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37"/>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35">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36">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36">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37">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35">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36">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36">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37">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35">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36">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36">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37">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35">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36">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36">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37">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35">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36">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36">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37">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35">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36">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36">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37">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35">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36">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36">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37">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35">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36">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36">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37">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35">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36">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36">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37">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35">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36">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36">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37">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44" t="s">
        <v>3007</v>
      </c>
      <c r="D1" s="3345"/>
      <c r="E1" s="3345"/>
      <c r="F1" s="3345"/>
      <c r="G1" s="3345"/>
      <c r="H1" s="3345"/>
      <c r="I1" s="3345"/>
      <c r="J1" s="3345"/>
      <c r="K1" s="3345"/>
      <c r="L1" s="3345"/>
      <c r="M1" s="3345"/>
      <c r="N1" s="3345"/>
      <c r="O1" s="3345"/>
      <c r="P1" s="3345"/>
      <c r="Q1" s="3345"/>
      <c r="R1" s="3345"/>
      <c r="S1" s="3346"/>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100" t="s">
        <v>33</v>
      </c>
      <c r="D22" s="3101"/>
      <c r="E22" s="3101"/>
      <c r="F22" s="3101"/>
      <c r="G22" s="3101"/>
      <c r="H22" s="3101"/>
      <c r="I22" s="3101"/>
      <c r="J22" s="3101"/>
      <c r="K22" s="3101"/>
      <c r="L22" s="3101"/>
      <c r="M22" s="3101"/>
      <c r="N22" s="3101"/>
      <c r="O22" s="3101"/>
      <c r="P22" s="3101"/>
      <c r="Q22" s="3343"/>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103160</v>
      </c>
      <c r="C2" s="2" t="s">
        <v>133</v>
      </c>
      <c r="D2" s="243"/>
      <c r="E2" s="243"/>
      <c r="F2" s="243"/>
      <c r="G2" s="243"/>
    </row>
    <row r="3" spans="1:7" s="244" customFormat="1" ht="18" customHeight="1" thickBot="1">
      <c r="A3" s="247" t="s">
        <v>85</v>
      </c>
      <c r="B3" s="248">
        <f ca="1">ROUND(B2*10000/'数据-汇总表'!E3,0)</f>
        <v>8821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35014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95" t="s">
        <v>121</v>
      </c>
    </row>
    <row r="43" spans="1:7" ht="13.5" customHeight="1">
      <c r="A43" s="951" t="s">
        <v>792</v>
      </c>
      <c r="B43" s="259" t="s">
        <v>1064</v>
      </c>
      <c r="C43" s="282">
        <f ca="1">ROUND(IF('数据-取费表'!B22&lt;=1,C39*F22*'数据-取费表'!B21/2,C39*(POWER((1+F22),'数据-取费表'!B21/2)-1)),0)</f>
        <v>124</v>
      </c>
      <c r="D43" s="282"/>
      <c r="E43" s="282"/>
      <c r="F43" s="283"/>
      <c r="G43" s="3196"/>
    </row>
    <row r="44" spans="1:7" ht="13.5" customHeight="1">
      <c r="A44" s="951" t="s">
        <v>793</v>
      </c>
      <c r="B44" s="259" t="s">
        <v>1066</v>
      </c>
      <c r="C44" s="282">
        <f ca="1">ROUND(IF('数据-取费表'!B22&lt;=1,C40*F22*'数据-取费表'!B21/2,C40*(POWER((1+F22),'数据-取费表'!B21/2)-1)),4)</f>
        <v>2.2000000000000001E-3</v>
      </c>
      <c r="D44" s="282"/>
      <c r="E44" s="282"/>
      <c r="F44" s="283"/>
      <c r="G44" s="3197"/>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82601</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68146</v>
      </c>
      <c r="D51" s="276"/>
      <c r="E51" s="276"/>
      <c r="F51" s="308"/>
      <c r="G51" s="278" t="s">
        <v>64</v>
      </c>
    </row>
    <row r="52" spans="1:7" s="252" customFormat="1" ht="16.5" thickBot="1">
      <c r="A52" s="309" t="s">
        <v>65</v>
      </c>
      <c r="B52" s="310"/>
      <c r="C52" s="311">
        <f ca="1">C31+C51</f>
        <v>103160</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7" t="s">
        <v>156</v>
      </c>
      <c r="B1" s="3347"/>
      <c r="C1" s="3347"/>
      <c r="D1" s="3347"/>
      <c r="E1" s="3347"/>
      <c r="F1" s="334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8" t="s">
        <v>169</v>
      </c>
      <c r="B2" s="3348"/>
      <c r="C2" s="3348"/>
      <c r="D2" s="3348"/>
      <c r="E2" s="3348"/>
      <c r="F2" s="334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7" t="s">
        <v>871</v>
      </c>
      <c r="B1" s="334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1643</v>
      </c>
      <c r="B2" s="3011" t="s">
        <v>1644</v>
      </c>
      <c r="C2" s="3011" t="s">
        <v>1645</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65318</v>
      </c>
      <c r="E4" s="1044">
        <f ca="1">结果表!E118</f>
        <v>5585</v>
      </c>
      <c r="F4" s="1044">
        <f ca="1">结果表!F118</f>
        <v>52821</v>
      </c>
      <c r="G4" s="1044">
        <f ca="1">结果表!G118</f>
        <v>4517</v>
      </c>
      <c r="H4" s="1044">
        <f ca="1">结果表!H118</f>
        <v>118139</v>
      </c>
      <c r="I4" s="1044">
        <f ca="1">结果表!I118</f>
        <v>10102</v>
      </c>
    </row>
    <row r="5" spans="1:9" ht="30" customHeight="1">
      <c r="A5" s="3012" t="s">
        <v>1642</v>
      </c>
      <c r="B5" s="3012"/>
      <c r="C5" s="3012"/>
      <c r="D5" s="3013" t="str">
        <f ca="1">结果表!D119</f>
        <v>陆亿伍仟叁佰壹拾捌万元整</v>
      </c>
      <c r="E5" s="3013"/>
      <c r="F5" s="3013" t="str">
        <f ca="1">结果表!F119</f>
        <v>伍亿贰仟捌佰贰拾壹万元整</v>
      </c>
      <c r="G5" s="3013"/>
      <c r="H5" s="3013" t="str">
        <f ca="1">结果表!H119</f>
        <v>壹拾壹亿捌仟壹佰叁拾玖万元整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1642</v>
      </c>
      <c r="B7" s="3012"/>
      <c r="C7" s="3012"/>
      <c r="D7" s="3015" t="str">
        <f>结果表!D121</f>
        <v>零元整</v>
      </c>
      <c r="E7" s="3016"/>
      <c r="F7" s="3016"/>
      <c r="G7" s="3016"/>
      <c r="H7" s="3016"/>
      <c r="I7" s="3017"/>
    </row>
    <row r="8" spans="1:9" ht="15.75">
      <c r="A8" s="3014" t="str">
        <f>结果表!A122</f>
        <v>房地产抵押价值</v>
      </c>
      <c r="B8" s="3014"/>
      <c r="C8" s="3014"/>
      <c r="D8" s="3014">
        <f ca="1">结果表!D122</f>
        <v>118139</v>
      </c>
      <c r="E8" s="3014"/>
      <c r="F8" s="3014"/>
      <c r="G8" s="3014"/>
      <c r="H8" s="3014"/>
      <c r="I8" s="3014"/>
    </row>
    <row r="9" spans="1:9" ht="15">
      <c r="A9" s="3012" t="s">
        <v>1642</v>
      </c>
      <c r="B9" s="3012"/>
      <c r="C9" s="3012"/>
      <c r="D9" s="3013" t="str">
        <f ca="1">结果表!D123</f>
        <v>壹拾壹亿捌仟壹佰叁拾玖万元整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1642</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1642</v>
      </c>
      <c r="B13" s="3018"/>
      <c r="C13" s="3018"/>
      <c r="D13" s="3019" t="e">
        <f>结果表!D127</f>
        <v>#VALUE!</v>
      </c>
      <c r="E13" s="3019"/>
      <c r="F13" s="3019"/>
      <c r="G13" s="3019"/>
      <c r="H13" s="3019"/>
      <c r="I13" s="3019"/>
    </row>
    <row r="14" spans="1:9" ht="15" thickTop="1">
      <c r="A14" s="3020" t="s">
        <v>1647</v>
      </c>
      <c r="B14" s="3020"/>
      <c r="C14" s="3020"/>
      <c r="D14" s="3020"/>
      <c r="E14" s="3020"/>
      <c r="F14" s="3020"/>
      <c r="G14" s="3020"/>
      <c r="H14" s="3020"/>
      <c r="I14" s="302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1" t="s">
        <v>1664</v>
      </c>
      <c r="B1" s="3021"/>
      <c r="C1" s="3021"/>
      <c r="D1" s="3021"/>
    </row>
    <row r="2" spans="1:4" ht="18">
      <c r="A2" s="3022" t="s">
        <v>1648</v>
      </c>
      <c r="B2" s="3022"/>
      <c r="C2" s="3022"/>
      <c r="D2" s="3022"/>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22" t="s">
        <v>1654</v>
      </c>
      <c r="B6" s="3022"/>
      <c r="C6" s="3022"/>
      <c r="D6" s="3022"/>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23" t="s">
        <v>1657</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1658</v>
      </c>
      <c r="B16" s="3027"/>
      <c r="C16" s="3027"/>
      <c r="D16" s="3027"/>
    </row>
    <row r="17" spans="1:4" ht="144" customHeight="1">
      <c r="A17" s="3027" t="s">
        <v>1659</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1660</v>
      </c>
      <c r="B22" s="3029"/>
      <c r="C22" s="3029"/>
      <c r="D22" s="302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5" t="s">
        <v>1671</v>
      </c>
      <c r="B15" s="3030" t="s">
        <v>136</v>
      </c>
      <c r="C15" s="3031"/>
    </row>
    <row r="16" spans="1:7" ht="13.5">
      <c r="A16" s="3036"/>
      <c r="B16" s="3030" t="s">
        <v>69</v>
      </c>
      <c r="C16" s="3031"/>
    </row>
    <row r="17" spans="1:3" ht="13.5">
      <c r="A17" s="3036"/>
      <c r="B17" s="3033" t="s">
        <v>1672</v>
      </c>
      <c r="C17" s="1999" t="s">
        <v>1671</v>
      </c>
    </row>
    <row r="18" spans="1:3" ht="13.5">
      <c r="A18" s="3036"/>
      <c r="B18" s="3033"/>
      <c r="C18" s="1999" t="s">
        <v>1673</v>
      </c>
    </row>
    <row r="19" spans="1:3" ht="13.5">
      <c r="A19" s="3036"/>
      <c r="B19" s="3033"/>
      <c r="C19" s="1999" t="s">
        <v>1674</v>
      </c>
    </row>
    <row r="20" spans="1:3" ht="13.5">
      <c r="A20" s="3037"/>
      <c r="B20" s="3032" t="s">
        <v>1675</v>
      </c>
      <c r="C20" s="3031"/>
    </row>
    <row r="21" spans="1:3" ht="13.5">
      <c r="A21" s="2000" t="s">
        <v>1676</v>
      </c>
      <c r="B21" s="2001"/>
      <c r="C21" s="2002"/>
    </row>
    <row r="22" spans="1:3" ht="13.5">
      <c r="A22" s="3034" t="s">
        <v>1677</v>
      </c>
      <c r="B22" s="3032" t="s">
        <v>1678</v>
      </c>
      <c r="C22" s="3031"/>
    </row>
    <row r="23" spans="1:3" ht="13.5">
      <c r="A23" s="3034"/>
      <c r="B23" s="3032" t="s">
        <v>1679</v>
      </c>
      <c r="C23" s="3031"/>
    </row>
    <row r="24" spans="1:3" ht="13.5">
      <c r="A24" s="3034"/>
      <c r="B24" s="3032" t="s">
        <v>1680</v>
      </c>
      <c r="C24" s="3031"/>
    </row>
    <row r="25" spans="1:3" ht="13.5">
      <c r="A25" s="3034"/>
      <c r="B25" s="3033" t="s">
        <v>1681</v>
      </c>
      <c r="C25" s="1999" t="s">
        <v>1682</v>
      </c>
    </row>
    <row r="26" spans="1:3" ht="13.5">
      <c r="A26" s="3034"/>
      <c r="B26" s="3033"/>
      <c r="C26" s="1999" t="s">
        <v>1683</v>
      </c>
    </row>
    <row r="27" spans="1:3" ht="13.5">
      <c r="A27" s="3034"/>
      <c r="B27" s="3033"/>
      <c r="C27" s="1999" t="s">
        <v>1684</v>
      </c>
    </row>
    <row r="28" spans="1:3" ht="13.5">
      <c r="A28" s="3034"/>
      <c r="B28" s="3033"/>
      <c r="C28" s="1999" t="s">
        <v>1685</v>
      </c>
    </row>
    <row r="29" spans="1:3" ht="13.5">
      <c r="A29" s="3034"/>
      <c r="B29" s="3033"/>
      <c r="C29" s="1999" t="s">
        <v>1686</v>
      </c>
    </row>
    <row r="30" spans="1:3" ht="13.5">
      <c r="A30" s="3034"/>
      <c r="B30" s="3033"/>
      <c r="C30" s="1999" t="s">
        <v>1687</v>
      </c>
    </row>
    <row r="31" spans="1:3" ht="13.5">
      <c r="A31" s="3034"/>
      <c r="B31" s="3033"/>
      <c r="C31" s="1999" t="s">
        <v>1688</v>
      </c>
    </row>
    <row r="32" spans="1:3" ht="13.5">
      <c r="A32" s="3034"/>
      <c r="B32" s="3033"/>
      <c r="C32" s="1999" t="s">
        <v>1689</v>
      </c>
    </row>
    <row r="33" spans="1:3" ht="13.5">
      <c r="A33" s="3034"/>
      <c r="B33" s="3033"/>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43178</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38" t="s">
        <v>846</v>
      </c>
      <c r="B25" s="3038"/>
      <c r="C25" s="3038"/>
      <c r="D25" s="3038"/>
      <c r="E25" s="3038"/>
      <c r="F25" s="3038"/>
      <c r="G25" s="3038"/>
    </row>
    <row r="26" spans="1:7" s="1025" customFormat="1" ht="24" customHeight="1">
      <c r="A26" s="3039" t="s">
        <v>847</v>
      </c>
      <c r="B26" s="3039"/>
      <c r="C26" s="3040"/>
      <c r="D26" s="3041" t="s">
        <v>848</v>
      </c>
      <c r="E26" s="3039"/>
      <c r="F26" s="3039"/>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2018-03-19T07:10:05Z</dcterms:modified>
</cp:coreProperties>
</file>