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 sheetId="43" r:id="rId24"/>
    <sheet name="基准地价修正(商业)" sheetId="82" r:id="rId25"/>
    <sheet name="收益法" sheetId="15" r:id="rId26"/>
    <sheet name="收益法(商业)" sheetId="81" r:id="rId27"/>
    <sheet name="收益法 (元)" sheetId="67" state="hidden" r:id="rId28"/>
    <sheet name="收益法-酒店模型" sheetId="77" state="hidden" r:id="rId29"/>
    <sheet name="收益法（汇总）" sheetId="70" r:id="rId30"/>
    <sheet name="比较法-住宅" sheetId="21" state="hidden" r:id="rId31"/>
    <sheet name="结果表(商业)" sheetId="84" r:id="rId32"/>
    <sheet name="结果表(办公)" sheetId="83" r:id="rId33"/>
    <sheet name="比较法-办公" sheetId="3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比较法-商业" sheetId="33"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43" hidden="1">'比较法-商业'!$A$1:$L$49</definedName>
    <definedName name="_xlnm._FilterDatabase" localSheetId="30" hidden="1">'比较法-住宅'!$A$1:$L$49</definedName>
    <definedName name="_xlnm._FilterDatabase" localSheetId="13" hidden="1">抵押物清单!$A$2:$G$427</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43">'比较法-商业'!$A$1:$K$54,'比较法-商业'!$A$57:$M$131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基准地价修正!$A$1:$J$44,基准地价修正!$A$47:$H$101,基准地价修正!$R$1:$V$16</definedName>
    <definedName name="_xlnm.Print_Area" localSheetId="24">'基准地价修正(商业)'!$A$1:$J$44,'基准地价修正(商业)'!$A$47:$H$101,'基准地价修正(商业)'!$R$1:$V$16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32">'结果表(办公)'!$A$1:$I$127</definedName>
    <definedName name="_xlnm.Print_Area" localSheetId="31">'结果表(商业)'!$A$1:$I$127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6">'收益法(商业)'!$A$1:$F$43,'收益法(商业)'!$H$3:$M$29,'收益法(商业)'!$A$46:$F$71,'收益法(商业)'!$I$46:$N$65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I48" i="34" l="1"/>
  <c r="G48" i="34"/>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C18" i="84" s="1"/>
  <c r="D18" i="84" s="1"/>
  <c r="L4" i="84"/>
  <c r="K4" i="84"/>
  <c r="A2" i="84"/>
  <c r="H1" i="84"/>
  <c r="A120" i="83"/>
  <c r="A118" i="83"/>
  <c r="E111" i="83"/>
  <c r="A126" i="83" s="1"/>
  <c r="H109" i="83"/>
  <c r="D124" i="83" s="1"/>
  <c r="D125" i="83" s="1"/>
  <c r="E109" i="83"/>
  <c r="A124" i="83" s="1"/>
  <c r="E107" i="83"/>
  <c r="A122" i="83" s="1"/>
  <c r="H106" i="83"/>
  <c r="H105" i="83"/>
  <c r="H104" i="83"/>
  <c r="H103" i="83"/>
  <c r="D120" i="83" s="1"/>
  <c r="D101" i="83"/>
  <c r="C101" i="83"/>
  <c r="D93" i="83"/>
  <c r="C91" i="83"/>
  <c r="E90" i="83"/>
  <c r="D89" i="83"/>
  <c r="C89" i="83" s="1"/>
  <c r="C87" i="83" s="1"/>
  <c r="D78" i="83"/>
  <c r="H77" i="83"/>
  <c r="D77" i="83"/>
  <c r="C77" i="83"/>
  <c r="C76" i="83"/>
  <c r="C74" i="83"/>
  <c r="D68" i="83"/>
  <c r="F59" i="83"/>
  <c r="E59" i="83"/>
  <c r="N56" i="83"/>
  <c r="M56" i="83"/>
  <c r="K56" i="83"/>
  <c r="J56" i="83"/>
  <c r="J57" i="83" s="1"/>
  <c r="J59" i="83" s="1"/>
  <c r="J61" i="83" s="1"/>
  <c r="F56" i="83"/>
  <c r="O55" i="83"/>
  <c r="N55" i="83"/>
  <c r="K55" i="83"/>
  <c r="J55" i="83"/>
  <c r="I55" i="83"/>
  <c r="F55" i="83"/>
  <c r="O54" i="83"/>
  <c r="N54" i="83"/>
  <c r="F54" i="83"/>
  <c r="O53" i="83"/>
  <c r="N53" i="83"/>
  <c r="F53" i="83"/>
  <c r="F52" i="83"/>
  <c r="K49" i="83"/>
  <c r="F48" i="83"/>
  <c r="O52" i="83" s="1"/>
  <c r="E48" i="83"/>
  <c r="N52" i="83" s="1"/>
  <c r="D48" i="83"/>
  <c r="M52" i="83" s="1"/>
  <c r="M47" i="83"/>
  <c r="F33" i="83"/>
  <c r="D27" i="83"/>
  <c r="C25" i="83"/>
  <c r="C24" i="83"/>
  <c r="D17" i="83"/>
  <c r="C17" i="83"/>
  <c r="L4" i="83"/>
  <c r="K4" i="83"/>
  <c r="A2" i="83"/>
  <c r="H1" i="83"/>
  <c r="I36" i="33"/>
  <c r="G36" i="33"/>
  <c r="E36" i="33"/>
  <c r="C36" i="33"/>
  <c r="I7" i="33"/>
  <c r="G7" i="33"/>
  <c r="E7" i="33"/>
  <c r="I37" i="34"/>
  <c r="G37" i="34"/>
  <c r="E37" i="34"/>
  <c r="C37" i="34"/>
  <c r="I7" i="34"/>
  <c r="G7" i="34"/>
  <c r="E7" i="34"/>
  <c r="G51" i="82"/>
  <c r="G52" i="82"/>
  <c r="G53" i="82"/>
  <c r="G54" i="82"/>
  <c r="G55" i="82"/>
  <c r="G56" i="82"/>
  <c r="G57" i="82"/>
  <c r="G58" i="82"/>
  <c r="G50" i="82"/>
  <c r="K50" i="82" s="1"/>
  <c r="J50" i="82" s="1"/>
  <c r="U3" i="82"/>
  <c r="K3" i="80"/>
  <c r="U2" i="82" s="1"/>
  <c r="K4" i="80"/>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N100" i="82"/>
  <c r="M100" i="82"/>
  <c r="K100" i="82"/>
  <c r="J100" i="82" s="1"/>
  <c r="D100" i="82"/>
  <c r="B100" i="82"/>
  <c r="M99" i="82"/>
  <c r="N99" i="82" s="1"/>
  <c r="K99" i="82"/>
  <c r="J99" i="82"/>
  <c r="D99" i="82"/>
  <c r="B99" i="82"/>
  <c r="N98" i="82"/>
  <c r="M98" i="82"/>
  <c r="K98" i="82"/>
  <c r="J98" i="82" s="1"/>
  <c r="D98" i="82"/>
  <c r="N97" i="82"/>
  <c r="M97" i="82"/>
  <c r="K97" i="82"/>
  <c r="J97" i="82" s="1"/>
  <c r="D97" i="82"/>
  <c r="B97" i="82"/>
  <c r="N96" i="82"/>
  <c r="M96" i="82"/>
  <c r="K96" i="82"/>
  <c r="J96" i="82" s="1"/>
  <c r="D96" i="82"/>
  <c r="M95" i="82"/>
  <c r="N95" i="82" s="1"/>
  <c r="K95" i="82"/>
  <c r="J95" i="82"/>
  <c r="D95" i="82"/>
  <c r="B95" i="82"/>
  <c r="N94" i="82"/>
  <c r="M94" i="82"/>
  <c r="K94" i="82"/>
  <c r="J94" i="82" s="1"/>
  <c r="D94" i="82"/>
  <c r="B94" i="82"/>
  <c r="M93" i="82"/>
  <c r="N93" i="82" s="1"/>
  <c r="K93" i="82"/>
  <c r="J93" i="82"/>
  <c r="F93" i="82"/>
  <c r="H101" i="82" s="1"/>
  <c r="D93" i="82"/>
  <c r="E93" i="82" s="1"/>
  <c r="B91" i="82" s="1"/>
  <c r="N90" i="82"/>
  <c r="M90" i="82"/>
  <c r="K90" i="82"/>
  <c r="J90" i="82" s="1"/>
  <c r="D90" i="82"/>
  <c r="B90" i="82"/>
  <c r="M89" i="82"/>
  <c r="N89" i="82" s="1"/>
  <c r="K89" i="82"/>
  <c r="J89" i="82"/>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F83" i="82"/>
  <c r="H89" i="82" s="1"/>
  <c r="E83" i="82"/>
  <c r="B81" i="82" s="1"/>
  <c r="D83" i="82"/>
  <c r="B83" i="82"/>
  <c r="N80" i="82"/>
  <c r="M80" i="82"/>
  <c r="K80" i="82"/>
  <c r="J80" i="82" s="1"/>
  <c r="D80" i="82"/>
  <c r="N79" i="82"/>
  <c r="M79" i="82"/>
  <c r="K79" i="82"/>
  <c r="J79" i="82" s="1"/>
  <c r="D79" i="82"/>
  <c r="B79" i="82"/>
  <c r="M78" i="82"/>
  <c r="N78" i="82" s="1"/>
  <c r="K78" i="82"/>
  <c r="J78" i="82"/>
  <c r="D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E72" i="82" s="1"/>
  <c r="B70" i="82" s="1"/>
  <c r="B73" i="82"/>
  <c r="N72" i="82"/>
  <c r="M72" i="82"/>
  <c r="K72" i="82"/>
  <c r="J72" i="82" s="1"/>
  <c r="F72" i="82"/>
  <c r="H78" i="82" s="1"/>
  <c r="D72" i="82"/>
  <c r="B72" i="82"/>
  <c r="B69" i="82"/>
  <c r="B68" i="82"/>
  <c r="D67" i="82"/>
  <c r="B67" i="82"/>
  <c r="B65" i="82"/>
  <c r="B63" i="82"/>
  <c r="B62" i="82"/>
  <c r="B61" i="82"/>
  <c r="M58" i="82"/>
  <c r="N58" i="82" s="1"/>
  <c r="K58" i="82"/>
  <c r="J58" i="82"/>
  <c r="D58" i="82"/>
  <c r="B58" i="82"/>
  <c r="N57" i="82"/>
  <c r="M57" i="82"/>
  <c r="K57" i="82"/>
  <c r="J57" i="82" s="1"/>
  <c r="D57" i="82" s="1"/>
  <c r="B57" i="82"/>
  <c r="M56" i="82"/>
  <c r="N56" i="82" s="1"/>
  <c r="K56" i="82"/>
  <c r="J56" i="82" s="1"/>
  <c r="D56" i="82"/>
  <c r="B56" i="82"/>
  <c r="N55" i="82"/>
  <c r="M55" i="82"/>
  <c r="K55" i="82"/>
  <c r="J55" i="82" s="1"/>
  <c r="N54" i="82"/>
  <c r="M54" i="82"/>
  <c r="K54" i="82"/>
  <c r="J54" i="82" s="1"/>
  <c r="D54" i="82"/>
  <c r="B54" i="82"/>
  <c r="M53" i="82"/>
  <c r="N53" i="82" s="1"/>
  <c r="K53" i="82"/>
  <c r="J53" i="82"/>
  <c r="D53" i="82"/>
  <c r="M52" i="82"/>
  <c r="N52" i="82" s="1"/>
  <c r="K52" i="82"/>
  <c r="J52" i="82" s="1"/>
  <c r="D52" i="82"/>
  <c r="B52" i="82"/>
  <c r="N51" i="82"/>
  <c r="M51" i="82"/>
  <c r="K51" i="82"/>
  <c r="J51" i="82" s="1"/>
  <c r="B51" i="82"/>
  <c r="M50" i="82"/>
  <c r="N50" i="82" s="1"/>
  <c r="D50" i="82"/>
  <c r="B50" i="82"/>
  <c r="H42" i="82"/>
  <c r="H41" i="82"/>
  <c r="H40" i="82"/>
  <c r="H39" i="82"/>
  <c r="H38" i="82"/>
  <c r="H37" i="82"/>
  <c r="P29" i="82"/>
  <c r="P25" i="82"/>
  <c r="M24" i="82"/>
  <c r="J24" i="82"/>
  <c r="I24" i="82"/>
  <c r="C24" i="82" s="1"/>
  <c r="G24" i="82"/>
  <c r="E44" i="82" s="1"/>
  <c r="C44" i="82" s="1"/>
  <c r="E24" i="82"/>
  <c r="Q32" i="82" s="1"/>
  <c r="O23" i="82"/>
  <c r="M23" i="82"/>
  <c r="I23" i="82"/>
  <c r="G23" i="82"/>
  <c r="P28" i="82" s="1"/>
  <c r="C23" i="82"/>
  <c r="C22" i="82"/>
  <c r="C20"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G3" i="82"/>
  <c r="B116" i="82" s="1"/>
  <c r="I2" i="82"/>
  <c r="M11" i="82" s="1"/>
  <c r="G2" i="82"/>
  <c r="H116" i="82" s="1"/>
  <c r="M1" i="82"/>
  <c r="G62" i="43"/>
  <c r="G63" i="43"/>
  <c r="G64" i="43"/>
  <c r="G65" i="43"/>
  <c r="G66" i="43"/>
  <c r="G67" i="43"/>
  <c r="G68" i="43"/>
  <c r="G69" i="43"/>
  <c r="G61" i="43"/>
  <c r="AK7" i="1"/>
  <c r="Q72" i="81"/>
  <c r="Q59" i="81"/>
  <c r="K59" i="81"/>
  <c r="P74"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AM7" i="1"/>
  <c r="AL7" i="1"/>
  <c r="Y7" i="1"/>
  <c r="Y6" i="1"/>
  <c r="N8" i="1"/>
  <c r="N7" i="1"/>
  <c r="N6" i="1"/>
  <c r="B59" i="1"/>
  <c r="B21" i="1"/>
  <c r="H6" i="80"/>
  <c r="H5" i="80"/>
  <c r="H4" i="80"/>
  <c r="I13" i="3" s="1"/>
  <c r="H3" i="80"/>
  <c r="K13" i="3" s="1"/>
  <c r="D35" i="84"/>
  <c r="D34" i="83"/>
  <c r="F9" i="81"/>
  <c r="C76" i="81"/>
  <c r="D34" i="84"/>
  <c r="D35" i="83"/>
  <c r="F8" i="81"/>
  <c r="K120" i="84" l="1"/>
  <c r="D121" i="84"/>
  <c r="C74" i="84"/>
  <c r="C92" i="84"/>
  <c r="C94" i="84"/>
  <c r="H109" i="84"/>
  <c r="C18" i="83"/>
  <c r="D18" i="83" s="1"/>
  <c r="C92" i="83"/>
  <c r="C94" i="83"/>
  <c r="K120" i="83"/>
  <c r="D121" i="83"/>
  <c r="H112" i="83"/>
  <c r="H110" i="83"/>
  <c r="H111" i="83"/>
  <c r="D126" i="83" s="1"/>
  <c r="D127" i="83" s="1"/>
  <c r="D51" i="82"/>
  <c r="D55" i="82"/>
  <c r="E50" i="82"/>
  <c r="B48" i="82" s="1"/>
  <c r="H7" i="80"/>
  <c r="S5" i="82"/>
  <c r="I21" i="82"/>
  <c r="S3" i="82"/>
  <c r="E17" i="82"/>
  <c r="M21" i="82"/>
  <c r="N2" i="82"/>
  <c r="M3" i="82"/>
  <c r="M5" i="82"/>
  <c r="S6" i="82"/>
  <c r="X7" i="82"/>
  <c r="M12" i="82"/>
  <c r="D21" i="82"/>
  <c r="K21" i="82"/>
  <c r="O21" i="82"/>
  <c r="H72" i="82"/>
  <c r="H76" i="82"/>
  <c r="H83" i="82"/>
  <c r="H87" i="82"/>
  <c r="H74" i="82"/>
  <c r="H85" i="82"/>
  <c r="E11" i="82"/>
  <c r="E10" i="82"/>
  <c r="E9" i="82"/>
  <c r="E8" i="82"/>
  <c r="N12" i="82"/>
  <c r="N11" i="82"/>
  <c r="N10" i="82"/>
  <c r="M9" i="82"/>
  <c r="M8" i="82"/>
  <c r="N7" i="82"/>
  <c r="N6" i="82"/>
  <c r="F50" i="82" s="1"/>
  <c r="N5" i="82"/>
  <c r="M4" i="82"/>
  <c r="N3" i="82"/>
  <c r="M2" i="82"/>
  <c r="N1" i="82"/>
  <c r="N4" i="82"/>
  <c r="M6" i="82"/>
  <c r="M7" i="82"/>
  <c r="N8" i="82"/>
  <c r="N9" i="82"/>
  <c r="M10" i="82"/>
  <c r="E26" i="82"/>
  <c r="G26" i="82"/>
  <c r="J26" i="82"/>
  <c r="C27" i="82"/>
  <c r="N32" i="82"/>
  <c r="P32" i="82"/>
  <c r="S2" i="82"/>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C118" i="82" s="1"/>
  <c r="S4" i="82"/>
  <c r="C6" i="82"/>
  <c r="Z7" i="82"/>
  <c r="C21" i="82"/>
  <c r="E21" i="82"/>
  <c r="H21" i="82"/>
  <c r="J21" i="82"/>
  <c r="L21" i="82"/>
  <c r="N21" i="82"/>
  <c r="F26" i="82"/>
  <c r="H26" i="82"/>
  <c r="P26" i="82"/>
  <c r="P27" i="82"/>
  <c r="M32" i="82"/>
  <c r="O32" i="82"/>
  <c r="F37" i="82"/>
  <c r="F38" i="82"/>
  <c r="F39" i="82"/>
  <c r="F40" i="82"/>
  <c r="F41" i="82"/>
  <c r="F42" i="82"/>
  <c r="F61" i="82"/>
  <c r="H79" i="82"/>
  <c r="H80" i="82"/>
  <c r="H90" i="82"/>
  <c r="H94" i="82"/>
  <c r="H97" i="82"/>
  <c r="H98" i="82"/>
  <c r="H100" i="82"/>
  <c r="H73" i="82"/>
  <c r="H75" i="82"/>
  <c r="H77" i="82"/>
  <c r="H84" i="82"/>
  <c r="H86" i="82"/>
  <c r="H88" i="82"/>
  <c r="H93" i="82"/>
  <c r="H95" i="82"/>
  <c r="H96" i="82"/>
  <c r="H99" i="82"/>
  <c r="Q71" i="81"/>
  <c r="F51" i="81"/>
  <c r="P61" i="81"/>
  <c r="B10" i="74"/>
  <c r="M22" i="81"/>
  <c r="M9" i="81"/>
  <c r="M23" i="81"/>
  <c r="F37" i="81"/>
  <c r="F42" i="81"/>
  <c r="F6" i="81"/>
  <c r="F13" i="81"/>
  <c r="F26" i="81"/>
  <c r="F36" i="81"/>
  <c r="M24" i="81"/>
  <c r="L48" i="81"/>
  <c r="M6" i="81"/>
  <c r="F16" i="81"/>
  <c r="M26" i="81"/>
  <c r="M28" i="81"/>
  <c r="L47" i="81"/>
  <c r="M8" i="81"/>
  <c r="J15" i="81"/>
  <c r="M27" i="81"/>
  <c r="F38" i="81"/>
  <c r="F40" i="81"/>
  <c r="D124" i="84" l="1"/>
  <c r="D125" i="84" s="1"/>
  <c r="H110" i="84"/>
  <c r="H57" i="82"/>
  <c r="H50" i="82"/>
  <c r="H53" i="82"/>
  <c r="H58" i="82"/>
  <c r="H54" i="82"/>
  <c r="H52" i="82"/>
  <c r="H56" i="82"/>
  <c r="H51" i="82"/>
  <c r="H55" i="82"/>
  <c r="D116" i="82"/>
  <c r="H69" i="82"/>
  <c r="G69" i="82" s="1"/>
  <c r="H67" i="82"/>
  <c r="G67" i="82" s="1"/>
  <c r="H66" i="82"/>
  <c r="G66" i="82" s="1"/>
  <c r="H63" i="82"/>
  <c r="G63" i="82" s="1"/>
  <c r="H62" i="82"/>
  <c r="G62" i="82" s="1"/>
  <c r="H61" i="82"/>
  <c r="G61" i="82" s="1"/>
  <c r="H68" i="82"/>
  <c r="G68" i="82" s="1"/>
  <c r="H65" i="82"/>
  <c r="G65" i="82" s="1"/>
  <c r="H64" i="82"/>
  <c r="G64" i="82" s="1"/>
  <c r="G21" i="82"/>
  <c r="D5" i="82"/>
  <c r="C5" i="82"/>
  <c r="D26" i="82"/>
  <c r="C25" i="82" s="1"/>
  <c r="L57" i="81"/>
  <c r="L56" i="81"/>
  <c r="J53" i="81"/>
  <c r="J57" i="81"/>
  <c r="J55" i="81" s="1"/>
  <c r="J58" i="81" s="1"/>
  <c r="Q50" i="81" s="1"/>
  <c r="J59" i="81"/>
  <c r="J60" i="81"/>
  <c r="Q48" i="81" s="1"/>
  <c r="I54" i="81"/>
  <c r="L60" i="81"/>
  <c r="F68" i="81"/>
  <c r="F66" i="81"/>
  <c r="F64" i="81"/>
  <c r="C27" i="81"/>
  <c r="N59" i="81"/>
  <c r="L59" i="81"/>
  <c r="L58" i="81"/>
  <c r="M59" i="81"/>
  <c r="F65"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M65" i="82" l="1"/>
  <c r="N65" i="82" s="1"/>
  <c r="K65" i="82"/>
  <c r="K61" i="82"/>
  <c r="M61" i="82"/>
  <c r="N61" i="82" s="1"/>
  <c r="K63" i="82"/>
  <c r="M63" i="82"/>
  <c r="N63" i="82" s="1"/>
  <c r="K67" i="82"/>
  <c r="J67" i="82" s="1"/>
  <c r="M67" i="82"/>
  <c r="N67" i="82" s="1"/>
  <c r="M64" i="82"/>
  <c r="N64" i="82" s="1"/>
  <c r="K64" i="82"/>
  <c r="M68" i="82"/>
  <c r="N68" i="82" s="1"/>
  <c r="K68" i="82"/>
  <c r="J68" i="82" s="1"/>
  <c r="D68" i="82" s="1"/>
  <c r="K62" i="82"/>
  <c r="M62" i="82"/>
  <c r="N62" i="82" s="1"/>
  <c r="K66" i="82"/>
  <c r="M66" i="82"/>
  <c r="N66" i="82" s="1"/>
  <c r="M69" i="82"/>
  <c r="N69" i="82" s="1"/>
  <c r="K69" i="82"/>
  <c r="Q60" i="81"/>
  <c r="Q73" i="81"/>
  <c r="Q66" i="81"/>
  <c r="Q57" i="81"/>
  <c r="L46" i="81"/>
  <c r="Q61" i="81"/>
  <c r="Q74" i="81"/>
  <c r="Q52" i="81"/>
  <c r="F1" i="81"/>
  <c r="C6" i="78"/>
  <c r="C7" i="78"/>
  <c r="C5" i="78"/>
  <c r="F13" i="1"/>
  <c r="D13" i="1"/>
  <c r="D12" i="1"/>
  <c r="D11" i="1"/>
  <c r="D10" i="1"/>
  <c r="D9" i="1"/>
  <c r="D8" i="1"/>
  <c r="D7" i="1"/>
  <c r="D6" i="1"/>
  <c r="J69" i="82" l="1"/>
  <c r="D69" i="82"/>
  <c r="J64" i="82"/>
  <c r="D64" i="82"/>
  <c r="J65" i="82"/>
  <c r="D65" i="82"/>
  <c r="D66" i="82"/>
  <c r="J66" i="82"/>
  <c r="D62" i="82"/>
  <c r="J62" i="82"/>
  <c r="D63" i="82"/>
  <c r="J63" i="82"/>
  <c r="D61" i="82"/>
  <c r="J61" i="82"/>
  <c r="I2" i="43"/>
  <c r="M1" i="43" s="1"/>
  <c r="E61" i="82" l="1"/>
  <c r="B59" i="82" s="1"/>
  <c r="C28" i="82"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16" i="82" l="1"/>
  <c r="V16" i="82" s="1"/>
  <c r="T14" i="82"/>
  <c r="V14" i="82" s="1"/>
  <c r="T9" i="82"/>
  <c r="V9" i="82" s="1"/>
  <c r="T6" i="82"/>
  <c r="V6" i="82" s="1"/>
  <c r="T3" i="82"/>
  <c r="V3" i="82" s="1"/>
  <c r="T10" i="82"/>
  <c r="V10" i="82" s="1"/>
  <c r="T11" i="82"/>
  <c r="V11" i="82" s="1"/>
  <c r="T7" i="82"/>
  <c r="V7" i="82" s="1"/>
  <c r="C42" i="82"/>
  <c r="C40" i="82"/>
  <c r="C38" i="82"/>
  <c r="T15" i="82"/>
  <c r="V15" i="82" s="1"/>
  <c r="T13" i="82"/>
  <c r="V13" i="82" s="1"/>
  <c r="T8" i="82"/>
  <c r="V8" i="82" s="1"/>
  <c r="T5" i="82"/>
  <c r="V5" i="82" s="1"/>
  <c r="C33" i="82"/>
  <c r="T12" i="82"/>
  <c r="V12" i="82" s="1"/>
  <c r="T2" i="82"/>
  <c r="V2" i="82" s="1"/>
  <c r="T4" i="82"/>
  <c r="V4" i="82" s="1"/>
  <c r="C41" i="82"/>
  <c r="C39" i="82"/>
  <c r="C37" i="82"/>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G37" i="82" l="1"/>
  <c r="I37" i="82" s="1"/>
  <c r="E37" i="82"/>
  <c r="G41" i="82"/>
  <c r="I41" i="82" s="1"/>
  <c r="E41" i="82"/>
  <c r="C34" i="82"/>
  <c r="E34" i="82" s="1"/>
  <c r="G40" i="82"/>
  <c r="I40" i="82" s="1"/>
  <c r="E40" i="82"/>
  <c r="G39" i="82"/>
  <c r="I39" i="82" s="1"/>
  <c r="E39" i="82"/>
  <c r="G38" i="82"/>
  <c r="I38" i="82" s="1"/>
  <c r="E38" i="82"/>
  <c r="G42" i="82"/>
  <c r="I42" i="82" s="1"/>
  <c r="E42" i="82"/>
  <c r="H100" i="43"/>
  <c r="H97" i="43"/>
  <c r="H95" i="43"/>
  <c r="H94" i="43"/>
  <c r="H98" i="43"/>
  <c r="H93" i="43"/>
  <c r="H101" i="43"/>
  <c r="H99" i="43"/>
  <c r="H96" i="43"/>
  <c r="G23" i="78"/>
  <c r="G24" i="78"/>
  <c r="G25" i="78"/>
  <c r="B15" i="78"/>
  <c r="B18" i="78"/>
  <c r="G14" i="73"/>
  <c r="F14" i="73"/>
  <c r="E14" i="73"/>
  <c r="C31" i="82" l="1"/>
  <c r="G15" i="73"/>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F20" i="6" s="1"/>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K8" i="1" s="1"/>
  <c r="M8" i="1"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88" i="3"/>
  <c r="E116" i="3"/>
  <c r="E393" i="3"/>
  <c r="E564"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43" i="67"/>
  <c r="F26" i="15"/>
  <c r="F7" i="73"/>
  <c r="AO13" i="1"/>
  <c r="F8" i="67"/>
  <c r="F6" i="67"/>
  <c r="F36" i="67"/>
  <c r="F40" i="15"/>
  <c r="M8" i="15"/>
  <c r="F16" i="67"/>
  <c r="F26" i="67"/>
  <c r="D35" i="9"/>
  <c r="F42" i="67"/>
  <c r="L47" i="15"/>
  <c r="F36" i="15"/>
  <c r="D4" i="73"/>
  <c r="F20" i="31"/>
  <c r="F16" i="15"/>
  <c r="F6" i="73"/>
  <c r="F3" i="73"/>
  <c r="D7" i="73"/>
  <c r="F40" i="67"/>
  <c r="E12" i="76"/>
  <c r="F6" i="15"/>
  <c r="F9" i="67"/>
  <c r="M23" i="15"/>
  <c r="B9" i="76"/>
  <c r="C76" i="67"/>
  <c r="F42" i="15"/>
  <c r="F7" i="67"/>
  <c r="J15" i="67"/>
  <c r="F8" i="15"/>
  <c r="E2" i="68"/>
  <c r="F38" i="67"/>
  <c r="M9" i="67"/>
  <c r="F4" i="73"/>
  <c r="B13" i="76"/>
  <c r="M28" i="15"/>
  <c r="E11" i="76"/>
  <c r="D3" i="73"/>
  <c r="M26" i="67"/>
  <c r="E10" i="76"/>
  <c r="B12" i="76"/>
  <c r="M23" i="67"/>
  <c r="M24" i="67"/>
  <c r="M24" i="15"/>
  <c r="B10" i="76"/>
  <c r="L47" i="67"/>
  <c r="F37" i="15"/>
  <c r="L48" i="67"/>
  <c r="B11" i="76"/>
  <c r="M26" i="15"/>
  <c r="M28" i="67"/>
  <c r="E13" i="76"/>
  <c r="F5" i="73"/>
  <c r="E9" i="76"/>
  <c r="D6" i="73"/>
  <c r="L48" i="15"/>
  <c r="M6" i="15"/>
  <c r="M6" i="67"/>
  <c r="C76" i="15"/>
  <c r="M8" i="67"/>
  <c r="B8" i="76"/>
  <c r="D34" i="9"/>
  <c r="F13" i="67"/>
  <c r="M9" i="15"/>
  <c r="D5" i="73"/>
  <c r="F13" i="15"/>
  <c r="M22" i="15"/>
  <c r="E2" i="69"/>
  <c r="F38" i="15"/>
  <c r="E8" i="76"/>
  <c r="F9" i="15"/>
  <c r="J15" i="15"/>
  <c r="M22" i="67"/>
  <c r="M29" i="67"/>
  <c r="E510" i="3" l="1"/>
  <c r="E205" i="3"/>
  <c r="E296" i="3"/>
  <c r="E140" i="3"/>
  <c r="E197" i="3"/>
  <c r="E173" i="3"/>
  <c r="E369" i="3"/>
  <c r="E525" i="3"/>
  <c r="E534" i="3"/>
  <c r="T6" i="3"/>
  <c r="E405"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43" i="3"/>
  <c r="E493" i="3"/>
  <c r="E105" i="3"/>
  <c r="E223" i="3"/>
  <c r="E16" i="3"/>
  <c r="K7" i="1"/>
  <c r="M18" i="84"/>
  <c r="B118" i="84" s="1"/>
  <c r="E421" i="3"/>
  <c r="E502" i="3"/>
  <c r="E552" i="3"/>
  <c r="R6" i="3"/>
  <c r="E542" i="3"/>
  <c r="E499" i="3"/>
  <c r="AD6" i="3"/>
  <c r="E575" i="3"/>
  <c r="E312" i="3"/>
  <c r="E286" i="3"/>
  <c r="E141" i="3"/>
  <c r="E199" i="3"/>
  <c r="E167" i="3"/>
  <c r="E212" i="3"/>
  <c r="E149" i="3"/>
  <c r="E148" i="3"/>
  <c r="E244" i="3"/>
  <c r="E536" i="3"/>
  <c r="E165" i="3"/>
  <c r="E539" i="3"/>
  <c r="AB36" i="33"/>
  <c r="S36" i="33"/>
  <c r="M7" i="1"/>
  <c r="D33" i="82"/>
  <c r="D33" i="43"/>
  <c r="D1" i="43" s="1"/>
  <c r="E19" i="6"/>
  <c r="C28" i="67"/>
  <c r="C21" i="68"/>
  <c r="C40" i="69"/>
  <c r="G28" i="6"/>
  <c r="G30" i="6" s="1"/>
  <c r="G31" i="6" s="1"/>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81"/>
  <c r="C16" i="81"/>
  <c r="G1" i="73"/>
  <c r="F7" i="81"/>
  <c r="F43" i="81"/>
  <c r="C16" i="67"/>
  <c r="F71" i="81" l="1"/>
  <c r="F50" i="81"/>
  <c r="C49" i="81" s="1"/>
  <c r="C61" i="81" s="1"/>
  <c r="M7" i="81"/>
  <c r="J6" i="81" s="1"/>
  <c r="J19" i="81" s="1"/>
  <c r="C6" i="81"/>
  <c r="C32" i="81" s="1"/>
  <c r="K6" i="1"/>
  <c r="M18" i="83"/>
  <c r="B118" i="83" s="1"/>
  <c r="AP6" i="1"/>
  <c r="C36" i="69" s="1"/>
  <c r="D1" i="82"/>
  <c r="E33" i="82"/>
  <c r="C30" i="82" s="1"/>
  <c r="O7" i="1"/>
  <c r="P7" i="1" s="1"/>
  <c r="J18" i="81"/>
  <c r="F11" i="81"/>
  <c r="M11" i="81"/>
  <c r="J10" i="81"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L36" i="82"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8" i="1"/>
  <c r="AE12" i="1"/>
  <c r="AE10" i="1"/>
  <c r="F43" i="15"/>
  <c r="AE6" i="1"/>
  <c r="F7" i="15"/>
  <c r="M29" i="15"/>
  <c r="AE7" i="1"/>
  <c r="F41" i="67"/>
  <c r="E7" i="76"/>
  <c r="J5" i="81" l="1"/>
  <c r="J26" i="81" s="1"/>
  <c r="C33" i="81"/>
  <c r="F71" i="15"/>
  <c r="M7" i="15"/>
  <c r="J6" i="15" s="1"/>
  <c r="J18" i="15" s="1"/>
  <c r="F50" i="15"/>
  <c r="C49" i="15" s="1"/>
  <c r="C6" i="15"/>
  <c r="C32" i="15" s="1"/>
  <c r="Q16" i="1"/>
  <c r="H16" i="1"/>
  <c r="M6" i="1"/>
  <c r="G16" i="1"/>
  <c r="K16" i="1"/>
  <c r="B2" i="82"/>
  <c r="L37" i="82"/>
  <c r="P36" i="82"/>
  <c r="N36" i="82"/>
  <c r="Q36" i="82"/>
  <c r="O36" i="82"/>
  <c r="M36" i="82"/>
  <c r="L36" i="43"/>
  <c r="L37" i="43" s="1"/>
  <c r="F24" i="81"/>
  <c r="C53" i="81"/>
  <c r="C48" i="81" s="1"/>
  <c r="C10" i="81"/>
  <c r="C5" i="81"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F41" i="81"/>
  <c r="B7" i="76"/>
  <c r="M27" i="15"/>
  <c r="C16" i="15"/>
  <c r="M27" i="67"/>
  <c r="F41" i="15"/>
  <c r="C48" i="15" l="1"/>
  <c r="C66" i="15" s="1"/>
  <c r="F69" i="81"/>
  <c r="J29" i="81"/>
  <c r="J24" i="81"/>
  <c r="J5" i="15"/>
  <c r="J24" i="15" s="1"/>
  <c r="F10" i="39"/>
  <c r="H10" i="39"/>
  <c r="J10" i="39"/>
  <c r="J10" i="40"/>
  <c r="F10" i="40"/>
  <c r="H10" i="40"/>
  <c r="O16" i="1"/>
  <c r="O6" i="1"/>
  <c r="F27" i="69"/>
  <c r="F27" i="11"/>
  <c r="F28" i="12"/>
  <c r="C29" i="12" s="1"/>
  <c r="D28" i="12" s="1"/>
  <c r="F27" i="68"/>
  <c r="B3" i="82"/>
  <c r="G54" i="34"/>
  <c r="H54" i="34" s="1"/>
  <c r="P37" i="82"/>
  <c r="N37" i="82"/>
  <c r="Q37" i="82"/>
  <c r="O37" i="82"/>
  <c r="M37" i="82"/>
  <c r="D116" i="43"/>
  <c r="Q36" i="43"/>
  <c r="M36" i="43"/>
  <c r="P36" i="43"/>
  <c r="O36" i="43"/>
  <c r="N36" i="43"/>
  <c r="C38" i="81"/>
  <c r="C24" i="81"/>
  <c r="C66" i="81"/>
  <c r="C60" i="8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81"/>
  <c r="C17" i="67"/>
  <c r="F45" i="68" l="1"/>
  <c r="C29" i="68"/>
  <c r="D27" i="68" s="1"/>
  <c r="C47" i="68"/>
  <c r="D45" i="68" s="1"/>
  <c r="C29" i="11"/>
  <c r="D27" i="11" s="1"/>
  <c r="C47" i="11"/>
  <c r="D45" i="11" s="1"/>
  <c r="AB10" i="40"/>
  <c r="U10" i="40"/>
  <c r="AC10" i="40"/>
  <c r="W10" i="40"/>
  <c r="U10" i="39"/>
  <c r="AB10" i="39"/>
  <c r="M19" i="83"/>
  <c r="C118" i="83" s="1"/>
  <c r="M19" i="84"/>
  <c r="C118" i="84" s="1"/>
  <c r="S20" i="6"/>
  <c r="L18" i="84"/>
  <c r="C47" i="69"/>
  <c r="D45" i="69" s="1"/>
  <c r="C29" i="69"/>
  <c r="D27" i="69" s="1"/>
  <c r="F45" i="69"/>
  <c r="S10" i="40"/>
  <c r="AA10" i="40"/>
  <c r="W10" i="39"/>
  <c r="AC10" i="39"/>
  <c r="S10" i="39"/>
  <c r="AA10" i="39"/>
  <c r="E7" i="70"/>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C14" i="81"/>
  <c r="E6" i="76"/>
  <c r="E2" i="70" l="1"/>
  <c r="L19" i="84"/>
  <c r="C18" i="12"/>
  <c r="C18" i="81"/>
  <c r="C15" i="81"/>
  <c r="B3" i="43"/>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C6" i="68" s="1"/>
  <c r="C7" i="68" s="1"/>
  <c r="C5" i="68" s="1"/>
  <c r="C23" i="68" s="1"/>
  <c r="I69" i="39"/>
  <c r="J67" i="39"/>
  <c r="D9" i="71"/>
  <c r="I63" i="40"/>
  <c r="H65" i="40"/>
  <c r="I58" i="21"/>
  <c r="J58" i="21" s="1"/>
  <c r="K58" i="21" s="1"/>
  <c r="L58" i="21" s="1"/>
  <c r="M58" i="21" s="1"/>
  <c r="N58" i="21" s="1"/>
  <c r="O58" i="21" s="1"/>
  <c r="H7" i="21" s="1"/>
  <c r="F7" i="21"/>
  <c r="J48" i="35"/>
  <c r="C19" i="81" l="1"/>
  <c r="C20" i="81" s="1"/>
  <c r="C26" i="8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81" l="1"/>
  <c r="C29" i="8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F35" i="67"/>
  <c r="M21" i="15"/>
  <c r="M21" i="81"/>
  <c r="M21" i="67"/>
  <c r="F35" i="15"/>
  <c r="C57" i="81" l="1"/>
  <c r="C64" i="81" s="1"/>
  <c r="Q49" i="81"/>
  <c r="C13" i="81"/>
  <c r="C36" i="81"/>
  <c r="J14" i="81"/>
  <c r="F63" i="81"/>
  <c r="C62" i="81" s="1"/>
  <c r="C59" i="81" s="1"/>
  <c r="C34" i="81"/>
  <c r="C31" i="81" s="1"/>
  <c r="J20" i="81"/>
  <c r="J17"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J13" i="81"/>
  <c r="J23" i="81" s="1"/>
  <c r="J22" i="81"/>
  <c r="C75" i="81"/>
  <c r="C37" i="81"/>
  <c r="C30" i="81" s="1"/>
  <c r="C39" i="81" s="1"/>
  <c r="Q70" i="81"/>
  <c r="C56" i="81"/>
  <c r="C65" i="81" s="1"/>
  <c r="C58" i="81" s="1"/>
  <c r="C67" i="81" s="1"/>
  <c r="C68" i="81" s="1"/>
  <c r="C71"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C20" i="9"/>
  <c r="D2" i="21"/>
  <c r="L51" i="67"/>
  <c r="C103" i="9" l="1"/>
  <c r="J16" i="81"/>
  <c r="J25" i="81" s="1"/>
  <c r="Q69" i="81"/>
  <c r="Q68" i="81" s="1"/>
  <c r="C40" i="81"/>
  <c r="C46" i="81" s="1"/>
  <c r="C80" i="81"/>
  <c r="C79" i="81" s="1"/>
  <c r="Q67" i="8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3" i="81" l="1"/>
  <c r="C83" i="81"/>
  <c r="C82" i="81" s="1"/>
  <c r="Q65" i="81"/>
  <c r="Q75" i="81" s="1"/>
  <c r="B2" i="81"/>
  <c r="B3" i="81" s="1"/>
  <c r="Q56" i="81"/>
  <c r="Q62" i="81" s="1"/>
  <c r="Q47" i="81"/>
  <c r="Q53" i="81"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84"/>
  <c r="D2" i="37"/>
  <c r="D2" i="35"/>
  <c r="L51" i="15"/>
  <c r="D2" i="34"/>
  <c r="D2" i="36"/>
  <c r="C102" i="84" l="1"/>
  <c r="C21" i="84"/>
  <c r="B3" i="33"/>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3"/>
  <c r="AO9" i="1"/>
  <c r="C20" i="84"/>
  <c r="AO11" i="1"/>
  <c r="AO8" i="1"/>
  <c r="AO12" i="1"/>
  <c r="AO10" i="1"/>
  <c r="AO7" i="1"/>
  <c r="C102" i="83" l="1"/>
  <c r="C21" i="83"/>
  <c r="C103" i="84"/>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AO6" i="1"/>
  <c r="D19" i="84"/>
  <c r="C103" i="83" l="1"/>
  <c r="D21" i="84"/>
  <c r="D102" i="84"/>
  <c r="D22" i="84"/>
  <c r="G19" i="84"/>
  <c r="G21" i="84" s="1"/>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19" i="9"/>
  <c r="D19" i="83"/>
  <c r="D103" i="84" l="1"/>
  <c r="G20" i="84"/>
  <c r="C32" i="84" s="1"/>
  <c r="D21" i="83"/>
  <c r="D102" i="83"/>
  <c r="D22" i="83"/>
  <c r="G19" i="83"/>
  <c r="G21" i="83" s="1"/>
  <c r="D102" i="9"/>
  <c r="G19" i="9"/>
  <c r="G21" i="9" s="1"/>
  <c r="D21" i="9"/>
  <c r="D22" i="9"/>
  <c r="B3" i="70"/>
  <c r="C42" i="40"/>
  <c r="C43" i="40"/>
  <c r="E47" i="40"/>
  <c r="F47" i="40" s="1"/>
  <c r="E46" i="40"/>
  <c r="F46" i="40" s="1"/>
  <c r="I47" i="40"/>
  <c r="J47" i="40" s="1"/>
  <c r="D20" i="83"/>
  <c r="D20" i="9"/>
  <c r="C35" i="84" l="1"/>
  <c r="C34" i="84" s="1"/>
  <c r="D103" i="83"/>
  <c r="G20" i="83"/>
  <c r="C32" i="83" s="1"/>
  <c r="G20" i="9"/>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83" l="1"/>
  <c r="C34" i="83" s="1"/>
  <c r="B6" i="74" l="1"/>
  <c r="D6" i="74" s="1"/>
  <c r="F118" i="84" l="1"/>
  <c r="F119" i="84" s="1"/>
  <c r="D118" i="84"/>
  <c r="D119" i="84" s="1"/>
  <c r="H118" i="84"/>
  <c r="I118" i="84" l="1"/>
  <c r="H102" i="84" s="1"/>
  <c r="D14" i="74"/>
  <c r="H101" i="84"/>
  <c r="M48" i="84" s="1"/>
  <c r="C104" i="84"/>
  <c r="H119" i="84"/>
  <c r="C105" i="84"/>
  <c r="G118" i="84"/>
  <c r="E118" i="84" l="1"/>
  <c r="F14" i="74"/>
  <c r="E14" i="74"/>
  <c r="D45" i="84"/>
  <c r="D53" i="84" s="1"/>
  <c r="H107" i="84"/>
  <c r="H108" i="84" s="1"/>
  <c r="D122" i="84"/>
  <c r="D123" i="84" s="1"/>
  <c r="C93" i="84" l="1"/>
  <c r="C86" i="84" s="1"/>
  <c r="D55" i="84"/>
  <c r="M53" i="84" s="1"/>
  <c r="C72" i="84"/>
  <c r="D52" i="84"/>
  <c r="C85" i="84"/>
  <c r="C95" i="84" s="1"/>
  <c r="C78" i="84"/>
  <c r="C73" i="84" s="1"/>
  <c r="C64" i="84"/>
  <c r="C63" i="84" s="1"/>
  <c r="C67" i="84" s="1"/>
  <c r="D59" i="84" s="1"/>
  <c r="M55" i="84" s="1"/>
  <c r="M49" i="84"/>
  <c r="L64" i="84" s="1"/>
  <c r="M64" i="84" s="1"/>
  <c r="C96" i="84"/>
  <c r="E96" i="84" s="1"/>
  <c r="E97" i="84" s="1"/>
  <c r="C68" i="84"/>
  <c r="D54" i="84" s="1"/>
  <c r="C79" i="84"/>
  <c r="L65" i="84" l="1"/>
  <c r="M65" i="84" s="1"/>
  <c r="L63" i="84"/>
  <c r="M63" i="84" s="1"/>
  <c r="L66" i="84"/>
  <c r="M66" i="84" s="1"/>
  <c r="L67" i="84"/>
  <c r="M67" i="84" s="1"/>
  <c r="L68" i="84"/>
  <c r="M68" i="84" s="1"/>
  <c r="C97" i="84"/>
  <c r="D58" i="84" s="1"/>
  <c r="D56" i="84" s="1"/>
  <c r="M54" i="84" s="1"/>
  <c r="N57" i="84" s="1"/>
  <c r="N59" i="84" s="1"/>
  <c r="N61" i="84" s="1"/>
  <c r="C80" i="84"/>
  <c r="E80" i="84" s="1"/>
  <c r="E81" i="84" s="1"/>
  <c r="M69" i="84" l="1"/>
  <c r="N69" i="84" s="1"/>
  <c r="N60" i="84"/>
  <c r="P57" i="84"/>
  <c r="N58" i="84"/>
  <c r="C81" i="84"/>
  <c r="F118" i="83"/>
  <c r="F119" i="83" s="1"/>
  <c r="D118" i="83"/>
  <c r="D119" i="83" s="1"/>
  <c r="H118" i="83"/>
  <c r="D15" i="74" s="1"/>
  <c r="E15" i="74" l="1"/>
  <c r="F15" i="74"/>
  <c r="B5" i="74"/>
  <c r="D5" i="74" s="1"/>
  <c r="G118" i="83"/>
  <c r="C104" i="83"/>
  <c r="H119" i="83"/>
  <c r="H101" i="83"/>
  <c r="I118" i="83"/>
  <c r="C105" i="83" l="1"/>
  <c r="H102" i="83"/>
  <c r="E118" i="83"/>
  <c r="M48" i="83"/>
  <c r="D45" i="83"/>
  <c r="H107" i="83"/>
  <c r="D52" i="83" l="1"/>
  <c r="C93" i="83"/>
  <c r="C86" i="83" s="1"/>
  <c r="C64" i="83"/>
  <c r="C63" i="83" s="1"/>
  <c r="C67" i="83" s="1"/>
  <c r="D53" i="83"/>
  <c r="D55" i="83"/>
  <c r="M53" i="83" s="1"/>
  <c r="C78" i="83"/>
  <c r="C73" i="83" s="1"/>
  <c r="C72" i="83"/>
  <c r="C85" i="83"/>
  <c r="C95" i="83" s="1"/>
  <c r="H108" i="83"/>
  <c r="D122" i="83"/>
  <c r="D123" i="83" s="1"/>
  <c r="M49" i="83"/>
  <c r="C79" i="83" l="1"/>
  <c r="C96" i="83"/>
  <c r="E96" i="83" s="1"/>
  <c r="E97" i="83" s="1"/>
  <c r="L64" i="83"/>
  <c r="M64" i="83" s="1"/>
  <c r="L67" i="83"/>
  <c r="M67" i="83" s="1"/>
  <c r="L68" i="83"/>
  <c r="M68" i="83" s="1"/>
  <c r="L66" i="83"/>
  <c r="M66" i="83" s="1"/>
  <c r="L65" i="83"/>
  <c r="M65" i="83" s="1"/>
  <c r="L63" i="83"/>
  <c r="M63" i="83" s="1"/>
  <c r="C80" i="83"/>
  <c r="E80" i="83" s="1"/>
  <c r="E81" i="83" s="1"/>
  <c r="D59" i="83"/>
  <c r="M55" i="83" s="1"/>
  <c r="C68" i="83"/>
  <c r="D54" i="83" s="1"/>
  <c r="C81" i="83" l="1"/>
  <c r="C97" i="83"/>
  <c r="D58" i="83" s="1"/>
  <c r="D56" i="83" s="1"/>
  <c r="M54" i="83" s="1"/>
  <c r="N57" i="83" s="1"/>
  <c r="N58" i="83" s="1"/>
  <c r="M69" i="83"/>
  <c r="N69" i="83" s="1"/>
  <c r="P57" i="83" l="1"/>
  <c r="N59" i="83"/>
  <c r="N61" i="83" s="1"/>
  <c r="N60" i="83"/>
  <c r="C5" i="74"/>
  <c r="D52" i="9"/>
  <c r="D53" i="9"/>
  <c r="I4" i="52"/>
  <c r="C105" i="9"/>
  <c r="H4" i="52"/>
  <c r="C104" i="9"/>
  <c r="N58" i="9"/>
  <c r="P57" i="9"/>
  <c r="N60" i="9"/>
  <c r="N61" i="9"/>
  <c r="N59" i="9"/>
  <c r="C81" i="9"/>
  <c r="B49" i="72"/>
  <c r="B20" i="72"/>
  <c r="D8" i="52"/>
  <c r="E81" i="9"/>
  <c r="B31" i="72"/>
  <c r="B30" i="72"/>
  <c r="B21" i="72"/>
  <c r="B51" i="72"/>
  <c r="D119" i="9"/>
  <c r="D5" i="52"/>
  <c r="C6" i="74"/>
  <c r="D15" i="53"/>
  <c r="F4" i="52"/>
  <c r="M48" i="9"/>
  <c r="D5" i="53"/>
  <c r="D6" i="53"/>
  <c r="B22" i="72"/>
  <c r="E4" i="52"/>
  <c r="B48" i="72"/>
  <c r="D123" i="9"/>
  <c r="D9" i="52"/>
  <c r="L64" i="9"/>
  <c r="M64" i="9"/>
  <c r="C68" i="9"/>
  <c r="D54" i="9"/>
  <c r="L68" i="9"/>
  <c r="M68" i="9"/>
  <c r="L66" i="9"/>
  <c r="M66" i="9"/>
  <c r="D59" i="9"/>
  <c r="M55" i="9"/>
  <c r="C93" i="9"/>
  <c r="C86" i="9"/>
  <c r="D122" i="9"/>
  <c r="H108" i="9"/>
  <c r="B52" i="72"/>
  <c r="N69" i="9"/>
  <c r="E96" i="9"/>
  <c r="E97" i="9"/>
  <c r="D13" i="53"/>
  <c r="D14" i="53"/>
  <c r="B32" i="72"/>
  <c r="E118" i="9"/>
  <c r="D118" i="9"/>
  <c r="D4" i="52"/>
  <c r="B47" i="72"/>
  <c r="L67" i="9"/>
  <c r="M67" i="9"/>
  <c r="F119" i="9"/>
  <c r="F5" i="52"/>
  <c r="B53" i="72"/>
  <c r="C64" i="9"/>
  <c r="C63" i="9"/>
  <c r="C67" i="9"/>
  <c r="C96" i="9"/>
  <c r="N57" i="9"/>
  <c r="L65" i="9"/>
  <c r="M65" i="9"/>
  <c r="H119" i="9"/>
  <c r="H5" i="52"/>
  <c r="C78" i="9"/>
  <c r="C73" i="9"/>
  <c r="G4" i="52"/>
  <c r="G118" i="9"/>
  <c r="F118" i="9"/>
  <c r="M69" i="9"/>
  <c r="H107" i="9"/>
  <c r="M49" i="9"/>
  <c r="L63" i="9"/>
  <c r="M63" i="9"/>
  <c r="M54" i="9"/>
  <c r="C72" i="9"/>
  <c r="C79" i="9"/>
  <c r="C80" i="9"/>
  <c r="E80" i="9"/>
  <c r="D55" i="9"/>
  <c r="M53" i="9"/>
  <c r="H102" i="9"/>
  <c r="D7" i="53"/>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<sst xmlns="http://schemas.openxmlformats.org/spreadsheetml/2006/main" count="10827" uniqueCount="3569">
  <si>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</si>
  <si>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</si>
  <si>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</si>
  <si>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</si>
  <si>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</si>
  <si>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</si>
  <si>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</si>
  <si>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</si>
  <si>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</si>
  <si>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</si>
  <si>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</si>
  <si>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</si>
  <si>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</si>
  <si>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</si>
  <si>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</si>
  <si>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</si>
  <si>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</si>
  <si>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</si>
  <si>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</si>
  <si>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</si>
  <si>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</si>
  <si>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</si>
  <si>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</si>
  <si>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</si>
  <si>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</si>
  <si>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</si>
  <si>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</si>
  <si>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</si>
  <si>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</si>
  <si>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</si>
  <si>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</si>
  <si>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</si>
  <si>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</si>
  <si>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</si>
  <si>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</si>
  <si>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</si>
  <si>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</si>
  <si>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</si>
  <si>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</si>
  <si>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</si>
  <si>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</si>
  <si>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</si>
  <si>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</si>
  <si>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</si>
  <si>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</si>
  <si>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</si>
  <si>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</si>
  <si>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</si>
  <si>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</si>
  <si>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</si>
  <si>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</si>
  <si>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</si>
  <si>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</si>
  <si>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</si>
  <si>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</si>
  <si>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</si>
  <si>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</si>
  <si>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</si>
  <si>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</si>
  <si>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</si>
  <si>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</si>
  <si>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</si>
  <si>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</si>
  <si>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</si>
  <si>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</si>
  <si>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</si>
  <si>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</si>
  <si>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</si>
  <si>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</si>
  <si>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</si>
  <si>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</si>
  <si>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</si>
  <si>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</si>
  <si>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</si>
  <si>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</si>
  <si>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</si>
  <si>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</si>
  <si>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</si>
  <si>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</si>
  <si>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</si>
  <si>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</si>
  <si>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</si>
  <si>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</si>
  <si>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</si>
  <si>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</si>
  <si>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</si>
  <si>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</si>
  <si>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</si>
  <si>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</si>
  <si>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</si>
  <si>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</si>
  <si>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</si>
  <si>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</si>
  <si>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</si>
  <si>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</si>
  <si>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</si>
  <si>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</si>
  <si>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</si>
  <si>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</si>
  <si>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</si>
  <si>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</si>
  <si>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</si>
  <si>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</si>
  <si>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</si>
  <si>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</si>
  <si>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</si>
  <si>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</si>
  <si>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</si>
  <si>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</si>
  <si>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</si>
  <si>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</si>
  <si>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</si>
  <si>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</si>
  <si>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</si>
  <si>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</si>
  <si>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</si>
  <si>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</si>
  <si>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</si>
  <si>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</si>
  <si>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</si>
  <si>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</si>
  <si>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</si>
  <si>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</si>
  <si>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</si>
  <si>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</si>
  <si>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</si>
  <si>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</si>
  <si>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</si>
  <si>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</si>
  <si>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</si>
  <si>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</si>
  <si>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</si>
  <si>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</si>
  <si>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</si>
  <si>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</si>
  <si>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</si>
  <si>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</si>
  <si>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</si>
  <si>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</si>
  <si>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</si>
  <si>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</si>
  <si>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</si>
  <si>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</si>
  <si>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</si>
  <si>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</si>
  <si>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</si>
  <si>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</si>
  <si>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</si>
  <si>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</si>
  <si>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</si>
  <si>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</si>
  <si>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</si>
  <si>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</si>
  <si>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</si>
  <si>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</si>
  <si>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</si>
  <si>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</si>
  <si>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</si>
  <si>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</si>
  <si>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</si>
  <si>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</si>
  <si>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</si>
  <si>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</si>
  <si>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</si>
  <si>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</si>
  <si>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</si>
  <si>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</si>
  <si>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</si>
  <si>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</si>
  <si>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</si>
  <si>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</si>
  <si>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</si>
  <si>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</si>
  <si>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</si>
  <si>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</si>
  <si>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</si>
  <si>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</si>
  <si>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</si>
  <si>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</si>
  <si>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</si>
  <si>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</si>
  <si>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</si>
  <si>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</si>
  <si>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</si>
  <si>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</si>
  <si>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</si>
  <si>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</si>
  <si>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</si>
  <si>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</si>
  <si>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</si>
  <si>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</si>
  <si>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</si>
  <si>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</si>
  <si>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</si>
  <si>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</si>
  <si>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</si>
  <si>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</si>
  <si>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</si>
  <si>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</si>
  <si>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</si>
  <si>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</si>
  <si>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</si>
  <si>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</si>
  <si>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</si>
  <si>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</si>
  <si>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</si>
  <si>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</si>
  <si>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</si>
  <si>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</si>
  <si>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</si>
  <si>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</si>
  <si>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</si>
  <si>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</si>
  <si>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</si>
  <si>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</si>
  <si>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</si>
  <si>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</si>
  <si>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</si>
  <si>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</si>
  <si>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</si>
  <si>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</si>
  <si>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</si>
  <si>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</si>
  <si>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</si>
  <si>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</si>
  <si>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</si>
  <si>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</si>
  <si>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</si>
  <si>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</si>
  <si>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</si>
  <si>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</si>
  <si>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</si>
  <si>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</si>
  <si>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</si>
  <si>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</si>
  <si>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</si>
  <si>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</si>
  <si>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</si>
  <si>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</si>
  <si>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</si>
  <si>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</si>
  <si>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</si>
  <si>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</si>
  <si>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</si>
  <si>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</si>
  <si>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</si>
  <si>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</si>
  <si>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</si>
  <si>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</si>
  <si>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</si>
  <si>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</si>
  <si>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</si>
  <si>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</si>
  <si>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</si>
  <si>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</si>
  <si>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</si>
  <si>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</si>
  <si>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</si>
  <si>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</si>
  <si>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</si>
  <si>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</si>
  <si>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</si>
  <si>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</si>
  <si>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</si>
  <si>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</si>
  <si>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</si>
  <si>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</si>
  <si>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</si>
  <si>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</si>
  <si>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</si>
  <si>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</si>
  <si>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</si>
  <si>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</si>
  <si>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</si>
  <si>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</si>
  <si>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</si>
  <si>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</si>
  <si>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</si>
  <si>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</si>
  <si>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</si>
  <si>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</si>
  <si>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</si>
  <si>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</si>
  <si>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</si>
  <si>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</si>
  <si>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</si>
  <si>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</si>
  <si>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</si>
  <si>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</si>
  <si>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</si>
  <si>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</si>
  <si>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</si>
  <si>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</si>
  <si>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</si>
  <si>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</si>
  <si>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</si>
  <si>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</si>
  <si>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</si>
  <si>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</si>
  <si>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</si>
  <si>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</si>
  <si>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</si>
  <si>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</si>
  <si>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</si>
  <si>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</si>
  <si>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</si>
  <si>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</si>
  <si>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</si>
  <si>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</si>
  <si>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</si>
  <si>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</si>
  <si>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</si>
  <si>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</si>
  <si>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</si>
  <si>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</si>
  <si>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</si>
  <si>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</si>
  <si>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</si>
  <si>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</si>
  <si>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</si>
  <si>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</si>
  <si>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</si>
  <si>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</si>
  <si>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</si>
  <si>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</si>
  <si>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</si>
  <si>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</si>
  <si>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</si>
  <si>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</si>
  <si>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</si>
  <si>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</si>
  <si>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</si>
  <si>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</si>
  <si>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</si>
  <si>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</si>
  <si>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</si>
  <si>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</si>
  <si>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</si>
  <si>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</si>
  <si>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</si>
  <si>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</si>
  <si>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</si>
  <si>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</si>
  <si>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</si>
  <si>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</si>
  <si>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</si>
  <si>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</si>
  <si>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</si>
  <si>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</si>
  <si>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</si>
  <si>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</si>
  <si>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</si>
  <si>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</si>
  <si>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</si>
  <si>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</si>
  <si>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</si>
  <si>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</si>
  <si>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</si>
  <si>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</si>
  <si>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</si>
  <si>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</si>
  <si>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</si>
  <si>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</si>
  <si>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</si>
  <si>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</si>
  <si>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</si>
  <si>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</si>
  <si>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</si>
  <si>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</si>
  <si>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</si>
  <si>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</si>
  <si>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</si>
  <si>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</si>
  <si>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</si>
  <si>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</si>
  <si>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</si>
  <si>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</si>
  <si>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</si>
  <si>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</si>
  <si>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</si>
  <si>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</si>
  <si>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</si>
  <si>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</si>
  <si>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</si>
  <si>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</si>
  <si>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</si>
  <si>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</si>
  <si>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</si>
  <si>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</si>
  <si>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</si>
  <si>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</si>
  <si>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</si>
  <si>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</si>
  <si>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</si>
  <si>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</si>
  <si>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</si>
  <si>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</si>
  <si>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</si>
  <si>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</si>
  <si>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</si>
  <si>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</si>
  <si>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</si>
  <si>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</si>
  <si>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</si>
  <si>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</si>
  <si>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</si>
  <si>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</si>
  <si>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</si>
  <si>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</si>
  <si>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</si>
  <si>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</si>
  <si>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</si>
  <si>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</si>
  <si>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</si>
  <si>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</si>
  <si>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</si>
  <si>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</si>
  <si>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</si>
  <si>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</si>
  <si>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</si>
  <si>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</si>
  <si>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</si>
  <si>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</si>
  <si>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</si>
  <si>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</si>
  <si>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</si>
  <si>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</si>
  <si>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</si>
  <si>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</si>
  <si>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</si>
  <si>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</si>
  <si>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</si>
  <si>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</si>
  <si>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</si>
  <si>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</si>
  <si>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</si>
  <si>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</si>
  <si>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</si>
  <si>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</si>
  <si>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</si>
  <si>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</si>
  <si>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</si>
  <si>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</si>
  <si>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</si>
  <si>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</si>
  <si>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</si>
  <si>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</si>
  <si>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</si>
  <si>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</si>
  <si>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</si>
  <si>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</si>
  <si>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</si>
  <si>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</si>
  <si>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</si>
  <si>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</si>
  <si>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</si>
  <si>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</si>
  <si>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</si>
  <si>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</si>
  <si>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</si>
  <si>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</si>
  <si>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</si>
  <si>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</si>
  <si>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</si>
  <si>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</si>
  <si>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</si>
  <si>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</si>
  <si>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</si>
  <si>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</si>
  <si>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</si>
  <si>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</si>
  <si>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</si>
  <si>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</si>
  <si>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</si>
  <si>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</si>
  <si>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</si>
  <si>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</si>
  <si>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</si>
  <si>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</si>
  <si>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</si>
  <si>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</si>
  <si>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</si>
  <si>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</si>
  <si>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</si>
  <si>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</si>
  <si>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</si>
  <si>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</si>
  <si>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</si>
  <si>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</si>
  <si>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</si>
  <si>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</si>
  <si>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</si>
  <si>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</si>
  <si>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</si>
  <si>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</si>
  <si>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</si>
  <si>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</si>
  <si>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</si>
  <si>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</si>
  <si>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</si>
  <si>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</si>
  <si>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</si>
  <si>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</si>
  <si>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</si>
  <si>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</si>
  <si>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</si>
  <si>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</si>
  <si>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</si>
  <si>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</si>
  <si>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</si>
  <si>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</si>
  <si>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</si>
  <si>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</si>
  <si>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</si>
  <si>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</si>
  <si>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</si>
  <si>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</si>
  <si>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</si>
  <si>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</si>
  <si>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</si>
  <si>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</si>
  <si>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</si>
  <si>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</si>
  <si>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</si>
  <si>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</si>
  <si>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</si>
  <si>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</si>
  <si>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</si>
  <si>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</si>
  <si>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</si>
  <si>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</si>
  <si>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</si>
  <si>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</si>
  <si>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</si>
  <si>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</si>
  <si>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</si>
  <si>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</si>
  <si>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</si>
  <si>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</si>
  <si>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</si>
  <si>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</si>
  <si>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</si>
  <si>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</si>
  <si>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</si>
  <si>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</si>
  <si>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</si>
  <si>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</si>
  <si>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</si>
  <si>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</si>
  <si>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</si>
  <si>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</si>
  <si>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</si>
  <si>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</si>
  <si>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</si>
  <si>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</si>
  <si>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</si>
  <si>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</si>
  <si>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</si>
  <si>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</si>
  <si>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</si>
  <si>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</si>
  <si>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</si>
  <si>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</si>
  <si>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</si>
  <si>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</si>
  <si>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</si>
  <si>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</si>
  <si>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</si>
  <si>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</si>
  <si>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</si>
  <si>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</si>
  <si>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</si>
  <si>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</si>
  <si>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</si>
  <si>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</si>
  <si>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</si>
  <si>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</si>
  <si>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</si>
  <si>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</si>
  <si>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</si>
  <si>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</si>
  <si>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</si>
  <si>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</si>
  <si>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</si>
  <si>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</si>
  <si>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</si>
  <si>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</si>
  <si>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</si>
  <si>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</si>
  <si>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</si>
  <si>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</si>
  <si>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</si>
  <si>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</si>
  <si>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</si>
  <si>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</si>
  <si>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</si>
  <si>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</si>
  <si>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</si>
  <si>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</si>
  <si>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</si>
  <si>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</si>
  <si>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</si>
  <si>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</si>
  <si>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</si>
  <si>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</si>
  <si>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</si>
  <si>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</si>
  <si>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</si>
  <si>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</si>
  <si>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</si>
  <si>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</si>
  <si>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</si>
  <si>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</si>
  <si>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</si>
  <si>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</si>
  <si>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</si>
  <si>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</si>
  <si>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</si>
  <si>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</si>
  <si>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</si>
  <si>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</si>
  <si>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</si>
  <si>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</si>
  <si>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</si>
  <si>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</si>
  <si>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</si>
  <si>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</si>
  <si>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</si>
  <si>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</si>
  <si>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</si>
  <si>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</si>
  <si>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</si>
  <si>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</si>
  <si>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</si>
  <si>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</si>
  <si>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</si>
  <si>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</si>
  <si>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</si>
  <si>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</si>
  <si>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</si>
  <si>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</si>
  <si>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</si>
  <si>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</si>
  <si>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</si>
  <si>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</si>
  <si>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</si>
  <si>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</si>
  <si>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</si>
  <si>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</si>
  <si>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</si>
  <si>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</si>
  <si>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</si>
  <si>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</si>
  <si>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</si>
  <si>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</si>
  <si>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</si>
  <si>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</si>
  <si>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</si>
  <si>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</si>
  <si>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</si>
  <si>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</si>
  <si>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</si>
  <si>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</si>
  <si>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</si>
  <si>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</si>
  <si>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</si>
  <si>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</si>
  <si>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</si>
  <si>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</si>
  <si>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</si>
  <si>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</si>
  <si>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</si>
  <si>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</si>
  <si>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</si>
  <si>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</si>
  <si>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</si>
  <si>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</si>
  <si>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</si>
  <si>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</si>
  <si>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</si>
  <si>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</si>
  <si>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</si>
  <si>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</si>
  <si>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</si>
  <si>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</si>
  <si>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</si>
  <si>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</si>
  <si>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</si>
  <si>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</si>
  <si>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</si>
  <si>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</si>
  <si>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</si>
  <si>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</si>
  <si>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</si>
  <si>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</si>
  <si>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</si>
  <si>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</si>
  <si>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</si>
  <si>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</si>
  <si>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</si>
  <si>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</si>
  <si>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</si>
  <si>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</si>
  <si>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</si>
  <si>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</si>
  <si>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</si>
  <si>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</si>
  <si>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</si>
  <si>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</si>
  <si>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</si>
  <si>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</si>
  <si>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</si>
  <si>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</si>
  <si>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</si>
  <si>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</si>
  <si>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</si>
  <si>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</si>
  <si>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</si>
  <si>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</si>
  <si>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</si>
  <si>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</si>
  <si>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</si>
  <si>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</si>
  <si>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</si>
  <si>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</si>
  <si>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</si>
  <si>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</si>
  <si>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</si>
  <si>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</si>
  <si>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</si>
  <si>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</si>
  <si>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</si>
  <si>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</si>
  <si>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</si>
  <si>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</si>
  <si>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</si>
  <si>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</si>
  <si>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</si>
  <si>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</si>
  <si>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</si>
  <si>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</si>
  <si>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</si>
  <si>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</si>
  <si>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</si>
  <si>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</si>
  <si>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</si>
  <si>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</si>
  <si>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</si>
  <si>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</si>
  <si>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</si>
  <si>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</si>
  <si>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</si>
  <si>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</si>
  <si>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</si>
  <si>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</si>
  <si>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</si>
  <si>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</si>
  <si>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</si>
  <si>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</si>
  <si>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</si>
  <si>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</si>
  <si>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</si>
  <si>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</si>
  <si>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</si>
  <si>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</si>
  <si>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</si>
  <si>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</si>
  <si>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</si>
  <si>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</si>
  <si>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</si>
  <si>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</si>
  <si>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</si>
  <si>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</si>
  <si>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</si>
  <si>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</si>
  <si>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</si>
  <si>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</si>
  <si>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</si>
  <si>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</si>
  <si>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</si>
  <si>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</si>
  <si>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</si>
  <si>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</si>
  <si>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</si>
  <si>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</si>
  <si>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</si>
  <si>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</si>
  <si>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</si>
  <si>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</si>
  <si>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</si>
  <si>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</si>
  <si>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</si>
  <si>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</si>
  <si>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</si>
  <si>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</si>
  <si>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</si>
  <si>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</si>
  <si>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</si>
  <si>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</si>
  <si>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</si>
  <si>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</si>
  <si>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</si>
  <si>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</si>
  <si>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</si>
  <si>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</si>
  <si>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</si>
  <si>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</si>
  <si>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</si>
  <si>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</si>
  <si>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</si>
  <si>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</si>
  <si>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</si>
  <si>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</si>
  <si>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</si>
  <si>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</si>
  <si>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</si>
  <si>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</si>
  <si>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</si>
  <si>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</si>
  <si>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</si>
  <si>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</si>
  <si>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</si>
  <si>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</si>
  <si>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</si>
  <si>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</si>
  <si>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</si>
  <si>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</si>
  <si>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</si>
  <si>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</si>
  <si>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</si>
  <si>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</si>
  <si>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</si>
  <si>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</si>
  <si>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</si>
  <si>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</si>
  <si>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</si>
  <si>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</si>
  <si>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</si>
  <si>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</si>
  <si>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</si>
  <si>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</si>
  <si>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</si>
  <si>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</si>
  <si>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</si>
  <si>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</si>
  <si>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</si>
  <si>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</si>
  <si>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</si>
  <si>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</si>
  <si>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</si>
  <si>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</si>
  <si>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</si>
  <si>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</si>
  <si>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</si>
  <si>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</si>
  <si>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</si>
  <si>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</si>
  <si>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</si>
  <si>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</si>
  <si>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</si>
  <si>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</si>
  <si>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</si>
  <si>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</si>
  <si>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</si>
  <si>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</si>
  <si>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</si>
  <si>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</si>
  <si>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</si>
  <si>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</si>
  <si>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</si>
  <si>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</si>
  <si>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</si>
  <si>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</si>
  <si>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</si>
  <si>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</si>
  <si>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</si>
  <si>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</si>
  <si>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</si>
  <si>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</si>
  <si>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</si>
  <si>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</si>
  <si>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</si>
  <si>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</si>
  <si>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</si>
  <si>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</si>
  <si>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</si>
  <si>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</si>
  <si>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</si>
  <si>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</si>
  <si>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</si>
  <si>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</si>
  <si>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</si>
  <si>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</si>
  <si>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</si>
  <si>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</si>
  <si>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</si>
  <si>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</si>
  <si>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</si>
  <si>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</si>
  <si>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</si>
  <si>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</si>
  <si>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</si>
  <si>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</si>
  <si>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</si>
  <si>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</si>
  <si>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</si>
  <si>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</si>
  <si>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</si>
  <si>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</si>
  <si>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</si>
  <si>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</si>
  <si>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</si>
  <si>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</si>
  <si>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</si>
  <si>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</si>
  <si>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</si>
  <si>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</si>
  <si>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</si>
  <si>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</si>
  <si>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</si>
  <si>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</si>
  <si>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</si>
  <si>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</si>
  <si>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</si>
  <si>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</si>
  <si>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</si>
  <si>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</si>
  <si>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</si>
  <si>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</si>
  <si>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</si>
  <si>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</si>
  <si>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</si>
  <si>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</si>
  <si>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</si>
  <si>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</si>
  <si>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</si>
  <si>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</si>
  <si>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</si>
  <si>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</si>
  <si>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</si>
  <si>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</si>
  <si>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</si>
  <si>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</si>
  <si>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</si>
  <si>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</si>
  <si>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</si>
  <si>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</si>
  <si>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</si>
  <si>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</si>
  <si>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</si>
  <si>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</si>
  <si>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</si>
  <si>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</si>
  <si>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</si>
  <si>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</si>
  <si>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</si>
  <si>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</si>
  <si>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</si>
  <si>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</si>
  <si>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</si>
  <si>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</si>
  <si>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</si>
  <si>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</si>
  <si>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</si>
  <si>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</si>
  <si>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</si>
  <si>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</si>
  <si>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</si>
  <si>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</si>
  <si>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</si>
  <si>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</si>
  <si>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</si>
  <si>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</si>
  <si>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</si>
  <si>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</si>
  <si>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</si>
  <si>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</si>
  <si>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</si>
  <si>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</si>
  <si>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</si>
  <si>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</si>
  <si>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</si>
  <si>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</si>
  <si>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</si>
  <si>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</si>
  <si>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</si>
  <si>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</si>
  <si>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</si>
  <si>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</si>
  <si>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</si>
  <si>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</si>
  <si>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</si>
  <si>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</si>
  <si>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</si>
  <si>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</si>
  <si>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</si>
  <si>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</si>
  <si>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</si>
  <si>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</si>
  <si>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</si>
  <si>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</si>
  <si>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</si>
  <si>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</si>
  <si>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</si>
  <si>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</si>
  <si>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</si>
  <si>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</si>
  <si>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</si>
  <si>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</si>
  <si>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</si>
  <si>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</si>
  <si>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</si>
  <si>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</si>
  <si>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</si>
  <si>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</si>
  <si>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</si>
  <si>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</si>
  <si>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</si>
  <si>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</si>
  <si>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</si>
  <si>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</si>
  <si>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</si>
  <si>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</si>
  <si>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</si>
  <si>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</si>
  <si>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</si>
  <si>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</si>
  <si>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</si>
  <si>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</si>
  <si>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</si>
  <si>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</si>
  <si>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</si>
  <si>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</si>
  <si>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</si>
  <si>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</si>
  <si>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</si>
  <si>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</si>
  <si>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</si>
  <si>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</si>
  <si>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</si>
  <si>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</si>
  <si>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</si>
  <si>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</si>
  <si>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</si>
  <si>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</si>
  <si>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</si>
  <si>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</si>
  <si>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</si>
  <si>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</si>
  <si>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</si>
  <si>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</si>
  <si>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</si>
  <si>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</si>
  <si>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</si>
  <si>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</si>
  <si>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</si>
  <si>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</si>
  <si>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</si>
  <si>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</si>
  <si>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</si>
  <si>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</si>
  <si>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</si>
  <si>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</si>
  <si>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</si>
  <si>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</si>
  <si>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</si>
  <si>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</si>
  <si>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</si>
  <si>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</si>
  <si>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</si>
  <si>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</si>
  <si>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</si>
  <si>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</si>
  <si>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</si>
  <si>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</si>
  <si>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</si>
  <si>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</si>
  <si>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</si>
  <si>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</si>
  <si>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</si>
  <si>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</si>
  <si>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</si>
  <si>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</si>
  <si>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</si>
  <si>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</si>
  <si>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</si>
  <si>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</si>
  <si>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</si>
  <si>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</si>
  <si>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</si>
  <si>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</si>
  <si>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</si>
  <si>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</si>
  <si>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</si>
  <si>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</si>
  <si>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</si>
  <si>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</si>
  <si>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</si>
  <si>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</si>
  <si>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</si>
  <si>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</si>
  <si>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</si>
  <si>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</si>
  <si>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</si>
  <si>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</si>
  <si>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</si>
  <si>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</si>
  <si>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</si>
  <si>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</si>
  <si>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</si>
  <si>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</si>
  <si>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</si>
  <si>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</si>
  <si>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</si>
  <si>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</si>
  <si>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</si>
  <si>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</si>
  <si>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</si>
  <si>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</si>
  <si>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</si>
  <si>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</si>
  <si>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</si>
  <si>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</si>
  <si>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</si>
  <si>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</si>
  <si>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</si>
  <si>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</si>
  <si>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</si>
  <si>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</si>
  <si>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</si>
  <si>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</si>
  <si>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</si>
  <si>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</si>
  <si>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</si>
  <si>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</si>
  <si>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</si>
  <si>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</si>
  <si>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</si>
  <si>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</si>
  <si>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</si>
  <si>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</si>
  <si>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</si>
  <si>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</si>
  <si>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</si>
  <si>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</si>
  <si>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</si>
  <si>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</si>
  <si>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</si>
  <si>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</si>
  <si>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</si>
  <si>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</si>
  <si>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</si>
  <si>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</si>
  <si>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</si>
  <si>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</si>
  <si>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</si>
  <si>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</si>
  <si>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</si>
  <si>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</si>
  <si>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</si>
  <si>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</si>
  <si>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</si>
  <si>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</si>
  <si>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</si>
  <si>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</si>
  <si>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</si>
  <si>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</si>
  <si>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</si>
  <si>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</si>
  <si>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</si>
  <si>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</si>
  <si>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</si>
  <si>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</si>
  <si>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</si>
  <si>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</si>
  <si>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</si>
  <si>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</si>
  <si>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</si>
  <si>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</si>
  <si>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</si>
  <si>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</si>
  <si>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</si>
  <si>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</si>
  <si>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</si>
  <si>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</si>
  <si>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</si>
  <si>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</si>
  <si>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</si>
  <si>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</si>
  <si>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</si>
  <si>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</si>
  <si>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</si>
  <si>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</si>
  <si>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</si>
  <si>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</si>
  <si>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</si>
  <si>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</si>
  <si>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</si>
  <si>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</si>
  <si>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</si>
  <si>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</si>
  <si>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</si>
  <si>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</si>
  <si>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</si>
  <si>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</si>
  <si>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</si>
  <si>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</si>
  <si>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</si>
  <si>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</si>
  <si>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</si>
  <si>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</si>
  <si>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</si>
  <si>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</si>
  <si>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</si>
  <si>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</si>
  <si>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</si>
  <si>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</si>
  <si>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</si>
  <si>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</si>
  <si>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</si>
  <si>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</si>
  <si>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</si>
  <si>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</si>
  <si>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</si>
  <si>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</si>
  <si>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</si>
  <si>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</si>
  <si>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</si>
  <si>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</si>
  <si>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</si>
  <si>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</si>
  <si>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</si>
  <si>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</si>
  <si>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</si>
  <si>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</si>
  <si>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</si>
  <si>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</si>
  <si>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</si>
  <si>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</si>
  <si>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</si>
  <si>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</si>
  <si>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</si>
  <si>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</si>
  <si>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</si>
  <si>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</si>
  <si>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</si>
  <si>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</si>
  <si>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</si>
  <si>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</si>
  <si>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</si>
  <si>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</si>
  <si>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</si>
  <si>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</si>
  <si>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</si>
  <si>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</si>
  <si>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</si>
  <si>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</si>
  <si>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</si>
  <si>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</si>
  <si>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</si>
  <si>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</si>
  <si>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</si>
  <si>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</si>
  <si>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</si>
  <si>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</si>
  <si>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</si>
  <si>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</si>
  <si>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</si>
  <si>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</si>
  <si>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</si>
  <si>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</si>
  <si>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</si>
  <si>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</si>
  <si>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</si>
  <si>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</si>
  <si>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</si>
  <si>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</si>
  <si>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</si>
  <si>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</si>
  <si>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</si>
  <si>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</si>
  <si>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</si>
  <si>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</si>
  <si>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</si>
  <si>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</si>
  <si>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</si>
  <si>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</si>
  <si>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</si>
  <si>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</si>
  <si>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</si>
  <si>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</si>
  <si>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</si>
  <si>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</si>
  <si>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</si>
  <si>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</si>
  <si>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</si>
  <si>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</si>
  <si>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</si>
  <si>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</si>
  <si>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</si>
  <si>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</si>
  <si>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</si>
  <si>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</si>
  <si>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</si>
  <si>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</si>
  <si>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</si>
  <si>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</si>
  <si>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</si>
  <si>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</si>
  <si>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</si>
  <si>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</si>
  <si>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</si>
  <si>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</si>
  <si>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</si>
  <si>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</si>
  <si>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</si>
  <si>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</si>
  <si>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</si>
  <si>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</si>
  <si>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</si>
  <si>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</si>
  <si>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</si>
  <si>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</si>
  <si>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</si>
  <si>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</si>
  <si>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</si>
  <si>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</si>
  <si>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</si>
  <si>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</si>
  <si>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</si>
  <si>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</si>
  <si>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</si>
  <si>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</si>
  <si>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</si>
  <si>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</si>
  <si>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</si>
  <si>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</si>
  <si>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</si>
  <si>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</si>
  <si>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</si>
  <si>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</si>
  <si>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</si>
  <si>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</si>
  <si>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</si>
  <si>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</si>
  <si>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</si>
  <si>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</si>
  <si>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</si>
  <si>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</si>
  <si>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</si>
  <si>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</si>
  <si>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</si>
  <si>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</si>
  <si>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</si>
  <si>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</si>
  <si>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</si>
  <si>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</si>
  <si>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</si>
  <si>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</si>
  <si>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</si>
  <si>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</si>
  <si>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</si>
  <si>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</si>
  <si>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</si>
  <si>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</si>
  <si>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</si>
  <si>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</si>
  <si>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</si>
  <si>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</si>
  <si>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</si>
  <si>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</si>
  <si>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</si>
  <si>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</si>
  <si>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</si>
  <si>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</si>
  <si>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</si>
  <si>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</si>
  <si>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</si>
  <si>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</si>
  <si>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</si>
  <si>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</si>
  <si>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</si>
  <si>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</si>
  <si>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</si>
  <si>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</si>
  <si>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</si>
  <si>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</si>
  <si>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</si>
  <si>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</si>
  <si>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</si>
  <si>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</si>
  <si>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</si>
  <si>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</si>
  <si>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</si>
  <si>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</si>
  <si>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</si>
  <si>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</si>
  <si>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</si>
  <si>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</si>
  <si>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</si>
  <si>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</si>
  <si>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</si>
  <si>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</si>
  <si>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</si>
  <si>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</si>
  <si>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</si>
  <si>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</si>
  <si>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</si>
  <si>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</si>
  <si>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</si>
  <si>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</si>
  <si>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</si>
  <si>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</si>
  <si>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</si>
  <si>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</si>
  <si>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</si>
  <si>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</si>
  <si>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</si>
  <si>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</si>
  <si>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</si>
  <si>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</si>
  <si>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</si>
  <si>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</si>
  <si>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</si>
  <si>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</si>
  <si>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</si>
  <si>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</si>
  <si>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</si>
  <si>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</si>
  <si>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</si>
  <si>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</si>
  <si>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</si>
  <si>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</si>
  <si>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</si>
  <si>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</si>
  <si>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</si>
  <si>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</si>
  <si>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</si>
  <si>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</si>
  <si>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</si>
  <si>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</si>
  <si>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</si>
  <si>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</si>
  <si>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</si>
  <si>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</si>
  <si>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</si>
  <si>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</si>
  <si>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</si>
  <si>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</si>
  <si>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</si>
  <si>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</si>
  <si>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</si>
  <si>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</si>
  <si>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</si>
  <si>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</si>
  <si>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</si>
  <si>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</si>
  <si>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</si>
  <si>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</si>
  <si>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</si>
  <si>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</si>
  <si>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</si>
  <si>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</si>
  <si>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</si>
  <si>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</si>
  <si>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</si>
  <si>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</si>
  <si>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</si>
  <si>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</si>
  <si>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</si>
  <si>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</si>
  <si>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</si>
  <si>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</si>
  <si>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</si>
  <si>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</si>
  <si>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</si>
  <si>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</si>
  <si>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</si>
  <si>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</si>
  <si>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</si>
  <si>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</si>
  <si>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</si>
  <si>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</si>
  <si>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</si>
  <si>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</si>
  <si>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</si>
  <si>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</si>
  <si>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</si>
  <si>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</si>
  <si>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</si>
  <si>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</si>
  <si>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</si>
  <si>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</si>
  <si>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</si>
  <si>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</si>
  <si>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</si>
  <si>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</si>
  <si>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</si>
  <si>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</si>
  <si>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</si>
  <si>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</si>
  <si>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</si>
  <si>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</si>
  <si>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</si>
  <si>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</si>
  <si>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</si>
  <si>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</si>
  <si>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</si>
  <si>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</si>
  <si>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</si>
  <si>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</si>
  <si>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</si>
  <si>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</si>
  <si>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</si>
  <si>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</si>
  <si>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</si>
  <si>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</si>
  <si>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</si>
  <si>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</si>
  <si>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</si>
  <si>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</si>
  <si>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</si>
  <si>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</si>
  <si>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</si>
  <si>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</si>
  <si>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</si>
  <si>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</si>
  <si>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</si>
  <si>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</si>
  <si>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</si>
  <si>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</si>
  <si>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</si>
  <si>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</si>
  <si>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</si>
  <si>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</si>
  <si>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</si>
  <si>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</si>
  <si>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</si>
  <si>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</si>
  <si>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</si>
  <si>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</si>
  <si>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</si>
  <si>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</si>
  <si>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</si>
  <si>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</si>
  <si>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</si>
  <si>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</si>
  <si>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</si>
  <si>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</si>
  <si>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</si>
  <si>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</si>
  <si>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</si>
  <si>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</si>
  <si>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</si>
  <si>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</si>
  <si>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</si>
  <si>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</si>
  <si>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</si>
  <si>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</si>
  <si>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</si>
  <si>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</si>
  <si>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</si>
  <si>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</si>
  <si>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</si>
  <si>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</si>
  <si>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</si>
  <si>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</si>
  <si>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</si>
  <si>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</si>
  <si>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</si>
  <si>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</si>
  <si>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</si>
  <si>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</si>
  <si>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</si>
  <si>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</si>
  <si>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</si>
  <si>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</si>
  <si>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</si>
  <si>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</si>
  <si>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</si>
  <si>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</si>
  <si>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</si>
  <si>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</si>
  <si>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</si>
  <si>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</si>
  <si>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</si>
  <si>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</si>
  <si>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</si>
  <si>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</si>
  <si>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</si>
  <si>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</si>
  <si>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</si>
  <si>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</si>
  <si>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</si>
  <si>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</si>
  <si>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</si>
  <si>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</si>
  <si>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</si>
  <si>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</si>
  <si>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</si>
  <si>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</si>
  <si>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</si>
  <si>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</si>
  <si>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</si>
  <si>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</si>
  <si>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</si>
  <si>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</si>
  <si>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</si>
  <si>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</si>
  <si>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</si>
  <si>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</si>
  <si>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</si>
  <si>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</si>
  <si>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</si>
  <si>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</si>
  <si>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</si>
  <si>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</si>
  <si>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</si>
  <si>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</si>
  <si>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</si>
  <si>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</si>
  <si>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</si>
  <si>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</si>
  <si>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</si>
  <si>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</si>
  <si>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</si>
  <si>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</si>
  <si>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</si>
  <si>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</si>
  <si>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</si>
  <si>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</si>
  <si>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</si>
  <si>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</si>
  <si>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</si>
  <si>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</si>
  <si>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</si>
  <si>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</si>
  <si>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</si>
  <si>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</si>
  <si>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</si>
  <si>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</si>
  <si>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</si>
  <si>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</si>
  <si>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</si>
  <si>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</si>
  <si>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</si>
  <si>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</si>
  <si>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</si>
  <si>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</si>
  <si>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</si>
  <si>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</si>
  <si>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</si>
  <si>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</si>
  <si>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</si>
  <si>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</si>
  <si>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</si>
  <si>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</si>
  <si>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</si>
  <si>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</si>
  <si>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</si>
  <si>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</si>
  <si>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</si>
  <si>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</si>
  <si>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</si>
  <si>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</si>
  <si>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</si>
  <si>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</si>
  <si>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</si>
  <si>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</si>
  <si>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</si>
  <si>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</si>
  <si>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</si>
  <si>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</si>
  <si>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</si>
  <si>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</si>
  <si>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</si>
  <si>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</si>
  <si>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</si>
  <si>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</si>
  <si>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</si>
  <si>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</si>
  <si>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</si>
  <si>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</si>
  <si>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</si>
  <si>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</si>
  <si>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</si>
  <si>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</si>
  <si>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</si>
  <si>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</si>
  <si>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</si>
  <si>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</si>
  <si>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</si>
  <si>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</si>
  <si>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</si>
  <si>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</si>
  <si>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</si>
  <si>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</si>
  <si>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</si>
  <si>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</si>
  <si>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</si>
  <si>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</si>
  <si>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</si>
  <si>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</si>
  <si>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</si>
  <si>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</si>
  <si>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</si>
  <si>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</si>
  <si>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</si>
  <si>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</si>
  <si>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</si>
  <si>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</si>
  <si>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</si>
  <si>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</si>
  <si>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</si>
  <si>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</si>
  <si>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</si>
  <si>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</si>
  <si>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</si>
  <si>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</si>
  <si>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</si>
  <si>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</si>
  <si>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</si>
  <si>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</si>
  <si>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</si>
  <si>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</si>
  <si>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</si>
  <si>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</si>
  <si>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</si>
  <si>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</si>
  <si>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</si>
  <si>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</si>
  <si>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</si>
  <si>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</si>
  <si>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</si>
  <si>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</si>
  <si>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</si>
  <si>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</si>
  <si>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</si>
  <si>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</si>
  <si>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</si>
  <si>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</si>
  <si>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</si>
  <si>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</si>
  <si>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</si>
  <si>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</si>
  <si>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</si>
  <si>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</si>
  <si>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</si>
  <si>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</si>
  <si>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</si>
  <si>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</si>
  <si>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</si>
  <si>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</si>
  <si>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</si>
  <si>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</si>
  <si>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</si>
  <si>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</si>
  <si>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</si>
  <si>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</si>
  <si>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</si>
  <si>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</si>
  <si>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</si>
  <si>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</si>
  <si>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</si>
  <si>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</si>
  <si>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</si>
  <si>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</si>
  <si>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</si>
  <si>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</si>
  <si>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</si>
  <si>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</si>
  <si>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</si>
  <si>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</si>
  <si>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</si>
  <si>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</si>
  <si>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</si>
  <si>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</si>
  <si>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</si>
  <si>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</si>
  <si>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</si>
  <si>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</si>
  <si>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</si>
  <si>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</si>
  <si>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</si>
  <si>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</si>
  <si>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</si>
  <si>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</si>
  <si>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</si>
  <si>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</si>
  <si>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</si>
  <si>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</si>
  <si>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</si>
  <si>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</si>
  <si>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</si>
  <si>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</si>
  <si>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</si>
  <si>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</si>
  <si>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</si>
  <si>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</si>
  <si>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</si>
  <si>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</si>
  <si>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</si>
  <si>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</si>
  <si>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</si>
  <si>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</si>
  <si>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</si>
  <si>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</si>
  <si>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</si>
  <si>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</si>
  <si>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</si>
  <si>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</si>
  <si>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</si>
  <si>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</si>
  <si>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</si>
  <si>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</si>
  <si>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</si>
  <si>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</si>
  <si>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</si>
  <si>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</si>
  <si>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</si>
  <si>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</si>
  <si>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</si>
  <si>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</si>
  <si>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</si>
  <si>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</si>
  <si>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</si>
  <si>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</si>
  <si>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</si>
  <si>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</si>
  <si>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</si>
  <si>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</si>
  <si>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</si>
  <si>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</si>
  <si>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</si>
  <si>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</si>
  <si>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</si>
  <si>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</si>
  <si>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</si>
  <si>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</si>
  <si>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</si>
  <si>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</si>
  <si>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</si>
  <si>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</si>
  <si>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</si>
  <si>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</si>
  <si>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</si>
  <si>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</si>
  <si>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</si>
  <si>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</si>
  <si>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</si>
  <si>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</si>
  <si>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</si>
  <si>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</si>
  <si>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</si>
  <si>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</si>
  <si>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</si>
  <si>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</si>
  <si>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</si>
  <si>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</si>
  <si>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</si>
  <si>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</si>
  <si>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</si>
  <si>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</si>
  <si>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</si>
  <si>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</si>
  <si>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</si>
  <si>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</si>
  <si>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</si>
  <si>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</si>
  <si>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</si>
  <si>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</si>
  <si>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</si>
  <si>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</si>
  <si>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</si>
  <si>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</si>
  <si>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</si>
  <si>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</si>
  <si>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</si>
  <si>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</si>
  <si>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</si>
  <si>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</si>
  <si>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</si>
  <si>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</si>
  <si>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</si>
  <si>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</si>
  <si>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</si>
  <si>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</si>
  <si>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</si>
  <si>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</si>
  <si>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</si>
  <si>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</si>
  <si>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</si>
  <si>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</si>
  <si>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</si>
  <si>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</si>
  <si>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</si>
  <si>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</si>
  <si>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</si>
  <si>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</si>
  <si>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</si>
  <si>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</si>
  <si>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</si>
  <si>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</si>
  <si>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</si>
  <si>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</si>
  <si>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</si>
  <si>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</si>
  <si>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</si>
  <si>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</si>
  <si>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</si>
  <si>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</si>
  <si>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</si>
  <si>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</si>
  <si>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</si>
  <si>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</si>
  <si>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</si>
  <si>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</si>
  <si>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</si>
  <si>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</si>
  <si>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</si>
  <si>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</si>
  <si>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</si>
  <si>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</si>
  <si>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</si>
  <si>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</si>
  <si>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</si>
  <si>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</si>
  <si>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</si>
  <si>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</si>
  <si>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</si>
  <si>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</si>
  <si>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</si>
  <si>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</si>
  <si>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</si>
  <si>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</si>
  <si>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</si>
  <si>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</si>
  <si>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</si>
  <si>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</si>
  <si>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</si>
  <si>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</si>
  <si>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</si>
  <si>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</si>
  <si>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</si>
  <si>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</si>
  <si>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</si>
  <si>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</si>
  <si>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</si>
  <si>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</si>
  <si>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</si>
  <si>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</si>
  <si>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</si>
  <si>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</si>
  <si>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</si>
  <si>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</si>
  <si>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</si>
  <si>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</si>
  <si>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</si>
  <si>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</si>
  <si>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</si>
  <si>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</si>
  <si>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</si>
  <si>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</si>
  <si>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</si>
  <si>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</si>
  <si>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</si>
  <si>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</si>
  <si>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</si>
  <si>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</si>
  <si>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</si>
  <si>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</si>
  <si>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</si>
  <si>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</si>
  <si>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</si>
  <si>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</si>
  <si>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</si>
  <si>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</si>
  <si>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</si>
  <si>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</si>
  <si>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</si>
  <si>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</si>
  <si>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</si>
  <si>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</si>
  <si>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</si>
  <si>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</si>
  <si>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</si>
  <si>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</si>
  <si>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</si>
  <si>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</si>
  <si>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</si>
  <si>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</si>
  <si>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</si>
  <si>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</si>
  <si>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</si>
  <si>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</si>
  <si>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</si>
  <si>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</si>
  <si>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</si>
  <si>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</si>
  <si>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</si>
  <si>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</si>
  <si>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</si>
  <si>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</si>
  <si>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</si>
  <si>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</si>
  <si>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</si>
  <si>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</si>
  <si>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</si>
  <si>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</si>
  <si>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</si>
  <si>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</si>
  <si>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</si>
  <si>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</si>
  <si>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</si>
  <si>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</si>
  <si>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</si>
  <si>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</si>
  <si>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</si>
  <si>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</si>
  <si>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</si>
  <si>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</si>
  <si>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</si>
  <si>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</si>
  <si>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</si>
  <si>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</si>
  <si>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</si>
  <si>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</si>
  <si>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</si>
  <si>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</si>
  <si>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</si>
  <si>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</si>
  <si>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</si>
  <si>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</si>
  <si>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</si>
  <si>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</si>
  <si>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</si>
  <si>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</si>
  <si>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</si>
  <si>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</si>
  <si>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</si>
  <si>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</si>
  <si>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</si>
  <si>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</si>
  <si>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</si>
  <si>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</si>
  <si>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</si>
  <si>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</si>
  <si>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</si>
  <si>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</si>
  <si>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</si>
  <si>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</si>
  <si>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</si>
  <si>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</si>
  <si>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</si>
  <si>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</si>
  <si>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</si>
  <si>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</si>
  <si>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</si>
  <si>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</si>
  <si>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</si>
  <si>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</si>
  <si>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</si>
  <si>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</si>
  <si>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</si>
  <si>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</si>
  <si>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</si>
  <si>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</si>
  <si>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</si>
  <si>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</si>
  <si>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</si>
  <si>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</si>
  <si>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</si>
  <si>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</si>
  <si>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</si>
  <si>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</si>
  <si>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</si>
  <si>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</si>
  <si>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</si>
  <si>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</si>
  <si>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</si>
  <si>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</si>
  <si>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</si>
  <si>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</si>
  <si>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</si>
  <si>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</si>
  <si>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</si>
  <si>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</si>
  <si>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</si>
  <si>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</si>
  <si>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</si>
  <si>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</si>
  <si>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</si>
  <si>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</si>
  <si>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</si>
  <si>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</si>
  <si>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</si>
  <si>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</si>
  <si>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</si>
  <si>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</si>
  <si>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</si>
  <si>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</si>
  <si>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</si>
  <si>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</si>
  <si>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</si>
  <si>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</si>
  <si>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</si>
  <si>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</si>
  <si>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</si>
  <si>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</si>
  <si>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</si>
  <si>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</si>
  <si>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</si>
  <si>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</si>
  <si>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</si>
  <si>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</si>
  <si>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</si>
  <si>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</si>
  <si>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</si>
  <si>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</si>
  <si>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</si>
  <si>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</si>
  <si>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</si>
  <si>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</si>
  <si>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</si>
  <si>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</si>
  <si>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</si>
  <si>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</si>
  <si>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</si>
  <si>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</si>
  <si>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</si>
  <si>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</si>
  <si>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</si>
  <si>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</si>
  <si>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</si>
  <si>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</si>
  <si>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</si>
  <si>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</si>
  <si>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</si>
  <si>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</si>
  <si>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</si>
  <si>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</si>
  <si>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</si>
  <si>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</si>
  <si>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</si>
  <si>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</si>
  <si>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</si>
  <si>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</si>
  <si>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</si>
  <si>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</si>
  <si>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</si>
  <si>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</si>
  <si>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</si>
  <si>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</si>
  <si>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</si>
  <si>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</si>
  <si>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</si>
  <si>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</si>
  <si>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</si>
  <si>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</si>
  <si>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</si>
  <si>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</si>
  <si>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</si>
  <si>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</si>
  <si>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</si>
  <si>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</si>
  <si>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</si>
  <si>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</si>
  <si>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</si>
  <si>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</si>
  <si>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</si>
  <si>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</si>
  <si>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</si>
  <si>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</si>
  <si>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</si>
  <si>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</si>
  <si>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</si>
  <si>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</si>
  <si>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</si>
  <si>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</si>
  <si>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</si>
  <si>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</si>
  <si>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</si>
  <si>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</si>
  <si>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</si>
  <si>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</si>
  <si>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</si>
  <si>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</si>
  <si>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</si>
  <si>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</si>
  <si>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</si>
  <si>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</si>
  <si>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</si>
  <si>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</si>
  <si>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</si>
  <si>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</si>
  <si>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</si>
  <si>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</si>
  <si>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</si>
  <si>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</si>
  <si>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</si>
  <si>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</si>
  <si>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</si>
  <si>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</si>
  <si>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</si>
  <si>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</si>
  <si>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</si>
  <si>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</si>
  <si>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</si>
  <si>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</si>
  <si>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</si>
  <si>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</si>
  <si>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</si>
  <si>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</si>
  <si>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</si>
  <si>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</si>
  <si>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</si>
  <si>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</si>
  <si>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</si>
  <si>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</si>
  <si>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</si>
  <si>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</si>
  <si>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</si>
  <si>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</si>
  <si>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</si>
  <si>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</si>
  <si>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</si>
  <si>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</si>
  <si>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</si>
  <si>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</si>
  <si>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</si>
  <si>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</si>
  <si>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</si>
  <si>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</si>
  <si>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</si>
  <si>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</si>
  <si>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</si>
  <si>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</si>
  <si>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</si>
  <si>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</si>
  <si>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</si>
  <si>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</si>
  <si>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</si>
  <si>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</si>
  <si>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</si>
  <si>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</si>
  <si>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</si>
  <si>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</si>
  <si>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</si>
  <si>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</si>
  <si>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</si>
  <si>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</si>
  <si>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</si>
  <si>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</si>
  <si>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</si>
  <si>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</si>
  <si>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</si>
  <si>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</si>
  <si>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</si>
  <si>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</si>
  <si>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</si>
  <si>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</si>
  <si>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</si>
  <si>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</si>
  <si>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</si>
  <si>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</si>
  <si>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</si>
  <si>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</si>
  <si>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</si>
  <si>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</si>
  <si>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</si>
  <si>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</si>
  <si>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</si>
  <si>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</si>
  <si>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</si>
  <si>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</si>
  <si>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</si>
  <si>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</si>
  <si>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</si>
  <si>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</si>
  <si>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</si>
  <si>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</si>
  <si>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</si>
  <si>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</si>
  <si>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</si>
  <si>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</si>
  <si>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</si>
  <si>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</si>
  <si>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</si>
  <si>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</si>
  <si>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</si>
  <si>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</si>
  <si>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</si>
  <si>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</si>
  <si>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</si>
  <si>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</si>
  <si>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</si>
  <si>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</si>
  <si>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</si>
  <si>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</si>
  <si>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</si>
  <si>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</si>
  <si>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</si>
  <si>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</si>
  <si>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</si>
  <si>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</si>
  <si>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</si>
  <si>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</si>
  <si>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</si>
  <si>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</si>
  <si>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</si>
  <si>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</si>
  <si>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</si>
  <si>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</si>
  <si>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</si>
  <si>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</si>
  <si>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</si>
  <si>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</si>
  <si>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</si>
  <si>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</si>
  <si>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</si>
  <si>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</si>
  <si>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</si>
  <si>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</si>
  <si>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</si>
  <si>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</si>
  <si>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</si>
  <si>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</si>
  <si>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</si>
  <si>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</si>
  <si>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</si>
  <si>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</si>
  <si>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</si>
  <si>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</si>
  <si>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</si>
  <si>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</si>
  <si>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</si>
  <si>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</si>
  <si>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</si>
  <si>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</si>
  <si>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</si>
  <si>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</si>
  <si>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</si>
  <si>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</si>
  <si>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</si>
  <si>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</si>
  <si>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</si>
  <si>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</si>
  <si>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</si>
  <si>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</si>
  <si>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</si>
  <si>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</si>
  <si>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</si>
  <si>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</si>
  <si>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</si>
  <si>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</si>
  <si>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</si>
  <si>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</si>
  <si>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</si>
  <si>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</si>
  <si>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</si>
  <si>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</si>
  <si>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</si>
  <si>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</si>
  <si>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</si>
  <si>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</si>
  <si>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</si>
  <si>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</si>
  <si>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</si>
  <si>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</si>
  <si>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</si>
  <si>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</si>
  <si>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</si>
  <si>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</si>
  <si>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</si>
  <si>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</si>
  <si>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</si>
  <si>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</si>
  <si>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</si>
  <si>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</si>
  <si>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</si>
  <si>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</si>
  <si>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</si>
  <si>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</si>
  <si>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</si>
  <si>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</si>
  <si>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</si>
  <si>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</si>
  <si>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</si>
  <si>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</si>
  <si>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</si>
  <si>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</si>
  <si>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</si>
  <si>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</si>
  <si>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</si>
  <si>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</si>
  <si>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</si>
  <si>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</si>
  <si>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</si>
  <si>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</si>
  <si>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</si>
  <si>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</si>
  <si>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</si>
  <si>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</si>
  <si>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</si>
  <si>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</si>
  <si>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</si>
  <si>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</si>
  <si>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</si>
  <si>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</si>
  <si>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</si>
  <si>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</si>
  <si>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</si>
  <si>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</si>
  <si>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</si>
  <si>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</si>
  <si>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</si>
  <si>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</si>
  <si>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</si>
  <si>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</si>
  <si>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</si>
  <si>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</si>
  <si>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</si>
  <si>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</si>
  <si>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</si>
  <si>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</si>
  <si>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</si>
  <si>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</si>
  <si>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</si>
  <si>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</si>
  <si>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</si>
  <si>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</si>
  <si>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</si>
  <si>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</si>
  <si>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</si>
  <si>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</si>
  <si>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</si>
  <si>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</si>
  <si>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</si>
  <si>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</si>
  <si>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</si>
  <si>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</si>
  <si>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</si>
  <si>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</si>
  <si>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</si>
  <si>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</si>
  <si>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</si>
  <si>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</si>
  <si>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</si>
  <si>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</si>
  <si>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</si>
  <si>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</si>
  <si>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</si>
  <si>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</si>
  <si>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</si>
  <si>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</si>
  <si>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</si>
  <si>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</si>
  <si>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</si>
  <si>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</si>
  <si>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</si>
  <si>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</si>
  <si>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</si>
  <si>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</si>
  <si>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</si>
  <si>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</si>
  <si>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</si>
  <si>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</si>
  <si>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</si>
  <si>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</si>
  <si>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</si>
  <si>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</si>
  <si>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</si>
  <si>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</si>
  <si>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</si>
  <si>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</si>
  <si>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</si>
  <si>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</si>
  <si>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</si>
  <si>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</si>
  <si>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</si>
  <si>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</si>
  <si>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</si>
  <si>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</si>
  <si>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</si>
  <si>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</si>
  <si>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</si>
  <si>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</si>
  <si>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</si>
  <si>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</si>
  <si>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</si>
  <si>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</si>
  <si>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</si>
  <si>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</si>
  <si>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</si>
  <si>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</si>
  <si>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</si>
  <si>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</si>
  <si>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</si>
  <si>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</si>
  <si>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</si>
  <si>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</si>
  <si>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</si>
  <si>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</si>
  <si>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</si>
  <si>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</si>
  <si>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</si>
  <si>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</si>
  <si>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</si>
  <si>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</si>
  <si>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</si>
  <si>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</si>
  <si>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</si>
  <si>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</si>
  <si>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</si>
  <si>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</si>
  <si>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</si>
  <si>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</si>
  <si>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</si>
  <si>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</si>
  <si>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</si>
  <si>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</si>
  <si>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</si>
  <si>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</si>
  <si>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</si>
  <si>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</si>
  <si>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</si>
  <si>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</si>
  <si>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</si>
  <si>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</si>
  <si>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</si>
  <si>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</si>
  <si>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</si>
  <si>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</si>
  <si>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</si>
  <si>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</si>
  <si>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</si>
  <si>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</si>
  <si>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</si>
  <si>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</si>
  <si>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</si>
  <si>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</si>
  <si>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</si>
  <si>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</si>
  <si>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</si>
  <si>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</si>
  <si>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</si>
  <si>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</si>
  <si>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</si>
  <si>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</si>
  <si>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</si>
  <si>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</si>
  <si>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</si>
  <si>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</si>
  <si>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</si>
  <si>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</si>
  <si>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</si>
  <si>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</si>
  <si>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</si>
  <si>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</si>
  <si>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</si>
  <si>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</si>
  <si>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</si>
  <si>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</si>
  <si>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</si>
  <si>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</si>
  <si>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</si>
  <si>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</si>
  <si>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</si>
  <si>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</si>
  <si>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</si>
  <si>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</si>
  <si>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</si>
  <si>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</si>
  <si>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</si>
  <si>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</si>
  <si>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</si>
  <si>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</si>
  <si>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</si>
  <si>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</si>
  <si>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</si>
  <si>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</si>
  <si>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</si>
  <si>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</si>
  <si>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</si>
  <si>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</si>
  <si>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</si>
  <si>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</si>
  <si>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</si>
  <si>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</si>
  <si>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</si>
  <si>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</si>
  <si>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</si>
  <si>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</si>
  <si>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</si>
  <si>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</si>
  <si>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</si>
  <si>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</si>
  <si>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</si>
  <si>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</si>
  <si>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</si>
  <si>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</si>
  <si>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</si>
  <si>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</si>
  <si>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</si>
  <si>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</si>
  <si>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</si>
  <si>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</si>
  <si>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</si>
  <si>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</si>
  <si>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</si>
  <si>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</si>
  <si>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</si>
  <si>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</si>
  <si>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</si>
  <si>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</si>
  <si>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</si>
  <si>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</si>
  <si>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</si>
  <si>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</si>
  <si>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</si>
  <si>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</si>
  <si>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</si>
  <si>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</si>
  <si>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</si>
  <si>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</si>
  <si>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</si>
  <si>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</si>
  <si>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</si>
  <si>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</si>
  <si>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</si>
  <si>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</si>
  <si>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</si>
  <si>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</si>
  <si>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</si>
  <si>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</si>
  <si>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</si>
  <si>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</si>
  <si>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</si>
  <si>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</si>
  <si>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</si>
  <si>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</si>
  <si>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</si>
  <si>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</si>
  <si>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</si>
  <si>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</si>
  <si>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</si>
  <si>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</si>
  <si>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</si>
  <si>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</si>
  <si>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</si>
  <si>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</si>
  <si>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</si>
  <si>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</si>
  <si>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</si>
  <si>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</si>
  <si>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</si>
  <si>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</si>
  <si>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</si>
  <si>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</si>
  <si>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</si>
  <si>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</si>
  <si>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</si>
  <si>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</si>
  <si>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</si>
  <si>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</si>
  <si>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</si>
  <si>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</si>
  <si>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</si>
  <si>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</si>
  <si>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</si>
  <si>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</si>
  <si>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</si>
  <si>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</si>
  <si>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</si>
  <si>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</si>
  <si>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</si>
  <si>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</si>
  <si>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</si>
  <si>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</si>
  <si>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</si>
  <si>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</si>
  <si>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</si>
  <si>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</si>
  <si>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</si>
  <si>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</si>
  <si>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</si>
  <si>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</si>
  <si>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</si>
  <si>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</si>
  <si>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</si>
  <si>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</si>
  <si>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</si>
  <si>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</si>
  <si>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</si>
  <si>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</si>
  <si>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</si>
  <si>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</si>
  <si>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</si>
  <si>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</si>
  <si>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</si>
  <si>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</si>
  <si>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</si>
  <si>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</si>
  <si>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</si>
  <si>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</si>
  <si>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</si>
  <si>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</si>
  <si>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</si>
  <si>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</si>
  <si>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</si>
  <si>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</si>
  <si>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</si>
  <si>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</si>
  <si>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</si>
  <si>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</si>
  <si>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</si>
  <si>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</si>
  <si>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</si>
  <si>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</si>
  <si>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</si>
  <si>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</si>
  <si>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</si>
  <si>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</si>
  <si>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</si>
  <si>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</si>
  <si>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</si>
  <si>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</si>
  <si>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</si>
  <si>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</si>
  <si>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</si>
  <si>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</si>
  <si>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</si>
  <si>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</si>
  <si>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</si>
  <si>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</si>
  <si>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</si>
  <si>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</si>
  <si>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</si>
  <si>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</si>
  <si>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</si>
  <si>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</si>
  <si>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</si>
  <si>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</si>
  <si>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</si>
  <si>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</si>
  <si>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</si>
  <si>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</si>
  <si>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</si>
  <si>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</si>
  <si>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</si>
  <si>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</si>
  <si>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</si>
  <si>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</si>
  <si>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</si>
  <si>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</si>
  <si>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</si>
  <si>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</si>
  <si>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</si>
  <si>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</si>
  <si>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</si>
  <si>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</si>
  <si>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</si>
  <si>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</si>
  <si>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</si>
  <si>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</si>
  <si>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</si>
  <si>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</si>
  <si>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</si>
  <si>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</si>
  <si>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</si>
  <si>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</si>
  <si>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</si>
  <si>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</si>
  <si>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</si>
  <si>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</si>
  <si>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</si>
  <si>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</si>
  <si>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</si>
  <si>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</si>
  <si>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</si>
  <si>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</si>
  <si>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</si>
  <si>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</si>
  <si>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</si>
  <si>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</si>
  <si>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</si>
  <si>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</si>
  <si>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</si>
  <si>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</si>
  <si>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</si>
  <si>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</si>
  <si>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</si>
  <si>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</si>
  <si>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</si>
  <si>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</si>
  <si>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</si>
  <si>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</si>
  <si>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</si>
  <si>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</si>
  <si>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</si>
  <si>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</si>
  <si>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</si>
  <si>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</si>
  <si>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</si>
  <si>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</si>
  <si>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</si>
  <si>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</si>
  <si>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</si>
  <si>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</si>
  <si>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</si>
  <si>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</si>
  <si>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</si>
  <si>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</si>
  <si>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</si>
  <si>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</si>
  <si>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</si>
  <si>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</si>
  <si>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</si>
  <si>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</si>
  <si>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</si>
  <si>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</si>
  <si>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</si>
  <si>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</si>
  <si>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</si>
  <si>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</si>
  <si>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</si>
  <si>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</si>
  <si>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</si>
  <si>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</si>
  <si>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</si>
  <si>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</si>
  <si>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</si>
  <si>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</si>
  <si>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</si>
  <si>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</si>
  <si>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</si>
  <si>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</si>
  <si>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</si>
  <si>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</si>
  <si>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</si>
  <si>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</si>
  <si>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</si>
  <si>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</si>
  <si>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</si>
  <si>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</si>
  <si>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</si>
  <si>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</si>
  <si>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</si>
  <si>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</si>
  <si>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</si>
  <si>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</si>
  <si>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</si>
  <si>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</si>
  <si>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</si>
  <si>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</si>
  <si>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</si>
  <si>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</si>
  <si>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</si>
  <si>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</si>
  <si>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</si>
  <si>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</si>
  <si>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</si>
  <si>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</si>
  <si>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</si>
  <si>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</si>
  <si>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</si>
  <si>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</si>
  <si>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</si>
  <si>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</si>
  <si>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</si>
  <si>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</si>
  <si>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</si>
  <si>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</si>
  <si>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</si>
  <si>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</si>
  <si>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</si>
  <si>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</si>
  <si>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</si>
  <si>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</si>
  <si>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</si>
  <si>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</si>
  <si>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</si>
  <si>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</si>
  <si>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</si>
  <si>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</si>
  <si>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</si>
  <si>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</si>
  <si>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</si>
  <si>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</si>
  <si>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</si>
  <si>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</si>
  <si>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</si>
  <si>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</si>
  <si>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</si>
  <si>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</si>
  <si>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</si>
  <si>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</si>
  <si>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</si>
  <si>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</si>
  <si>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</si>
  <si>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</si>
  <si>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</si>
  <si>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</si>
  <si>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</si>
  <si>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</si>
  <si>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</si>
  <si>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</si>
  <si>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</si>
  <si>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</si>
  <si>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</si>
  <si>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</si>
  <si>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</si>
  <si>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</si>
  <si>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</si>
  <si>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</si>
  <si>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</si>
  <si>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</si>
  <si>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</si>
  <si>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</si>
  <si>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</si>
  <si>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</si>
  <si>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</si>
  <si>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</si>
  <si>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</si>
  <si>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</si>
  <si>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</si>
  <si>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</si>
  <si>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</si>
  <si>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</si>
  <si>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</si>
  <si>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</si>
  <si>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</si>
  <si>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</si>
  <si>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</si>
  <si>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</si>
  <si>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</si>
  <si>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</si>
  <si>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</si>
  <si>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</si>
  <si>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</si>
  <si>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</si>
  <si>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</si>
  <si>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</si>
  <si>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</si>
  <si>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</si>
  <si>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</si>
  <si>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</si>
  <si>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</si>
  <si>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</si>
  <si>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</si>
  <si>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</si>
  <si>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</si>
  <si>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</si>
  <si>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</si>
  <si>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</si>
  <si>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</si>
  <si>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</si>
  <si>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</si>
  <si>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</si>
  <si>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</si>
  <si>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</si>
  <si>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</si>
  <si>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</si>
  <si>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</si>
  <si>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</si>
  <si>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</si>
  <si>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</si>
  <si>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</si>
  <si>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</si>
  <si>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</si>
  <si>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</si>
  <si>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</si>
  <si>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</si>
  <si>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</si>
  <si>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</si>
  <si>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</si>
  <si>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</si>
  <si>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</si>
  <si>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</si>
  <si>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</si>
  <si>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</si>
  <si>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</si>
  <si>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</si>
  <si>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</si>
  <si>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</si>
  <si>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</si>
  <si>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</si>
  <si>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</si>
  <si>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</si>
  <si>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</si>
  <si>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</si>
  <si>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</si>
  <si>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</si>
  <si>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</si>
  <si>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</si>
  <si>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</si>
  <si>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</si>
  <si>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</si>
  <si>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</si>
  <si>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</si>
  <si>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</si>
  <si>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</si>
  <si>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</si>
  <si>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</si>
  <si>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</si>
  <si>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</si>
  <si>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</si>
  <si>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</si>
  <si>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</si>
  <si>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</si>
  <si>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</si>
  <si>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</si>
  <si>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</si>
  <si>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</si>
  <si>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</si>
  <si>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</si>
  <si>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</si>
  <si>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</si>
  <si>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</si>
  <si>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</si>
  <si>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</si>
  <si>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</si>
  <si>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</si>
  <si>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</si>
  <si>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</si>
  <si>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</si>
  <si>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</si>
  <si>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</si>
  <si>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</si>
  <si>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</si>
  <si>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</si>
  <si>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</si>
  <si>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</si>
  <si>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</si>
  <si>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</si>
  <si>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</si>
  <si>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</si>
  <si>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</si>
  <si>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</si>
  <si>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</si>
  <si>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</si>
  <si>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</si>
  <si>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</si>
  <si>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</si>
  <si>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</si>
  <si>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</si>
  <si>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</si>
  <si>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</si>
  <si>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</si>
  <si>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</si>
  <si>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</si>
  <si>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</si>
  <si>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</si>
  <si>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</si>
  <si>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</si>
  <si>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</si>
  <si>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</si>
  <si>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</si>
  <si>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</si>
  <si>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</si>
  <si>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</si>
  <si>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</si>
  <si>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</si>
  <si>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</si>
  <si>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</si>
  <si>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</si>
  <si>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</si>
  <si>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</si>
  <si>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</si>
  <si>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</si>
  <si>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</si>
  <si>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</si>
  <si>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</si>
  <si>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</si>
  <si>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</si>
  <si>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</si>
  <si>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</si>
  <si>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</si>
  <si>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</si>
  <si>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</si>
  <si>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</si>
  <si>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</si>
  <si>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</si>
  <si>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</si>
  <si>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</si>
  <si>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</si>
  <si>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</si>
  <si>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</si>
  <si>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</si>
  <si>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</si>
  <si>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</si>
  <si>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</si>
  <si>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</si>
  <si>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</si>
  <si>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</si>
  <si>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</si>
  <si>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</si>
  <si>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</si>
  <si>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</si>
  <si>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</si>
  <si>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</si>
  <si>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</si>
  <si>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</si>
  <si>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</si>
  <si>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</si>
  <si>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</si>
  <si>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</si>
  <si>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</si>
  <si>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</si>
  <si>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</si>
  <si>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</si>
  <si>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</si>
  <si>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</si>
  <si>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</si>
  <si>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</si>
  <si>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</si>
  <si>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</si>
  <si>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</si>
  <si>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</si>
  <si>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</si>
  <si>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</si>
  <si>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</si>
  <si>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</si>
  <si>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</si>
  <si>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</si>
  <si>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</si>
  <si>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</si>
  <si>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</si>
  <si>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</si>
  <si>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</si>
  <si>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</si>
  <si>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</si>
  <si>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</si>
  <si>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</si>
  <si>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</si>
  <si>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</si>
  <si>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</si>
  <si>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</si>
  <si>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</si>
  <si>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</si>
  <si>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</si>
  <si>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</si>
  <si>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</si>
  <si>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</si>
  <si>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</si>
  <si>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</si>
  <si>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</si>
  <si>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</si>
  <si>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</si>
  <si>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</si>
  <si>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</si>
  <si>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</si>
  <si>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</si>
  <si>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</si>
  <si>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</si>
  <si>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</si>
  <si>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</si>
  <si>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</si>
  <si>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</si>
  <si>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</si>
  <si>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</si>
  <si>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</si>
  <si>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</si>
  <si>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</si>
  <si>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</si>
  <si>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</si>
  <si>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</si>
  <si>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</si>
  <si>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</si>
  <si>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</si>
  <si>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</si>
  <si>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</si>
  <si>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</si>
  <si>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</si>
  <si>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</si>
  <si>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</si>
  <si>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</si>
  <si>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</si>
  <si>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</si>
  <si>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</si>
  <si>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</si>
  <si>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</si>
  <si>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</si>
  <si>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</si>
  <si>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</si>
  <si>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</si>
  <si>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</si>
  <si>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</si>
  <si>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</si>
  <si>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</si>
  <si>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</si>
  <si>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</si>
  <si>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</si>
  <si>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</si>
  <si>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</si>
  <si>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</si>
  <si>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</si>
  <si>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</si>
  <si>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</si>
  <si>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</si>
  <si>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</si>
  <si>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</si>
  <si>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</si>
  <si>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</si>
  <si>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</si>
  <si>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</si>
  <si>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</si>
  <si>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</si>
  <si>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</si>
  <si>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</si>
  <si>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</si>
  <si>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</si>
  <si>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</si>
  <si>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</si>
  <si>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</si>
  <si>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</si>
  <si>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</si>
  <si>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</si>
  <si>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</si>
  <si>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</si>
  <si>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</si>
  <si>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</si>
  <si>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</si>
  <si>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</si>
  <si>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</si>
  <si>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</si>
  <si>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</si>
  <si>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</si>
  <si>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</si>
  <si>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</si>
  <si>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</si>
  <si>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</si>
  <si>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</si>
  <si>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</si>
  <si>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</si>
  <si>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</si>
  <si>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</si>
  <si>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</si>
  <si>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</si>
  <si>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</si>
  <si>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</si>
  <si>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</si>
  <si>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</si>
  <si>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</si>
  <si>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</si>
  <si>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</si>
  <si>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</si>
  <si>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</si>
  <si>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</si>
  <si>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</si>
  <si>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</si>
  <si>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</si>
  <si>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</si>
  <si>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</si>
  <si>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</si>
  <si>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</si>
  <si>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</si>
  <si>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</si>
  <si>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</si>
  <si>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</si>
  <si>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</si>
  <si>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</si>
  <si>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</si>
  <si>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</si>
  <si>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</si>
  <si>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</si>
  <si>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</si>
  <si>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</si>
  <si>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</si>
  <si>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</si>
  <si>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</si>
  <si>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</si>
  <si>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</si>
  <si>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</si>
  <si>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</si>
  <si>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</si>
  <si>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</si>
  <si>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</si>
  <si>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</si>
  <si>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</si>
  <si>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</si>
  <si>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</si>
  <si>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</si>
  <si>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</si>
  <si>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</si>
  <si>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</si>
  <si>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</si>
  <si>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</si>
  <si>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</si>
  <si>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</si>
  <si>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</si>
  <si>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</si>
  <si>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</si>
  <si>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</si>
  <si>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</si>
  <si>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</si>
  <si>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</si>
  <si>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</si>
  <si>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</si>
  <si>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</si>
  <si>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</si>
  <si>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</si>
  <si>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</si>
  <si>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</si>
  <si>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</si>
  <si>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</si>
  <si>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</si>
  <si>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</si>
  <si>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</si>
  <si>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</si>
  <si>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</si>
  <si>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</si>
  <si>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</si>
  <si>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</si>
  <si>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</si>
  <si>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</si>
  <si>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</si>
  <si>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</si>
  <si>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</si>
  <si>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</si>
  <si>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</si>
  <si>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</si>
  <si>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</si>
  <si>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</si>
  <si>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</si>
  <si>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</si>
  <si>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</si>
  <si>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</si>
  <si>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</si>
  <si>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</si>
  <si>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</si>
  <si>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</si>
  <si>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</si>
  <si>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</si>
  <si>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</si>
  <si>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</si>
  <si>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</si>
  <si>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</si>
  <si>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</si>
  <si>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</si>
  <si>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</si>
  <si>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</si>
  <si>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</si>
  <si>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</si>
  <si>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</si>
  <si>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</si>
  <si>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</si>
  <si>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</si>
  <si>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</si>
  <si>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</si>
  <si>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</si>
  <si>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</si>
  <si>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</si>
  <si>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</si>
  <si>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</si>
  <si>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</si>
  <si>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</si>
  <si>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</si>
  <si>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</si>
  <si>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</si>
  <si>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</si>
  <si>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</si>
  <si>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</si>
  <si>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</si>
  <si>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</si>
  <si>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</si>
  <si>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</si>
  <si>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</si>
  <si>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</si>
  <si>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</si>
  <si>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</si>
  <si>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</si>
  <si>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</si>
  <si>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</si>
  <si>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</si>
  <si>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楼号</t>
  </si>
  <si>
    <t>单元号</t>
  </si>
  <si>
    <t>房号</t>
  </si>
  <si>
    <t>面积</t>
  </si>
  <si>
    <t>备注</t>
  </si>
  <si>
    <t>1号楼</t>
  </si>
  <si>
    <t>101</t>
  </si>
  <si>
    <t>102</t>
  </si>
  <si>
    <t>103</t>
  </si>
  <si>
    <t>104</t>
  </si>
  <si>
    <t>105</t>
  </si>
  <si>
    <t>201</t>
  </si>
  <si>
    <t>202</t>
  </si>
  <si>
    <t>203</t>
  </si>
  <si>
    <t>204</t>
  </si>
  <si>
    <t>205</t>
  </si>
  <si>
    <t>2号楼</t>
  </si>
  <si>
    <t>1单元</t>
  </si>
  <si>
    <t>106</t>
  </si>
  <si>
    <t>107</t>
  </si>
  <si>
    <t>108</t>
  </si>
  <si>
    <t>109</t>
  </si>
  <si>
    <t>206</t>
  </si>
  <si>
    <t>207</t>
  </si>
  <si>
    <t>208</t>
  </si>
  <si>
    <t>301</t>
  </si>
  <si>
    <t>302</t>
  </si>
  <si>
    <t>303</t>
  </si>
  <si>
    <t>304</t>
  </si>
  <si>
    <t>305</t>
  </si>
  <si>
    <t>306</t>
  </si>
  <si>
    <t>307</t>
  </si>
  <si>
    <t>308</t>
  </si>
  <si>
    <t>309</t>
  </si>
  <si>
    <t>401</t>
  </si>
  <si>
    <t>402</t>
  </si>
  <si>
    <t>403</t>
  </si>
  <si>
    <t>404</t>
  </si>
  <si>
    <t>405</t>
  </si>
  <si>
    <t>406</t>
  </si>
  <si>
    <t>407</t>
  </si>
  <si>
    <t>408</t>
  </si>
  <si>
    <t>409</t>
  </si>
  <si>
    <t>410</t>
  </si>
  <si>
    <t>501</t>
  </si>
  <si>
    <t>502</t>
  </si>
  <si>
    <t>503</t>
  </si>
  <si>
    <t>504</t>
  </si>
  <si>
    <t>505</t>
  </si>
  <si>
    <t>506</t>
  </si>
  <si>
    <t>507</t>
  </si>
  <si>
    <t>508</t>
  </si>
  <si>
    <t>509</t>
  </si>
  <si>
    <t>510</t>
  </si>
  <si>
    <t>601</t>
  </si>
  <si>
    <t>602</t>
  </si>
  <si>
    <t>603</t>
  </si>
  <si>
    <t>604</t>
  </si>
  <si>
    <t>605</t>
  </si>
  <si>
    <t>606</t>
  </si>
  <si>
    <t>607</t>
  </si>
  <si>
    <t>608</t>
  </si>
  <si>
    <t>609</t>
  </si>
  <si>
    <t>610</t>
  </si>
  <si>
    <t>701</t>
  </si>
  <si>
    <t>702</t>
  </si>
  <si>
    <t>703</t>
  </si>
  <si>
    <t>704</t>
  </si>
  <si>
    <t>705</t>
  </si>
  <si>
    <t>706</t>
  </si>
  <si>
    <t>707</t>
  </si>
  <si>
    <t>708</t>
  </si>
  <si>
    <t>709</t>
  </si>
  <si>
    <t>710</t>
  </si>
  <si>
    <t>801</t>
  </si>
  <si>
    <t>802</t>
  </si>
  <si>
    <t>803</t>
  </si>
  <si>
    <t>804</t>
  </si>
  <si>
    <t>805</t>
  </si>
  <si>
    <t>806</t>
  </si>
  <si>
    <t>807</t>
  </si>
  <si>
    <t>808</t>
  </si>
  <si>
    <t>809</t>
  </si>
  <si>
    <t>810</t>
  </si>
  <si>
    <t>901</t>
  </si>
  <si>
    <t>902</t>
  </si>
  <si>
    <t>903</t>
  </si>
  <si>
    <t>904</t>
  </si>
  <si>
    <t>905</t>
  </si>
  <si>
    <t>906</t>
  </si>
  <si>
    <t>907</t>
  </si>
  <si>
    <t>908</t>
  </si>
  <si>
    <t>909</t>
  </si>
  <si>
    <t>910</t>
  </si>
  <si>
    <t>1001</t>
  </si>
  <si>
    <t>1002</t>
  </si>
  <si>
    <t>1003</t>
  </si>
  <si>
    <t>1004</t>
  </si>
  <si>
    <t>1005</t>
  </si>
  <si>
    <t>1006</t>
  </si>
  <si>
    <t>1007</t>
  </si>
  <si>
    <t>1008</t>
  </si>
  <si>
    <t>1009</t>
  </si>
  <si>
    <t>1010</t>
  </si>
  <si>
    <t>2单元</t>
  </si>
  <si>
    <t>3单元</t>
  </si>
  <si>
    <t>图书馆</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</si>
  <si>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</si>
  <si>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</si>
  <si>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</si>
  <si>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</si>
  <si>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</si>
  <si>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</si>
  <si>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</si>
  <si>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</si>
  <si>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</si>
  <si>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</si>
  <si>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</si>
  <si>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</si>
  <si>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</si>
  <si>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</si>
  <si>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</si>
  <si>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</si>
  <si>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</si>
  <si>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</si>
  <si>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</si>
  <si>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</si>
  <si>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</si>
  <si>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</si>
  <si>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</si>
  <si>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</si>
  <si>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</si>
  <si>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</si>
  <si>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1301</t>
  </si>
  <si>
    <t>1302</t>
  </si>
  <si>
    <t>1303</t>
  </si>
  <si>
    <t>1304</t>
  </si>
  <si>
    <t>1305</t>
  </si>
  <si>
    <t>1306</t>
  </si>
  <si>
    <t>1307</t>
  </si>
  <si>
    <t>1308</t>
  </si>
  <si>
    <t>1309</t>
  </si>
  <si>
    <t>1310</t>
  </si>
  <si>
    <t>1311</t>
  </si>
  <si>
    <t>1312</t>
  </si>
  <si>
    <t>4单元</t>
  </si>
  <si>
    <t>5单元</t>
  </si>
  <si>
    <t>邮局</t>
  </si>
  <si>
    <t>6单元</t>
  </si>
  <si>
    <t>3号楼</t>
  </si>
  <si>
    <t>310</t>
  </si>
  <si>
    <t>商业</t>
    <phoneticPr fontId="134" type="noConversion"/>
  </si>
  <si>
    <t>办公</t>
    <phoneticPr fontId="134" type="noConversion"/>
  </si>
  <si>
    <t>图书馆</t>
    <phoneticPr fontId="134" type="noConversion"/>
  </si>
  <si>
    <t>邮局</t>
    <phoneticPr fontId="134" type="noConversion"/>
  </si>
  <si>
    <t>抵押</t>
  </si>
  <si>
    <t>房地产抵押价值</t>
  </si>
  <si>
    <t>北京市</t>
  </si>
  <si>
    <t>企业</t>
  </si>
  <si>
    <t>地上</t>
  </si>
  <si>
    <t>是</t>
  </si>
  <si>
    <t>办公</t>
    <phoneticPr fontId="7" type="noConversion"/>
  </si>
  <si>
    <t>商业</t>
    <phoneticPr fontId="7" type="noConversion"/>
  </si>
  <si>
    <t>公共服务设施</t>
    <phoneticPr fontId="7" type="noConversion"/>
  </si>
  <si>
    <t>利息：取LPR加浮动点数</t>
  </si>
  <si>
    <t>成新度</t>
  </si>
  <si>
    <t>收益法</t>
  </si>
  <si>
    <t>押一</t>
  </si>
  <si>
    <t>钢混</t>
  </si>
  <si>
    <t>非生产用房</t>
  </si>
  <si>
    <t>收益法(商业)</t>
  </si>
  <si>
    <t>收益法(商业)</t>
    <phoneticPr fontId="16" type="noConversion"/>
  </si>
  <si>
    <t>商务金融用地</t>
  </si>
  <si>
    <t>自定义容积率</t>
  </si>
  <si>
    <t>不临65条商业街</t>
  </si>
  <si>
    <t>与级别开发程度一致</t>
  </si>
  <si>
    <t>较好</t>
  </si>
  <si>
    <t>一般</t>
  </si>
  <si>
    <t>好</t>
  </si>
  <si>
    <t>1层</t>
    <phoneticPr fontId="134" type="noConversion"/>
  </si>
  <si>
    <t>2层</t>
    <phoneticPr fontId="134" type="noConversion"/>
  </si>
  <si>
    <t>楼层修正</t>
  </si>
  <si>
    <t>基准地价修正(商业)</t>
  </si>
  <si>
    <t>基准地价修正(商业)</t>
    <phoneticPr fontId="16" type="noConversion"/>
  </si>
  <si>
    <t>未包含在土地购买价格中</t>
  </si>
  <si>
    <t>全部缴纳</t>
  </si>
  <si>
    <t>已包含在土地取得成本中</t>
  </si>
  <si>
    <t>成本法</t>
  </si>
  <si>
    <t>收益法（汇总）</t>
  </si>
  <si>
    <t>项目模式</t>
  </si>
  <si>
    <t>售价</t>
  </si>
  <si>
    <t>比较法-办公</t>
  </si>
  <si>
    <t>比较法-商业</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</si>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</sst>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0" fontId="53" fillId="7" borderId="0" xfId="0" applyNumberFormat="1" applyFont="1" applyFill="1" applyAlignment="1" applyProtection="1">
      <alignment horizontal="left" vertical="center" wrapText="1"/>
      <protection locked="0"/>
    </xf>
    <xf numFmtId="0" fontId="146" fillId="3" borderId="1" xfId="0" applyFont="1" applyFill="1" applyBorder="1" applyAlignment="1">
      <alignment horizontal="center" vertical="center"/>
    </xf>
    <xf numFmtId="0" fontId="128" fillId="3" borderId="1" xfId="0" applyFont="1" applyFill="1" applyBorder="1" applyAlignment="1">
      <alignment horizontal="center" vertical="center"/>
    </xf>
    <xf numFmtId="0" fontId="174" fillId="3" borderId="1" xfId="0" applyFont="1" applyFill="1" applyBorder="1" applyAlignment="1">
      <alignment horizontal="center" vertical="center"/>
    </xf>
    <xf numFmtId="49" fontId="0" fillId="3" borderId="1" xfId="0" applyNumberFormat="1" applyFont="1" applyFill="1" applyBorder="1" applyAlignment="1" applyProtection="1">
      <alignment horizontal="center" vertical="center" shrinkToFit="1"/>
    </xf>
    <xf numFmtId="0" fontId="0" fillId="3" borderId="1" xfId="0" applyNumberFormat="1" applyFont="1" applyFill="1" applyBorder="1" applyAlignment="1" applyProtection="1">
      <alignment horizontal="center" vertical="center" shrinkToFit="1"/>
    </xf>
    <xf numFmtId="49" fontId="19" fillId="3" borderId="1" xfId="0" applyNumberFormat="1" applyFont="1" applyFill="1" applyBorder="1" applyAlignment="1" applyProtection="1">
      <alignment horizontal="center" vertical="center" shrinkToFit="1"/>
    </xf>
    <xf numFmtId="0" fontId="19" fillId="3" borderId="1" xfId="0" applyNumberFormat="1" applyFont="1" applyFill="1" applyBorder="1" applyAlignment="1" applyProtection="1">
      <alignment horizontal="center" vertical="center" shrinkToFit="1"/>
    </xf>
    <xf numFmtId="179" fontId="0" fillId="3" borderId="1" xfId="0" applyNumberFormat="1" applyFont="1" applyFill="1" applyBorder="1" applyAlignment="1" applyProtection="1">
      <alignment horizontal="center" vertical="center" shrinkToFit="1"/>
    </xf>
    <xf numFmtId="0" fontId="128" fillId="0" borderId="1" xfId="0" applyFont="1" applyFill="1" applyBorder="1" applyAlignment="1">
      <alignment horizontal="center" vertical="center"/>
    </xf>
    <xf numFmtId="49" fontId="0" fillId="0" borderId="1" xfId="0" applyNumberFormat="1" applyFont="1" applyFill="1" applyBorder="1" applyAlignment="1" applyProtection="1">
      <alignment horizontal="center" vertical="center" shrinkToFit="1"/>
    </xf>
    <xf numFmtId="179" fontId="0" fillId="0" borderId="1" xfId="0" applyNumberFormat="1" applyFont="1" applyFill="1" applyBorder="1" applyAlignment="1" applyProtection="1">
      <alignment horizontal="center" vertical="center" shrinkToFit="1"/>
    </xf>
    <xf numFmtId="0" fontId="0" fillId="0" borderId="0" xfId="0" applyFill="1">
      <alignment vertical="center"/>
    </xf>
    <xf numFmtId="0" fontId="128" fillId="0" borderId="0" xfId="0" applyFont="1" applyFill="1" applyAlignment="1">
      <alignment vertical="center"/>
    </xf>
    <xf numFmtId="0" fontId="95" fillId="0" borderId="0" xfId="0" applyFont="1">
      <alignment vertical="center"/>
    </xf>
    <xf numFmtId="179"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27" fillId="0" borderId="1"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估价对象为北京市房地产，为所有。根据《国有土地使用证》[]，估价对象（分摊）出让国有建设用地使用权面积为0平方米，建筑面积为67463.6平方米。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估价对象为北京市房地产,属开发建设的，该项目尚在开发建设中。根据《国有土地使用证》[]，估价对象（分摊）出让国有建设用地使用权面积为0平方米，规划建筑面积为67463.6平方米。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2023年1月10日</v>
      </c>
    </row>
    <row r="13" spans="1:2" s="1203" customFormat="1">
      <c r="A13" s="1201" t="s">
        <v>529</v>
      </c>
      <c r="B13" s="1202" t="str">
        <f>'预评函-1'!A18</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67463.599999999977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3546</v>
      </c>
      <c r="C19" s="1547"/>
    </row>
    <row r="20" spans="1:3">
      <c r="A20" s="1546" t="s">
        <v>1048</v>
      </c>
      <c r="B20" s="1546" t="s">
        <v>3558</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4" t="s">
        <v>385</v>
      </c>
      <c r="C54" s="1551" t="s">
        <v>583</v>
      </c>
    </row>
    <row r="55" spans="1:4">
      <c r="A55" s="3536"/>
      <c r="B55" s="1554" t="s">
        <v>386</v>
      </c>
      <c r="C55" s="1551" t="s">
        <v>584</v>
      </c>
    </row>
    <row r="56" spans="1:4">
      <c r="A56" s="3536"/>
      <c r="B56" s="1554" t="s">
        <v>387</v>
      </c>
      <c r="C56" s="1551" t="s">
        <v>588</v>
      </c>
    </row>
    <row r="57" spans="1:4">
      <c r="A57" s="353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537" t="s">
        <v>2583</v>
      </c>
      <c r="J2" s="3537"/>
      <c r="K2" s="3537"/>
      <c r="L2" s="3537"/>
      <c r="M2" s="3537"/>
      <c r="N2" s="3537"/>
      <c r="O2" s="3537"/>
      <c r="P2" s="3537"/>
      <c r="Q2" s="3537"/>
      <c r="R2" s="3537"/>
    </row>
    <row r="3" spans="1:18">
      <c r="A3" s="3020" t="s">
        <v>2504</v>
      </c>
      <c r="B3" s="3021">
        <f>项目基本情况!D3</f>
        <v>44936</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3.94</v>
      </c>
      <c r="D5" s="3025">
        <f>IF(ISERROR(ROUND(POWER(1+E5,A5-C5)*(POWER(1+E5,C5)-1)/(POWER(1+E5,A5)-1),3)),0,ROUND(POWER(1+E5,A5-C5)*(POWER(1+E5,C5)-1)/(POWER(1+E5,A5)-1),4))</f>
        <v>0.18090000000000001</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13.95</v>
      </c>
      <c r="D6" s="3025">
        <f>IF(ISERROR(ROUND(POWER(1+E6,A6-C6)*(POWER(1+E6,C6)-1)/(POWER(1+E6,A6)-1),3)),0,ROUND(POWER(1+E6,A6-C6)*(POWER(1+E6,C6)-1)/(POWER(1+E6,A6)-1),4))</f>
        <v>0.4904</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8" sqref="D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6" t="str">
        <f>IF(B10="北京市","北京市",C10)&amp;F10&amp;IF(结果表!G1="在建","出让国有建设用地使用权及在建建筑物",IF(结果表!G1="土地","出让国有建设用地使用权",))&amp;B9&amp;"预评估"</f>
        <v>北京市房地产抵押价值预评估</v>
      </c>
      <c r="C1" s="3547"/>
      <c r="D1" s="3547"/>
      <c r="E1" s="3547"/>
      <c r="F1" s="3547"/>
      <c r="G1" s="3547"/>
      <c r="H1" s="3547"/>
      <c r="I1" s="354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3530</v>
      </c>
      <c r="C8" s="2390"/>
      <c r="D8" s="3549" t="s">
        <v>2177</v>
      </c>
      <c r="E8" s="2391" t="s">
        <v>3531</v>
      </c>
      <c r="F8" s="2392"/>
      <c r="G8" s="2663"/>
      <c r="H8" s="2663"/>
      <c r="I8" s="2663"/>
      <c r="J8" s="2439"/>
      <c r="K8" s="2614"/>
      <c r="L8" s="2613"/>
      <c r="M8" s="2613"/>
      <c r="N8" s="2439"/>
      <c r="O8" s="2450"/>
      <c r="P8" s="2439"/>
      <c r="Q8" s="2439"/>
      <c r="R8" s="2439"/>
    </row>
    <row r="9" spans="1:30" ht="13.5" thickBot="1">
      <c r="A9" s="2393" t="s">
        <v>2178</v>
      </c>
      <c r="B9" s="2394" t="s">
        <v>3531</v>
      </c>
      <c r="C9" s="2395"/>
      <c r="D9" s="3550"/>
      <c r="E9" s="2394" t="s">
        <v>43</v>
      </c>
      <c r="F9" s="2396"/>
      <c r="G9" s="2665"/>
      <c r="H9" s="2665"/>
      <c r="I9" s="2665"/>
      <c r="J9" s="2439"/>
      <c r="K9" s="2616"/>
      <c r="L9" s="2613"/>
      <c r="M9" s="2613"/>
      <c r="N9" s="2439"/>
      <c r="O9" s="2450"/>
      <c r="P9" s="2439"/>
      <c r="Q9" s="2439"/>
      <c r="R9" s="2439"/>
    </row>
    <row r="10" spans="1:30" ht="13.5" thickTop="1">
      <c r="A10" s="2397" t="s">
        <v>2179</v>
      </c>
      <c r="B10" s="2398" t="s">
        <v>3532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3533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856">
        <v>56653</v>
      </c>
      <c r="E13" s="856">
        <v>60306</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32.1</v>
      </c>
      <c r="E15" s="2410">
        <f>IF(A13="出让",IF(E13="","",ROUNDDOWN(MIN((E13-$D$3)/365,E14),2)),E14)</f>
        <v>42.1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56"/>
      <c r="C16" s="3557"/>
      <c r="D16" s="3558"/>
      <c r="E16" s="2413" t="s">
        <v>2194</v>
      </c>
      <c r="F16" s="3559"/>
      <c r="G16" s="3560"/>
      <c r="H16" s="3560"/>
      <c r="I16" s="3561"/>
      <c r="J16" s="2439"/>
      <c r="K16" s="2617"/>
      <c r="L16" s="2451"/>
      <c r="M16" s="2451"/>
      <c r="N16" s="2509"/>
      <c r="O16" s="2451"/>
      <c r="P16" s="2509"/>
      <c r="Q16" s="2439"/>
      <c r="R16" s="2439"/>
    </row>
    <row r="17" spans="1:28">
      <c r="A17" s="313" t="s">
        <v>2195</v>
      </c>
      <c r="B17" s="302" t="s">
        <v>2196</v>
      </c>
      <c r="C17" s="8">
        <f>'数据-汇总表'!E3</f>
        <v>67463.599999999977</v>
      </c>
      <c r="D17" s="2322" t="s">
        <v>2197</v>
      </c>
      <c r="E17" s="3562" t="s">
        <v>2198</v>
      </c>
      <c r="F17" s="3563"/>
      <c r="G17" s="3563"/>
      <c r="H17" s="3563"/>
      <c r="I17" s="356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5" t="s">
        <v>2202</v>
      </c>
      <c r="F18" s="3566"/>
      <c r="G18" s="3566"/>
      <c r="H18" s="3566"/>
      <c r="I18" s="356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2" t="s">
        <v>2206</v>
      </c>
      <c r="C20" s="3553"/>
      <c r="D20" s="3554" t="s">
        <v>2207</v>
      </c>
      <c r="E20" s="3555"/>
      <c r="F20" s="2647" t="s">
        <v>1056</v>
      </c>
      <c r="G20" s="2664"/>
      <c r="H20" s="2664"/>
      <c r="I20" s="2664"/>
      <c r="J20" s="2439"/>
      <c r="K20" s="355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2218</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132</v>
      </c>
      <c r="C38" s="2432" t="s">
        <v>132</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67463.599999999977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67463.599999999977</v>
      </c>
      <c r="H5" s="13">
        <f t="shared" ref="H5:AT5" si="0">SUM(H13:H656)</f>
        <v>67463.599999999977</v>
      </c>
      <c r="I5" s="13">
        <f t="shared" si="0"/>
        <v>57573.479999999974</v>
      </c>
      <c r="J5" s="13">
        <f t="shared" si="0"/>
        <v>0</v>
      </c>
      <c r="K5" s="13">
        <f t="shared" si="0"/>
        <v>9890.119999999999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67463.599999999977</v>
      </c>
      <c r="BA5" s="15">
        <f t="shared" si="1"/>
        <v>67463.599999999977</v>
      </c>
      <c r="BB5" s="15">
        <f t="shared" si="1"/>
        <v>57573.479999999974</v>
      </c>
      <c r="BC5" s="15">
        <f t="shared" si="1"/>
        <v>9890.119999999999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3534</v>
      </c>
      <c r="J9" s="809"/>
      <c r="K9" s="1603" t="s">
        <v>3534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3535</v>
      </c>
      <c r="E13" s="13">
        <f>IF($C$3="是",ROUND($A$3*G13/$B$3,2),ROUND($A$3*(G13-AT13)/$B$3,2))</f>
        <v>0</v>
      </c>
      <c r="F13" s="29"/>
      <c r="G13" s="30">
        <f>H13+AC13+AT13</f>
        <v>67463.599999999977</v>
      </c>
      <c r="H13" s="17">
        <f>SUMIF(I$12:AB$12,"总值",I13:AB13)</f>
        <v>67463.599999999977</v>
      </c>
      <c r="I13" s="1626">
        <f>抵押物清单!H4</f>
        <v>57573.479999999974</v>
      </c>
      <c r="J13" s="1626"/>
      <c r="K13" s="1626">
        <f>抵押物清单!H3</f>
        <v>9890.119999999999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67463.599999999977</v>
      </c>
      <c r="BA13" s="13">
        <f>SUM(BB13:BK13)</f>
        <v>67463.599999999977</v>
      </c>
      <c r="BB13" s="13">
        <f>IF($D13="是",I13-J13,0)</f>
        <v>57573.479999999974</v>
      </c>
      <c r="BC13" s="13">
        <f>IF($D13="是",K13-L13,0)</f>
        <v>9890.119999999999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27"/>
  <sheetViews>
    <sheetView workbookViewId="0">
      <selection activeCell="J19" sqref="J19"/>
    </sheetView>
  </sheetViews>
  <sheetFormatPr defaultColWidth="9" defaultRowHeight="13.5"/>
  <cols>
    <col min="1" max="2" width="8.875" style="3493" bestFit="1" customWidth="1"/>
    <col min="3" max="3" width="10.875" style="3493" customWidth="1"/>
    <col min="4" max="4" width="10.375" style="3493" customWidth="1"/>
    <col min="5" max="5" width="8.875" style="3493" bestFit="1" customWidth="1"/>
    <col min="8" max="8" width="10.5" bestFit="1" customWidth="1"/>
    <col min="257" max="258" width="8.875" bestFit="1" customWidth="1"/>
    <col min="259" max="259" width="10.875" customWidth="1"/>
    <col min="260" max="260" width="10.375" customWidth="1"/>
    <col min="261" max="261" width="8.875" bestFit="1" customWidth="1"/>
    <col min="513" max="514" width="8.875" bestFit="1" customWidth="1"/>
    <col min="515" max="515" width="10.875" customWidth="1"/>
    <col min="516" max="516" width="10.375" customWidth="1"/>
    <col min="517" max="517" width="8.875" bestFit="1" customWidth="1"/>
    <col min="769" max="770" width="8.875" bestFit="1" customWidth="1"/>
    <col min="771" max="771" width="10.875" customWidth="1"/>
    <col min="772" max="772" width="10.375" customWidth="1"/>
    <col min="773" max="773" width="8.875" bestFit="1" customWidth="1"/>
    <col min="1025" max="1026" width="8.875" bestFit="1" customWidth="1"/>
    <col min="1027" max="1027" width="10.875" customWidth="1"/>
    <col min="1028" max="1028" width="10.375" customWidth="1"/>
    <col min="1029" max="1029" width="8.875" bestFit="1" customWidth="1"/>
    <col min="1281" max="1282" width="8.875" bestFit="1" customWidth="1"/>
    <col min="1283" max="1283" width="10.875" customWidth="1"/>
    <col min="1284" max="1284" width="10.375" customWidth="1"/>
    <col min="1285" max="1285" width="8.875" bestFit="1" customWidth="1"/>
    <col min="1537" max="1538" width="8.875" bestFit="1" customWidth="1"/>
    <col min="1539" max="1539" width="10.875" customWidth="1"/>
    <col min="1540" max="1540" width="10.375" customWidth="1"/>
    <col min="1541" max="1541" width="8.875" bestFit="1" customWidth="1"/>
    <col min="1793" max="1794" width="8.875" bestFit="1" customWidth="1"/>
    <col min="1795" max="1795" width="10.875" customWidth="1"/>
    <col min="1796" max="1796" width="10.375" customWidth="1"/>
    <col min="1797" max="1797" width="8.875" bestFit="1" customWidth="1"/>
    <col min="2049" max="2050" width="8.875" bestFit="1" customWidth="1"/>
    <col min="2051" max="2051" width="10.875" customWidth="1"/>
    <col min="2052" max="2052" width="10.375" customWidth="1"/>
    <col min="2053" max="2053" width="8.875" bestFit="1" customWidth="1"/>
    <col min="2305" max="2306" width="8.875" bestFit="1" customWidth="1"/>
    <col min="2307" max="2307" width="10.875" customWidth="1"/>
    <col min="2308" max="2308" width="10.375" customWidth="1"/>
    <col min="2309" max="2309" width="8.875" bestFit="1" customWidth="1"/>
    <col min="2561" max="2562" width="8.875" bestFit="1" customWidth="1"/>
    <col min="2563" max="2563" width="10.875" customWidth="1"/>
    <col min="2564" max="2564" width="10.375" customWidth="1"/>
    <col min="2565" max="2565" width="8.875" bestFit="1" customWidth="1"/>
    <col min="2817" max="2818" width="8.875" bestFit="1" customWidth="1"/>
    <col min="2819" max="2819" width="10.875" customWidth="1"/>
    <col min="2820" max="2820" width="10.375" customWidth="1"/>
    <col min="2821" max="2821" width="8.875" bestFit="1" customWidth="1"/>
    <col min="3073" max="3074" width="8.875" bestFit="1" customWidth="1"/>
    <col min="3075" max="3075" width="10.875" customWidth="1"/>
    <col min="3076" max="3076" width="10.375" customWidth="1"/>
    <col min="3077" max="3077" width="8.875" bestFit="1" customWidth="1"/>
    <col min="3329" max="3330" width="8.875" bestFit="1" customWidth="1"/>
    <col min="3331" max="3331" width="10.875" customWidth="1"/>
    <col min="3332" max="3332" width="10.375" customWidth="1"/>
    <col min="3333" max="3333" width="8.875" bestFit="1" customWidth="1"/>
    <col min="3585" max="3586" width="8.875" bestFit="1" customWidth="1"/>
    <col min="3587" max="3587" width="10.875" customWidth="1"/>
    <col min="3588" max="3588" width="10.375" customWidth="1"/>
    <col min="3589" max="3589" width="8.875" bestFit="1" customWidth="1"/>
    <col min="3841" max="3842" width="8.875" bestFit="1" customWidth="1"/>
    <col min="3843" max="3843" width="10.875" customWidth="1"/>
    <col min="3844" max="3844" width="10.375" customWidth="1"/>
    <col min="3845" max="3845" width="8.875" bestFit="1" customWidth="1"/>
    <col min="4097" max="4098" width="8.875" bestFit="1" customWidth="1"/>
    <col min="4099" max="4099" width="10.875" customWidth="1"/>
    <col min="4100" max="4100" width="10.375" customWidth="1"/>
    <col min="4101" max="4101" width="8.875" bestFit="1" customWidth="1"/>
    <col min="4353" max="4354" width="8.875" bestFit="1" customWidth="1"/>
    <col min="4355" max="4355" width="10.875" customWidth="1"/>
    <col min="4356" max="4356" width="10.375" customWidth="1"/>
    <col min="4357" max="4357" width="8.875" bestFit="1" customWidth="1"/>
    <col min="4609" max="4610" width="8.875" bestFit="1" customWidth="1"/>
    <col min="4611" max="4611" width="10.875" customWidth="1"/>
    <col min="4612" max="4612" width="10.375" customWidth="1"/>
    <col min="4613" max="4613" width="8.875" bestFit="1" customWidth="1"/>
    <col min="4865" max="4866" width="8.875" bestFit="1" customWidth="1"/>
    <col min="4867" max="4867" width="10.875" customWidth="1"/>
    <col min="4868" max="4868" width="10.375" customWidth="1"/>
    <col min="4869" max="4869" width="8.875" bestFit="1" customWidth="1"/>
    <col min="5121" max="5122" width="8.875" bestFit="1" customWidth="1"/>
    <col min="5123" max="5123" width="10.875" customWidth="1"/>
    <col min="5124" max="5124" width="10.375" customWidth="1"/>
    <col min="5125" max="5125" width="8.875" bestFit="1" customWidth="1"/>
    <col min="5377" max="5378" width="8.875" bestFit="1" customWidth="1"/>
    <col min="5379" max="5379" width="10.875" customWidth="1"/>
    <col min="5380" max="5380" width="10.375" customWidth="1"/>
    <col min="5381" max="5381" width="8.875" bestFit="1" customWidth="1"/>
    <col min="5633" max="5634" width="8.875" bestFit="1" customWidth="1"/>
    <col min="5635" max="5635" width="10.875" customWidth="1"/>
    <col min="5636" max="5636" width="10.375" customWidth="1"/>
    <col min="5637" max="5637" width="8.875" bestFit="1" customWidth="1"/>
    <col min="5889" max="5890" width="8.875" bestFit="1" customWidth="1"/>
    <col min="5891" max="5891" width="10.875" customWidth="1"/>
    <col min="5892" max="5892" width="10.375" customWidth="1"/>
    <col min="5893" max="5893" width="8.875" bestFit="1" customWidth="1"/>
    <col min="6145" max="6146" width="8.875" bestFit="1" customWidth="1"/>
    <col min="6147" max="6147" width="10.875" customWidth="1"/>
    <col min="6148" max="6148" width="10.375" customWidth="1"/>
    <col min="6149" max="6149" width="8.875" bestFit="1" customWidth="1"/>
    <col min="6401" max="6402" width="8.875" bestFit="1" customWidth="1"/>
    <col min="6403" max="6403" width="10.875" customWidth="1"/>
    <col min="6404" max="6404" width="10.375" customWidth="1"/>
    <col min="6405" max="6405" width="8.875" bestFit="1" customWidth="1"/>
    <col min="6657" max="6658" width="8.875" bestFit="1" customWidth="1"/>
    <col min="6659" max="6659" width="10.875" customWidth="1"/>
    <col min="6660" max="6660" width="10.375" customWidth="1"/>
    <col min="6661" max="6661" width="8.875" bestFit="1" customWidth="1"/>
    <col min="6913" max="6914" width="8.875" bestFit="1" customWidth="1"/>
    <col min="6915" max="6915" width="10.875" customWidth="1"/>
    <col min="6916" max="6916" width="10.375" customWidth="1"/>
    <col min="6917" max="6917" width="8.875" bestFit="1" customWidth="1"/>
    <col min="7169" max="7170" width="8.875" bestFit="1" customWidth="1"/>
    <col min="7171" max="7171" width="10.875" customWidth="1"/>
    <col min="7172" max="7172" width="10.375" customWidth="1"/>
    <col min="7173" max="7173" width="8.875" bestFit="1" customWidth="1"/>
    <col min="7425" max="7426" width="8.875" bestFit="1" customWidth="1"/>
    <col min="7427" max="7427" width="10.875" customWidth="1"/>
    <col min="7428" max="7428" width="10.375" customWidth="1"/>
    <col min="7429" max="7429" width="8.875" bestFit="1" customWidth="1"/>
    <col min="7681" max="7682" width="8.875" bestFit="1" customWidth="1"/>
    <col min="7683" max="7683" width="10.875" customWidth="1"/>
    <col min="7684" max="7684" width="10.375" customWidth="1"/>
    <col min="7685" max="7685" width="8.875" bestFit="1" customWidth="1"/>
    <col min="7937" max="7938" width="8.875" bestFit="1" customWidth="1"/>
    <col min="7939" max="7939" width="10.875" customWidth="1"/>
    <col min="7940" max="7940" width="10.375" customWidth="1"/>
    <col min="7941" max="7941" width="8.875" bestFit="1" customWidth="1"/>
    <col min="8193" max="8194" width="8.875" bestFit="1" customWidth="1"/>
    <col min="8195" max="8195" width="10.875" customWidth="1"/>
    <col min="8196" max="8196" width="10.375" customWidth="1"/>
    <col min="8197" max="8197" width="8.875" bestFit="1" customWidth="1"/>
    <col min="8449" max="8450" width="8.875" bestFit="1" customWidth="1"/>
    <col min="8451" max="8451" width="10.875" customWidth="1"/>
    <col min="8452" max="8452" width="10.375" customWidth="1"/>
    <col min="8453" max="8453" width="8.875" bestFit="1" customWidth="1"/>
    <col min="8705" max="8706" width="8.875" bestFit="1" customWidth="1"/>
    <col min="8707" max="8707" width="10.875" customWidth="1"/>
    <col min="8708" max="8708" width="10.375" customWidth="1"/>
    <col min="8709" max="8709" width="8.875" bestFit="1" customWidth="1"/>
    <col min="8961" max="8962" width="8.875" bestFit="1" customWidth="1"/>
    <col min="8963" max="8963" width="10.875" customWidth="1"/>
    <col min="8964" max="8964" width="10.375" customWidth="1"/>
    <col min="8965" max="8965" width="8.875" bestFit="1" customWidth="1"/>
    <col min="9217" max="9218" width="8.875" bestFit="1" customWidth="1"/>
    <col min="9219" max="9219" width="10.875" customWidth="1"/>
    <col min="9220" max="9220" width="10.375" customWidth="1"/>
    <col min="9221" max="9221" width="8.875" bestFit="1" customWidth="1"/>
    <col min="9473" max="9474" width="8.875" bestFit="1" customWidth="1"/>
    <col min="9475" max="9475" width="10.875" customWidth="1"/>
    <col min="9476" max="9476" width="10.375" customWidth="1"/>
    <col min="9477" max="9477" width="8.875" bestFit="1" customWidth="1"/>
    <col min="9729" max="9730" width="8.875" bestFit="1" customWidth="1"/>
    <col min="9731" max="9731" width="10.875" customWidth="1"/>
    <col min="9732" max="9732" width="10.375" customWidth="1"/>
    <col min="9733" max="9733" width="8.875" bestFit="1" customWidth="1"/>
    <col min="9985" max="9986" width="8.875" bestFit="1" customWidth="1"/>
    <col min="9987" max="9987" width="10.875" customWidth="1"/>
    <col min="9988" max="9988" width="10.375" customWidth="1"/>
    <col min="9989" max="9989" width="8.875" bestFit="1" customWidth="1"/>
    <col min="10241" max="10242" width="8.875" bestFit="1" customWidth="1"/>
    <col min="10243" max="10243" width="10.875" customWidth="1"/>
    <col min="10244" max="10244" width="10.375" customWidth="1"/>
    <col min="10245" max="10245" width="8.875" bestFit="1" customWidth="1"/>
    <col min="10497" max="10498" width="8.875" bestFit="1" customWidth="1"/>
    <col min="10499" max="10499" width="10.875" customWidth="1"/>
    <col min="10500" max="10500" width="10.375" customWidth="1"/>
    <col min="10501" max="10501" width="8.875" bestFit="1" customWidth="1"/>
    <col min="10753" max="10754" width="8.875" bestFit="1" customWidth="1"/>
    <col min="10755" max="10755" width="10.875" customWidth="1"/>
    <col min="10756" max="10756" width="10.375" customWidth="1"/>
    <col min="10757" max="10757" width="8.875" bestFit="1" customWidth="1"/>
    <col min="11009" max="11010" width="8.875" bestFit="1" customWidth="1"/>
    <col min="11011" max="11011" width="10.875" customWidth="1"/>
    <col min="11012" max="11012" width="10.375" customWidth="1"/>
    <col min="11013" max="11013" width="8.875" bestFit="1" customWidth="1"/>
    <col min="11265" max="11266" width="8.875" bestFit="1" customWidth="1"/>
    <col min="11267" max="11267" width="10.875" customWidth="1"/>
    <col min="11268" max="11268" width="10.375" customWidth="1"/>
    <col min="11269" max="11269" width="8.875" bestFit="1" customWidth="1"/>
    <col min="11521" max="11522" width="8.875" bestFit="1" customWidth="1"/>
    <col min="11523" max="11523" width="10.875" customWidth="1"/>
    <col min="11524" max="11524" width="10.375" customWidth="1"/>
    <col min="11525" max="11525" width="8.875" bestFit="1" customWidth="1"/>
    <col min="11777" max="11778" width="8.875" bestFit="1" customWidth="1"/>
    <col min="11779" max="11779" width="10.875" customWidth="1"/>
    <col min="11780" max="11780" width="10.375" customWidth="1"/>
    <col min="11781" max="11781" width="8.875" bestFit="1" customWidth="1"/>
    <col min="12033" max="12034" width="8.875" bestFit="1" customWidth="1"/>
    <col min="12035" max="12035" width="10.875" customWidth="1"/>
    <col min="12036" max="12036" width="10.375" customWidth="1"/>
    <col min="12037" max="12037" width="8.875" bestFit="1" customWidth="1"/>
    <col min="12289" max="12290" width="8.875" bestFit="1" customWidth="1"/>
    <col min="12291" max="12291" width="10.875" customWidth="1"/>
    <col min="12292" max="12292" width="10.375" customWidth="1"/>
    <col min="12293" max="12293" width="8.875" bestFit="1" customWidth="1"/>
    <col min="12545" max="12546" width="8.875" bestFit="1" customWidth="1"/>
    <col min="12547" max="12547" width="10.875" customWidth="1"/>
    <col min="12548" max="12548" width="10.375" customWidth="1"/>
    <col min="12549" max="12549" width="8.875" bestFit="1" customWidth="1"/>
    <col min="12801" max="12802" width="8.875" bestFit="1" customWidth="1"/>
    <col min="12803" max="12803" width="10.875" customWidth="1"/>
    <col min="12804" max="12804" width="10.375" customWidth="1"/>
    <col min="12805" max="12805" width="8.875" bestFit="1" customWidth="1"/>
    <col min="13057" max="13058" width="8.875" bestFit="1" customWidth="1"/>
    <col min="13059" max="13059" width="10.875" customWidth="1"/>
    <col min="13060" max="13060" width="10.375" customWidth="1"/>
    <col min="13061" max="13061" width="8.875" bestFit="1" customWidth="1"/>
    <col min="13313" max="13314" width="8.875" bestFit="1" customWidth="1"/>
    <col min="13315" max="13315" width="10.875" customWidth="1"/>
    <col min="13316" max="13316" width="10.375" customWidth="1"/>
    <col min="13317" max="13317" width="8.875" bestFit="1" customWidth="1"/>
    <col min="13569" max="13570" width="8.875" bestFit="1" customWidth="1"/>
    <col min="13571" max="13571" width="10.875" customWidth="1"/>
    <col min="13572" max="13572" width="10.375" customWidth="1"/>
    <col min="13573" max="13573" width="8.875" bestFit="1" customWidth="1"/>
    <col min="13825" max="13826" width="8.875" bestFit="1" customWidth="1"/>
    <col min="13827" max="13827" width="10.875" customWidth="1"/>
    <col min="13828" max="13828" width="10.375" customWidth="1"/>
    <col min="13829" max="13829" width="8.875" bestFit="1" customWidth="1"/>
    <col min="14081" max="14082" width="8.875" bestFit="1" customWidth="1"/>
    <col min="14083" max="14083" width="10.875" customWidth="1"/>
    <col min="14084" max="14084" width="10.375" customWidth="1"/>
    <col min="14085" max="14085" width="8.875" bestFit="1" customWidth="1"/>
    <col min="14337" max="14338" width="8.875" bestFit="1" customWidth="1"/>
    <col min="14339" max="14339" width="10.875" customWidth="1"/>
    <col min="14340" max="14340" width="10.375" customWidth="1"/>
    <col min="14341" max="14341" width="8.875" bestFit="1" customWidth="1"/>
    <col min="14593" max="14594" width="8.875" bestFit="1" customWidth="1"/>
    <col min="14595" max="14595" width="10.875" customWidth="1"/>
    <col min="14596" max="14596" width="10.375" customWidth="1"/>
    <col min="14597" max="14597" width="8.875" bestFit="1" customWidth="1"/>
    <col min="14849" max="14850" width="8.875" bestFit="1" customWidth="1"/>
    <col min="14851" max="14851" width="10.875" customWidth="1"/>
    <col min="14852" max="14852" width="10.375" customWidth="1"/>
    <col min="14853" max="14853" width="8.875" bestFit="1" customWidth="1"/>
    <col min="15105" max="15106" width="8.875" bestFit="1" customWidth="1"/>
    <col min="15107" max="15107" width="10.875" customWidth="1"/>
    <col min="15108" max="15108" width="10.375" customWidth="1"/>
    <col min="15109" max="15109" width="8.875" bestFit="1" customWidth="1"/>
    <col min="15361" max="15362" width="8.875" bestFit="1" customWidth="1"/>
    <col min="15363" max="15363" width="10.875" customWidth="1"/>
    <col min="15364" max="15364" width="10.375" customWidth="1"/>
    <col min="15365" max="15365" width="8.875" bestFit="1" customWidth="1"/>
    <col min="15617" max="15618" width="8.875" bestFit="1" customWidth="1"/>
    <col min="15619" max="15619" width="10.875" customWidth="1"/>
    <col min="15620" max="15620" width="10.375" customWidth="1"/>
    <col min="15621" max="15621" width="8.875" bestFit="1" customWidth="1"/>
    <col min="15873" max="15874" width="8.875" bestFit="1" customWidth="1"/>
    <col min="15875" max="15875" width="10.875" customWidth="1"/>
    <col min="15876" max="15876" width="10.375" customWidth="1"/>
    <col min="15877" max="15877" width="8.875" bestFit="1" customWidth="1"/>
    <col min="16129" max="16130" width="8.875" bestFit="1" customWidth="1"/>
    <col min="16131" max="16131" width="10.875" customWidth="1"/>
    <col min="16132" max="16132" width="10.375" customWidth="1"/>
    <col min="16133" max="16133" width="8.875" bestFit="1" customWidth="1"/>
  </cols>
  <sheetData>
    <row r="1" spans="1:11" ht="20.25">
      <c r="A1" s="3568"/>
      <c r="B1" s="3568"/>
      <c r="C1" s="3568"/>
      <c r="D1" s="3568"/>
      <c r="E1" s="3568"/>
    </row>
    <row r="2" spans="1:11">
      <c r="A2" s="3481" t="s">
        <v>3375</v>
      </c>
      <c r="B2" s="3481" t="s">
        <v>3376</v>
      </c>
      <c r="C2" s="3481" t="s">
        <v>3377</v>
      </c>
      <c r="D2" s="3481" t="s">
        <v>3378</v>
      </c>
      <c r="E2" s="3481" t="s">
        <v>3379</v>
      </c>
    </row>
    <row r="3" spans="1:11" ht="14.25">
      <c r="A3" s="3482" t="s">
        <v>3380</v>
      </c>
      <c r="B3" s="3483"/>
      <c r="C3" s="3484" t="s">
        <v>3381</v>
      </c>
      <c r="D3" s="3485">
        <v>127.66</v>
      </c>
      <c r="E3" s="3482" t="s">
        <v>673</v>
      </c>
      <c r="G3" s="3494" t="s">
        <v>3526</v>
      </c>
      <c r="H3">
        <f>SUM(D3:D25,D105:D115,D119:D124,D231:D238,D335:D338,D354:D367)</f>
        <v>9890.119999999999</v>
      </c>
      <c r="J3" s="3494" t="s">
        <v>3554</v>
      </c>
      <c r="K3">
        <f>SUM(D3:D7,D13:D17,D105:D107,D119:D122,D231:D235,D335:D338,D354:D362)</f>
        <v>4009.37</v>
      </c>
    </row>
    <row r="4" spans="1:11" ht="14.25">
      <c r="A4" s="3482" t="s">
        <v>3380</v>
      </c>
      <c r="B4" s="3483"/>
      <c r="C4" s="3484" t="s">
        <v>3382</v>
      </c>
      <c r="D4" s="3485">
        <v>55.54</v>
      </c>
      <c r="E4" s="3482" t="s">
        <v>673</v>
      </c>
      <c r="G4" s="3494" t="s">
        <v>3527</v>
      </c>
      <c r="H4" s="3495">
        <f>SUM(D26:D104,D116:D118,D126:D230,D239:D334,D340:D353,D368:D427)</f>
        <v>57573.479999999974</v>
      </c>
      <c r="J4" s="3494" t="s">
        <v>3555</v>
      </c>
      <c r="K4">
        <f>SUM(D8:D12,D18:D25,D108:D115,D123:D124,D236:D238,D363:D367)</f>
        <v>5880.75</v>
      </c>
    </row>
    <row r="5" spans="1:11" ht="14.25">
      <c r="A5" s="3482" t="s">
        <v>3380</v>
      </c>
      <c r="B5" s="3483"/>
      <c r="C5" s="3484" t="s">
        <v>3383</v>
      </c>
      <c r="D5" s="3485">
        <v>70.430000000000007</v>
      </c>
      <c r="E5" s="3482" t="s">
        <v>673</v>
      </c>
      <c r="G5" s="3494" t="s">
        <v>3528</v>
      </c>
      <c r="H5" s="3495">
        <f>D125</f>
        <v>4120.6899999999996</v>
      </c>
    </row>
    <row r="6" spans="1:11" ht="14.25">
      <c r="A6" s="3482" t="s">
        <v>3380</v>
      </c>
      <c r="B6" s="3483"/>
      <c r="C6" s="3484" t="s">
        <v>3384</v>
      </c>
      <c r="D6" s="3485">
        <v>86.32</v>
      </c>
      <c r="E6" s="3482" t="s">
        <v>673</v>
      </c>
      <c r="G6" s="3494" t="s">
        <v>3529</v>
      </c>
      <c r="H6">
        <f>D339</f>
        <v>3012.67</v>
      </c>
    </row>
    <row r="7" spans="1:11" ht="14.25">
      <c r="A7" s="3482" t="s">
        <v>3380</v>
      </c>
      <c r="B7" s="3483"/>
      <c r="C7" s="3484" t="s">
        <v>3385</v>
      </c>
      <c r="D7" s="3485">
        <v>140.63999999999999</v>
      </c>
      <c r="E7" s="3482" t="s">
        <v>673</v>
      </c>
      <c r="H7">
        <f>SUM(H3:H6)</f>
        <v>74596.959999999977</v>
      </c>
    </row>
    <row r="8" spans="1:11" ht="14.25">
      <c r="A8" s="3482" t="s">
        <v>3380</v>
      </c>
      <c r="B8" s="3483"/>
      <c r="C8" s="3484" t="s">
        <v>3386</v>
      </c>
      <c r="D8" s="3485">
        <v>204.02</v>
      </c>
      <c r="E8" s="3482" t="s">
        <v>673</v>
      </c>
    </row>
    <row r="9" spans="1:11" ht="14.25">
      <c r="A9" s="3482" t="s">
        <v>3380</v>
      </c>
      <c r="B9" s="3483"/>
      <c r="C9" s="3484" t="s">
        <v>3387</v>
      </c>
      <c r="D9" s="3485">
        <v>141.54</v>
      </c>
      <c r="E9" s="3482" t="s">
        <v>673</v>
      </c>
    </row>
    <row r="10" spans="1:11" ht="14.25">
      <c r="A10" s="3482" t="s">
        <v>3380</v>
      </c>
      <c r="B10" s="3483"/>
      <c r="C10" s="3484" t="s">
        <v>3388</v>
      </c>
      <c r="D10" s="3485">
        <v>141.54</v>
      </c>
      <c r="E10" s="3482" t="s">
        <v>673</v>
      </c>
    </row>
    <row r="11" spans="1:11" ht="14.25">
      <c r="A11" s="3482" t="s">
        <v>3380</v>
      </c>
      <c r="B11" s="3483"/>
      <c r="C11" s="3484" t="s">
        <v>3389</v>
      </c>
      <c r="D11" s="3485">
        <v>135.28</v>
      </c>
      <c r="E11" s="3482" t="s">
        <v>673</v>
      </c>
    </row>
    <row r="12" spans="1:11" ht="14.25">
      <c r="A12" s="3482" t="s">
        <v>3380</v>
      </c>
      <c r="B12" s="3483"/>
      <c r="C12" s="3484" t="s">
        <v>3390</v>
      </c>
      <c r="D12" s="3485">
        <v>203.98</v>
      </c>
      <c r="E12" s="3482" t="s">
        <v>673</v>
      </c>
    </row>
    <row r="13" spans="1:11">
      <c r="A13" s="3482" t="s">
        <v>3391</v>
      </c>
      <c r="B13" s="3482" t="s">
        <v>3392</v>
      </c>
      <c r="C13" s="3486" t="s">
        <v>3385</v>
      </c>
      <c r="D13" s="3487">
        <v>193.6</v>
      </c>
      <c r="E13" s="3482" t="s">
        <v>673</v>
      </c>
    </row>
    <row r="14" spans="1:11">
      <c r="A14" s="3482" t="s">
        <v>3391</v>
      </c>
      <c r="B14" s="3482" t="s">
        <v>3392</v>
      </c>
      <c r="C14" s="3486" t="s">
        <v>3393</v>
      </c>
      <c r="D14" s="3487">
        <v>165.67</v>
      </c>
      <c r="E14" s="3482" t="s">
        <v>673</v>
      </c>
    </row>
    <row r="15" spans="1:11">
      <c r="A15" s="3482" t="s">
        <v>3391</v>
      </c>
      <c r="B15" s="3482" t="s">
        <v>3392</v>
      </c>
      <c r="C15" s="3486" t="s">
        <v>3394</v>
      </c>
      <c r="D15" s="3487">
        <v>110.54</v>
      </c>
      <c r="E15" s="3482" t="s">
        <v>673</v>
      </c>
    </row>
    <row r="16" spans="1:11">
      <c r="A16" s="3482" t="s">
        <v>3391</v>
      </c>
      <c r="B16" s="3482" t="s">
        <v>3392</v>
      </c>
      <c r="C16" s="3486" t="s">
        <v>3395</v>
      </c>
      <c r="D16" s="3487">
        <v>56.23</v>
      </c>
      <c r="E16" s="3482" t="s">
        <v>673</v>
      </c>
    </row>
    <row r="17" spans="1:5">
      <c r="A17" s="3482" t="s">
        <v>3391</v>
      </c>
      <c r="B17" s="3482" t="s">
        <v>3392</v>
      </c>
      <c r="C17" s="3486" t="s">
        <v>3396</v>
      </c>
      <c r="D17" s="3487">
        <v>53.16</v>
      </c>
      <c r="E17" s="3482" t="s">
        <v>673</v>
      </c>
    </row>
    <row r="18" spans="1:5">
      <c r="A18" s="3482" t="s">
        <v>3391</v>
      </c>
      <c r="B18" s="3482" t="s">
        <v>3392</v>
      </c>
      <c r="C18" s="3486" t="s">
        <v>3386</v>
      </c>
      <c r="D18" s="3487">
        <v>139.78</v>
      </c>
      <c r="E18" s="3482" t="s">
        <v>673</v>
      </c>
    </row>
    <row r="19" spans="1:5">
      <c r="A19" s="3482" t="s">
        <v>3391</v>
      </c>
      <c r="B19" s="3482" t="s">
        <v>3392</v>
      </c>
      <c r="C19" s="3486" t="s">
        <v>3387</v>
      </c>
      <c r="D19" s="3487">
        <v>115.64</v>
      </c>
      <c r="E19" s="3482" t="s">
        <v>673</v>
      </c>
    </row>
    <row r="20" spans="1:5">
      <c r="A20" s="3482" t="s">
        <v>3391</v>
      </c>
      <c r="B20" s="3482" t="s">
        <v>3392</v>
      </c>
      <c r="C20" s="3486" t="s">
        <v>3388</v>
      </c>
      <c r="D20" s="3487">
        <v>120.66</v>
      </c>
      <c r="E20" s="3482" t="s">
        <v>673</v>
      </c>
    </row>
    <row r="21" spans="1:5">
      <c r="A21" s="3482" t="s">
        <v>3391</v>
      </c>
      <c r="B21" s="3482" t="s">
        <v>3392</v>
      </c>
      <c r="C21" s="3486" t="s">
        <v>3389</v>
      </c>
      <c r="D21" s="3487">
        <v>147.16</v>
      </c>
      <c r="E21" s="3482" t="s">
        <v>673</v>
      </c>
    </row>
    <row r="22" spans="1:5">
      <c r="A22" s="3482" t="s">
        <v>3391</v>
      </c>
      <c r="B22" s="3482" t="s">
        <v>3392</v>
      </c>
      <c r="C22" s="3486" t="s">
        <v>3390</v>
      </c>
      <c r="D22" s="3487">
        <v>48.26</v>
      </c>
      <c r="E22" s="3482" t="s">
        <v>673</v>
      </c>
    </row>
    <row r="23" spans="1:5">
      <c r="A23" s="3482" t="s">
        <v>3391</v>
      </c>
      <c r="B23" s="3482" t="s">
        <v>3392</v>
      </c>
      <c r="C23" s="3486" t="s">
        <v>3397</v>
      </c>
      <c r="D23" s="3487">
        <v>283.54000000000002</v>
      </c>
      <c r="E23" s="3482" t="s">
        <v>673</v>
      </c>
    </row>
    <row r="24" spans="1:5">
      <c r="A24" s="3482" t="s">
        <v>3391</v>
      </c>
      <c r="B24" s="3482" t="s">
        <v>3392</v>
      </c>
      <c r="C24" s="3486" t="s">
        <v>3398</v>
      </c>
      <c r="D24" s="3487">
        <v>232.75</v>
      </c>
      <c r="E24" s="3482" t="s">
        <v>673</v>
      </c>
    </row>
    <row r="25" spans="1:5">
      <c r="A25" s="3482" t="s">
        <v>3391</v>
      </c>
      <c r="B25" s="3482" t="s">
        <v>3392</v>
      </c>
      <c r="C25" s="3486" t="s">
        <v>3399</v>
      </c>
      <c r="D25" s="3487">
        <v>158.69999999999999</v>
      </c>
      <c r="E25" s="3482" t="s">
        <v>673</v>
      </c>
    </row>
    <row r="26" spans="1:5">
      <c r="A26" s="3482" t="s">
        <v>3391</v>
      </c>
      <c r="B26" s="3482" t="s">
        <v>3392</v>
      </c>
      <c r="C26" s="3484" t="s">
        <v>3400</v>
      </c>
      <c r="D26" s="3485">
        <v>229.11</v>
      </c>
      <c r="E26" s="3482" t="s">
        <v>21</v>
      </c>
    </row>
    <row r="27" spans="1:5">
      <c r="A27" s="3482" t="s">
        <v>3391</v>
      </c>
      <c r="B27" s="3482" t="s">
        <v>3392</v>
      </c>
      <c r="C27" s="3484" t="s">
        <v>3401</v>
      </c>
      <c r="D27" s="3485">
        <v>112.7</v>
      </c>
      <c r="E27" s="3482" t="s">
        <v>21</v>
      </c>
    </row>
    <row r="28" spans="1:5">
      <c r="A28" s="3482" t="s">
        <v>3391</v>
      </c>
      <c r="B28" s="3482" t="s">
        <v>3392</v>
      </c>
      <c r="C28" s="3484" t="s">
        <v>3402</v>
      </c>
      <c r="D28" s="3485">
        <v>117.06</v>
      </c>
      <c r="E28" s="3482" t="s">
        <v>21</v>
      </c>
    </row>
    <row r="29" spans="1:5">
      <c r="A29" s="3482" t="s">
        <v>3391</v>
      </c>
      <c r="B29" s="3482" t="s">
        <v>3392</v>
      </c>
      <c r="C29" s="3484" t="s">
        <v>3403</v>
      </c>
      <c r="D29" s="3485">
        <v>117.06</v>
      </c>
      <c r="E29" s="3482" t="s">
        <v>21</v>
      </c>
    </row>
    <row r="30" spans="1:5">
      <c r="A30" s="3482" t="s">
        <v>3391</v>
      </c>
      <c r="B30" s="3482" t="s">
        <v>3392</v>
      </c>
      <c r="C30" s="3484" t="s">
        <v>3404</v>
      </c>
      <c r="D30" s="3485">
        <v>148.97999999999999</v>
      </c>
      <c r="E30" s="3482" t="s">
        <v>21</v>
      </c>
    </row>
    <row r="31" spans="1:5">
      <c r="A31" s="3482" t="s">
        <v>3391</v>
      </c>
      <c r="B31" s="3482" t="s">
        <v>3392</v>
      </c>
      <c r="C31" s="3484" t="s">
        <v>3405</v>
      </c>
      <c r="D31" s="3485">
        <v>342.27</v>
      </c>
      <c r="E31" s="3482" t="s">
        <v>21</v>
      </c>
    </row>
    <row r="32" spans="1:5">
      <c r="A32" s="3482" t="s">
        <v>3391</v>
      </c>
      <c r="B32" s="3482" t="s">
        <v>3392</v>
      </c>
      <c r="C32" s="3484" t="s">
        <v>3406</v>
      </c>
      <c r="D32" s="3485">
        <v>822.7</v>
      </c>
      <c r="E32" s="3482" t="s">
        <v>21</v>
      </c>
    </row>
    <row r="33" spans="1:5">
      <c r="A33" s="3482" t="s">
        <v>3391</v>
      </c>
      <c r="B33" s="3482" t="s">
        <v>3392</v>
      </c>
      <c r="C33" s="3484" t="s">
        <v>3407</v>
      </c>
      <c r="D33" s="3485">
        <v>93.63</v>
      </c>
      <c r="E33" s="3482" t="s">
        <v>21</v>
      </c>
    </row>
    <row r="34" spans="1:5">
      <c r="A34" s="3482" t="s">
        <v>3391</v>
      </c>
      <c r="B34" s="3482" t="s">
        <v>3392</v>
      </c>
      <c r="C34" s="3484" t="s">
        <v>3408</v>
      </c>
      <c r="D34" s="3485">
        <v>203.65</v>
      </c>
      <c r="E34" s="3482" t="s">
        <v>21</v>
      </c>
    </row>
    <row r="35" spans="1:5">
      <c r="A35" s="3482" t="s">
        <v>3391</v>
      </c>
      <c r="B35" s="3482" t="s">
        <v>3392</v>
      </c>
      <c r="C35" s="3484" t="s">
        <v>3409</v>
      </c>
      <c r="D35" s="3485">
        <v>156.6</v>
      </c>
      <c r="E35" s="3482" t="s">
        <v>21</v>
      </c>
    </row>
    <row r="36" spans="1:5">
      <c r="A36" s="3482" t="s">
        <v>3391</v>
      </c>
      <c r="B36" s="3482" t="s">
        <v>3392</v>
      </c>
      <c r="C36" s="3484" t="s">
        <v>3410</v>
      </c>
      <c r="D36" s="3485">
        <v>108.54</v>
      </c>
      <c r="E36" s="3482" t="s">
        <v>21</v>
      </c>
    </row>
    <row r="37" spans="1:5">
      <c r="A37" s="3482" t="s">
        <v>3391</v>
      </c>
      <c r="B37" s="3482" t="s">
        <v>3392</v>
      </c>
      <c r="C37" s="3484" t="s">
        <v>3411</v>
      </c>
      <c r="D37" s="3485">
        <v>121.64</v>
      </c>
      <c r="E37" s="3482" t="s">
        <v>21</v>
      </c>
    </row>
    <row r="38" spans="1:5">
      <c r="A38" s="3482" t="s">
        <v>3391</v>
      </c>
      <c r="B38" s="3482" t="s">
        <v>3392</v>
      </c>
      <c r="C38" s="3484" t="s">
        <v>3412</v>
      </c>
      <c r="D38" s="3485">
        <v>117.06</v>
      </c>
      <c r="E38" s="3482" t="s">
        <v>21</v>
      </c>
    </row>
    <row r="39" spans="1:5">
      <c r="A39" s="3482" t="s">
        <v>3391</v>
      </c>
      <c r="B39" s="3482" t="s">
        <v>3392</v>
      </c>
      <c r="C39" s="3484" t="s">
        <v>3413</v>
      </c>
      <c r="D39" s="3485">
        <v>156.6</v>
      </c>
      <c r="E39" s="3482" t="s">
        <v>21</v>
      </c>
    </row>
    <row r="40" spans="1:5">
      <c r="A40" s="3482" t="s">
        <v>3391</v>
      </c>
      <c r="B40" s="3482" t="s">
        <v>3392</v>
      </c>
      <c r="C40" s="3484" t="s">
        <v>3414</v>
      </c>
      <c r="D40" s="3485">
        <v>73.28</v>
      </c>
      <c r="E40" s="3482" t="s">
        <v>21</v>
      </c>
    </row>
    <row r="41" spans="1:5">
      <c r="A41" s="3482" t="s">
        <v>3391</v>
      </c>
      <c r="B41" s="3482" t="s">
        <v>3392</v>
      </c>
      <c r="C41" s="3484" t="s">
        <v>3415</v>
      </c>
      <c r="D41" s="3485">
        <v>164.59</v>
      </c>
      <c r="E41" s="3482" t="s">
        <v>21</v>
      </c>
    </row>
    <row r="42" spans="1:5">
      <c r="A42" s="3482" t="s">
        <v>3391</v>
      </c>
      <c r="B42" s="3482" t="s">
        <v>3392</v>
      </c>
      <c r="C42" s="3484" t="s">
        <v>3416</v>
      </c>
      <c r="D42" s="3485">
        <v>117.26</v>
      </c>
      <c r="E42" s="3482" t="s">
        <v>21</v>
      </c>
    </row>
    <row r="43" spans="1:5">
      <c r="A43" s="3482" t="s">
        <v>3391</v>
      </c>
      <c r="B43" s="3482" t="s">
        <v>3392</v>
      </c>
      <c r="C43" s="3484" t="s">
        <v>3417</v>
      </c>
      <c r="D43" s="3485">
        <v>156.80000000000001</v>
      </c>
      <c r="E43" s="3482" t="s">
        <v>21</v>
      </c>
    </row>
    <row r="44" spans="1:5">
      <c r="A44" s="3482" t="s">
        <v>3391</v>
      </c>
      <c r="B44" s="3482" t="s">
        <v>3392</v>
      </c>
      <c r="C44" s="3484" t="s">
        <v>3418</v>
      </c>
      <c r="D44" s="3485">
        <v>72.33</v>
      </c>
      <c r="E44" s="3482" t="s">
        <v>21</v>
      </c>
    </row>
    <row r="45" spans="1:5">
      <c r="A45" s="3482" t="s">
        <v>3391</v>
      </c>
      <c r="B45" s="3482" t="s">
        <v>3392</v>
      </c>
      <c r="C45" s="3484" t="s">
        <v>3419</v>
      </c>
      <c r="D45" s="3485">
        <v>164.62</v>
      </c>
      <c r="E45" s="3482" t="s">
        <v>21</v>
      </c>
    </row>
    <row r="46" spans="1:5">
      <c r="A46" s="3482" t="s">
        <v>3391</v>
      </c>
      <c r="B46" s="3482" t="s">
        <v>3392</v>
      </c>
      <c r="C46" s="3484" t="s">
        <v>3420</v>
      </c>
      <c r="D46" s="3485">
        <v>113.1</v>
      </c>
      <c r="E46" s="3482" t="s">
        <v>21</v>
      </c>
    </row>
    <row r="47" spans="1:5">
      <c r="A47" s="3482" t="s">
        <v>3391</v>
      </c>
      <c r="B47" s="3482" t="s">
        <v>3392</v>
      </c>
      <c r="C47" s="3484" t="s">
        <v>3421</v>
      </c>
      <c r="D47" s="3485">
        <v>117.26</v>
      </c>
      <c r="E47" s="3482" t="s">
        <v>21</v>
      </c>
    </row>
    <row r="48" spans="1:5">
      <c r="A48" s="3482" t="s">
        <v>3391</v>
      </c>
      <c r="B48" s="3482" t="s">
        <v>3392</v>
      </c>
      <c r="C48" s="3484" t="s">
        <v>3422</v>
      </c>
      <c r="D48" s="3485">
        <v>117.6</v>
      </c>
      <c r="E48" s="3482" t="s">
        <v>21</v>
      </c>
    </row>
    <row r="49" spans="1:5">
      <c r="A49" s="3482" t="s">
        <v>3391</v>
      </c>
      <c r="B49" s="3482" t="s">
        <v>3392</v>
      </c>
      <c r="C49" s="3484" t="s">
        <v>3423</v>
      </c>
      <c r="D49" s="3485">
        <v>164.62</v>
      </c>
      <c r="E49" s="3482" t="s">
        <v>21</v>
      </c>
    </row>
    <row r="50" spans="1:5">
      <c r="A50" s="3482" t="s">
        <v>3391</v>
      </c>
      <c r="B50" s="3482" t="s">
        <v>3392</v>
      </c>
      <c r="C50" s="3484" t="s">
        <v>3424</v>
      </c>
      <c r="D50" s="3485">
        <v>262.47000000000003</v>
      </c>
      <c r="E50" s="3482" t="s">
        <v>21</v>
      </c>
    </row>
    <row r="51" spans="1:5">
      <c r="A51" s="3482" t="s">
        <v>3391</v>
      </c>
      <c r="B51" s="3482" t="s">
        <v>3392</v>
      </c>
      <c r="C51" s="3484" t="s">
        <v>3425</v>
      </c>
      <c r="D51" s="3485">
        <v>113.05</v>
      </c>
      <c r="E51" s="3482" t="s">
        <v>21</v>
      </c>
    </row>
    <row r="52" spans="1:5">
      <c r="A52" s="3482" t="s">
        <v>3391</v>
      </c>
      <c r="B52" s="3482" t="s">
        <v>3392</v>
      </c>
      <c r="C52" s="3484" t="s">
        <v>3426</v>
      </c>
      <c r="D52" s="3485">
        <v>117.06</v>
      </c>
      <c r="E52" s="3482" t="s">
        <v>21</v>
      </c>
    </row>
    <row r="53" spans="1:5">
      <c r="A53" s="3482" t="s">
        <v>3391</v>
      </c>
      <c r="B53" s="3482" t="s">
        <v>3392</v>
      </c>
      <c r="C53" s="3484" t="s">
        <v>3427</v>
      </c>
      <c r="D53" s="3485">
        <v>117.39</v>
      </c>
      <c r="E53" s="3482" t="s">
        <v>21</v>
      </c>
    </row>
    <row r="54" spans="1:5">
      <c r="A54" s="3482" t="s">
        <v>3391</v>
      </c>
      <c r="B54" s="3482" t="s">
        <v>3392</v>
      </c>
      <c r="C54" s="3484" t="s">
        <v>3428</v>
      </c>
      <c r="D54" s="3485">
        <v>262.47000000000003</v>
      </c>
      <c r="E54" s="3482" t="s">
        <v>21</v>
      </c>
    </row>
    <row r="55" spans="1:5">
      <c r="A55" s="3482" t="s">
        <v>3391</v>
      </c>
      <c r="B55" s="3482" t="s">
        <v>3392</v>
      </c>
      <c r="C55" s="3484" t="s">
        <v>3429</v>
      </c>
      <c r="D55" s="3485">
        <v>164.62</v>
      </c>
      <c r="E55" s="3482" t="s">
        <v>21</v>
      </c>
    </row>
    <row r="56" spans="1:5">
      <c r="A56" s="3482" t="s">
        <v>3391</v>
      </c>
      <c r="B56" s="3482" t="s">
        <v>3392</v>
      </c>
      <c r="C56" s="3484" t="s">
        <v>3430</v>
      </c>
      <c r="D56" s="3485">
        <v>113.1</v>
      </c>
      <c r="E56" s="3482" t="s">
        <v>21</v>
      </c>
    </row>
    <row r="57" spans="1:5">
      <c r="A57" s="3482" t="s">
        <v>3391</v>
      </c>
      <c r="B57" s="3482" t="s">
        <v>3392</v>
      </c>
      <c r="C57" s="3484" t="s">
        <v>3431</v>
      </c>
      <c r="D57" s="3485">
        <v>117.26</v>
      </c>
      <c r="E57" s="3482" t="s">
        <v>21</v>
      </c>
    </row>
    <row r="58" spans="1:5">
      <c r="A58" s="3482" t="s">
        <v>3391</v>
      </c>
      <c r="B58" s="3482" t="s">
        <v>3392</v>
      </c>
      <c r="C58" s="3484" t="s">
        <v>3432</v>
      </c>
      <c r="D58" s="3485">
        <v>117.6</v>
      </c>
      <c r="E58" s="3482" t="s">
        <v>21</v>
      </c>
    </row>
    <row r="59" spans="1:5">
      <c r="A59" s="3482" t="s">
        <v>3391</v>
      </c>
      <c r="B59" s="3482" t="s">
        <v>3392</v>
      </c>
      <c r="C59" s="3484" t="s">
        <v>3433</v>
      </c>
      <c r="D59" s="3485">
        <v>164.62</v>
      </c>
      <c r="E59" s="3482" t="s">
        <v>21</v>
      </c>
    </row>
    <row r="60" spans="1:5">
      <c r="A60" s="3482" t="s">
        <v>3391</v>
      </c>
      <c r="B60" s="3482" t="s">
        <v>3392</v>
      </c>
      <c r="C60" s="3484" t="s">
        <v>3434</v>
      </c>
      <c r="D60" s="3485">
        <v>262.47000000000003</v>
      </c>
      <c r="E60" s="3482" t="s">
        <v>21</v>
      </c>
    </row>
    <row r="61" spans="1:5">
      <c r="A61" s="3482" t="s">
        <v>3391</v>
      </c>
      <c r="B61" s="3482" t="s">
        <v>3392</v>
      </c>
      <c r="C61" s="3484" t="s">
        <v>3435</v>
      </c>
      <c r="D61" s="3485">
        <v>113.05</v>
      </c>
      <c r="E61" s="3482" t="s">
        <v>21</v>
      </c>
    </row>
    <row r="62" spans="1:5">
      <c r="A62" s="3482" t="s">
        <v>3391</v>
      </c>
      <c r="B62" s="3482" t="s">
        <v>3392</v>
      </c>
      <c r="C62" s="3484" t="s">
        <v>3436</v>
      </c>
      <c r="D62" s="3485">
        <v>117.06</v>
      </c>
      <c r="E62" s="3482" t="s">
        <v>21</v>
      </c>
    </row>
    <row r="63" spans="1:5">
      <c r="A63" s="3482" t="s">
        <v>3391</v>
      </c>
      <c r="B63" s="3482" t="s">
        <v>3392</v>
      </c>
      <c r="C63" s="3484" t="s">
        <v>3437</v>
      </c>
      <c r="D63" s="3485">
        <v>117.39</v>
      </c>
      <c r="E63" s="3482" t="s">
        <v>21</v>
      </c>
    </row>
    <row r="64" spans="1:5">
      <c r="A64" s="3482" t="s">
        <v>3391</v>
      </c>
      <c r="B64" s="3482" t="s">
        <v>3392</v>
      </c>
      <c r="C64" s="3484" t="s">
        <v>3438</v>
      </c>
      <c r="D64" s="3485">
        <v>262.47000000000003</v>
      </c>
      <c r="E64" s="3482" t="s">
        <v>21</v>
      </c>
    </row>
    <row r="65" spans="1:5">
      <c r="A65" s="3482" t="s">
        <v>3391</v>
      </c>
      <c r="B65" s="3482" t="s">
        <v>3392</v>
      </c>
      <c r="C65" s="3484" t="s">
        <v>3439</v>
      </c>
      <c r="D65" s="3485">
        <v>164.41</v>
      </c>
      <c r="E65" s="3482" t="s">
        <v>21</v>
      </c>
    </row>
    <row r="66" spans="1:5">
      <c r="A66" s="3482" t="s">
        <v>3391</v>
      </c>
      <c r="B66" s="3482" t="s">
        <v>3392</v>
      </c>
      <c r="C66" s="3484" t="s">
        <v>3440</v>
      </c>
      <c r="D66" s="3485">
        <v>113.05</v>
      </c>
      <c r="E66" s="3482" t="s">
        <v>21</v>
      </c>
    </row>
    <row r="67" spans="1:5">
      <c r="A67" s="3482" t="s">
        <v>3391</v>
      </c>
      <c r="B67" s="3482" t="s">
        <v>3392</v>
      </c>
      <c r="C67" s="3484" t="s">
        <v>3441</v>
      </c>
      <c r="D67" s="3485">
        <v>117.06</v>
      </c>
      <c r="E67" s="3482" t="s">
        <v>21</v>
      </c>
    </row>
    <row r="68" spans="1:5">
      <c r="A68" s="3482" t="s">
        <v>3391</v>
      </c>
      <c r="B68" s="3482" t="s">
        <v>3392</v>
      </c>
      <c r="C68" s="3484" t="s">
        <v>3442</v>
      </c>
      <c r="D68" s="3485">
        <v>117.39</v>
      </c>
      <c r="E68" s="3482" t="s">
        <v>21</v>
      </c>
    </row>
    <row r="69" spans="1:5">
      <c r="A69" s="3482" t="s">
        <v>3391</v>
      </c>
      <c r="B69" s="3482" t="s">
        <v>3392</v>
      </c>
      <c r="C69" s="3484" t="s">
        <v>3443</v>
      </c>
      <c r="D69" s="3485">
        <v>164.41</v>
      </c>
      <c r="E69" s="3482" t="s">
        <v>21</v>
      </c>
    </row>
    <row r="70" spans="1:5">
      <c r="A70" s="3482" t="s">
        <v>3391</v>
      </c>
      <c r="B70" s="3482" t="s">
        <v>3392</v>
      </c>
      <c r="C70" s="3484" t="s">
        <v>3444</v>
      </c>
      <c r="D70" s="3485">
        <v>262.52999999999997</v>
      </c>
      <c r="E70" s="3482" t="s">
        <v>21</v>
      </c>
    </row>
    <row r="71" spans="1:5">
      <c r="A71" s="3482" t="s">
        <v>3391</v>
      </c>
      <c r="B71" s="3482" t="s">
        <v>3392</v>
      </c>
      <c r="C71" s="3484" t="s">
        <v>3445</v>
      </c>
      <c r="D71" s="3485">
        <v>113.1</v>
      </c>
      <c r="E71" s="3482" t="s">
        <v>21</v>
      </c>
    </row>
    <row r="72" spans="1:5">
      <c r="A72" s="3482" t="s">
        <v>3391</v>
      </c>
      <c r="B72" s="3482" t="s">
        <v>3392</v>
      </c>
      <c r="C72" s="3484" t="s">
        <v>3446</v>
      </c>
      <c r="D72" s="3485">
        <v>117.26</v>
      </c>
      <c r="E72" s="3482" t="s">
        <v>21</v>
      </c>
    </row>
    <row r="73" spans="1:5">
      <c r="A73" s="3482" t="s">
        <v>3391</v>
      </c>
      <c r="B73" s="3482" t="s">
        <v>3392</v>
      </c>
      <c r="C73" s="3484" t="s">
        <v>3447</v>
      </c>
      <c r="D73" s="3485">
        <v>117.6</v>
      </c>
      <c r="E73" s="3482" t="s">
        <v>21</v>
      </c>
    </row>
    <row r="74" spans="1:5">
      <c r="A74" s="3482" t="s">
        <v>3391</v>
      </c>
      <c r="B74" s="3482" t="s">
        <v>3392</v>
      </c>
      <c r="C74" s="3484" t="s">
        <v>3448</v>
      </c>
      <c r="D74" s="3485">
        <v>262.52999999999997</v>
      </c>
      <c r="E74" s="3482" t="s">
        <v>21</v>
      </c>
    </row>
    <row r="75" spans="1:5">
      <c r="A75" s="3482" t="s">
        <v>3391</v>
      </c>
      <c r="B75" s="3482" t="s">
        <v>3392</v>
      </c>
      <c r="C75" s="3484" t="s">
        <v>3449</v>
      </c>
      <c r="D75" s="3485">
        <v>164.41</v>
      </c>
      <c r="E75" s="3482" t="s">
        <v>21</v>
      </c>
    </row>
    <row r="76" spans="1:5">
      <c r="A76" s="3482" t="s">
        <v>3391</v>
      </c>
      <c r="B76" s="3482" t="s">
        <v>3392</v>
      </c>
      <c r="C76" s="3484" t="s">
        <v>3450</v>
      </c>
      <c r="D76" s="3485">
        <v>113.05</v>
      </c>
      <c r="E76" s="3482" t="s">
        <v>21</v>
      </c>
    </row>
    <row r="77" spans="1:5">
      <c r="A77" s="3482" t="s">
        <v>3391</v>
      </c>
      <c r="B77" s="3482" t="s">
        <v>3392</v>
      </c>
      <c r="C77" s="3484" t="s">
        <v>3451</v>
      </c>
      <c r="D77" s="3485">
        <v>117.06</v>
      </c>
      <c r="E77" s="3482" t="s">
        <v>21</v>
      </c>
    </row>
    <row r="78" spans="1:5">
      <c r="A78" s="3482" t="s">
        <v>3391</v>
      </c>
      <c r="B78" s="3482" t="s">
        <v>3392</v>
      </c>
      <c r="C78" s="3484" t="s">
        <v>3452</v>
      </c>
      <c r="D78" s="3485">
        <v>117.39</v>
      </c>
      <c r="E78" s="3482" t="s">
        <v>21</v>
      </c>
    </row>
    <row r="79" spans="1:5">
      <c r="A79" s="3482" t="s">
        <v>3391</v>
      </c>
      <c r="B79" s="3482" t="s">
        <v>3392</v>
      </c>
      <c r="C79" s="3484" t="s">
        <v>3453</v>
      </c>
      <c r="D79" s="3485">
        <v>164.41</v>
      </c>
      <c r="E79" s="3482" t="s">
        <v>21</v>
      </c>
    </row>
    <row r="80" spans="1:5">
      <c r="A80" s="3482" t="s">
        <v>3391</v>
      </c>
      <c r="B80" s="3482" t="s">
        <v>3392</v>
      </c>
      <c r="C80" s="3484" t="s">
        <v>3454</v>
      </c>
      <c r="D80" s="3485">
        <v>262.52999999999997</v>
      </c>
      <c r="E80" s="3482" t="s">
        <v>21</v>
      </c>
    </row>
    <row r="81" spans="1:5">
      <c r="A81" s="3482" t="s">
        <v>3391</v>
      </c>
      <c r="B81" s="3482" t="s">
        <v>3392</v>
      </c>
      <c r="C81" s="3484" t="s">
        <v>3455</v>
      </c>
      <c r="D81" s="3485">
        <v>113.1</v>
      </c>
      <c r="E81" s="3482" t="s">
        <v>21</v>
      </c>
    </row>
    <row r="82" spans="1:5">
      <c r="A82" s="3482" t="s">
        <v>3391</v>
      </c>
      <c r="B82" s="3482" t="s">
        <v>3392</v>
      </c>
      <c r="C82" s="3484" t="s">
        <v>3456</v>
      </c>
      <c r="D82" s="3485">
        <v>117.26</v>
      </c>
      <c r="E82" s="3482" t="s">
        <v>21</v>
      </c>
    </row>
    <row r="83" spans="1:5">
      <c r="A83" s="3482" t="s">
        <v>3391</v>
      </c>
      <c r="B83" s="3482" t="s">
        <v>3392</v>
      </c>
      <c r="C83" s="3484" t="s">
        <v>3457</v>
      </c>
      <c r="D83" s="3485">
        <v>117.6</v>
      </c>
      <c r="E83" s="3482" t="s">
        <v>21</v>
      </c>
    </row>
    <row r="84" spans="1:5">
      <c r="A84" s="3482" t="s">
        <v>3391</v>
      </c>
      <c r="B84" s="3482" t="s">
        <v>3392</v>
      </c>
      <c r="C84" s="3484" t="s">
        <v>3458</v>
      </c>
      <c r="D84" s="3485">
        <v>262.52999999999997</v>
      </c>
      <c r="E84" s="3482" t="s">
        <v>21</v>
      </c>
    </row>
    <row r="85" spans="1:5">
      <c r="A85" s="3482" t="s">
        <v>3391</v>
      </c>
      <c r="B85" s="3482" t="s">
        <v>3392</v>
      </c>
      <c r="C85" s="3484" t="s">
        <v>3459</v>
      </c>
      <c r="D85" s="3485">
        <v>164.62</v>
      </c>
      <c r="E85" s="3482" t="s">
        <v>21</v>
      </c>
    </row>
    <row r="86" spans="1:5">
      <c r="A86" s="3482" t="s">
        <v>3391</v>
      </c>
      <c r="B86" s="3482" t="s">
        <v>3392</v>
      </c>
      <c r="C86" s="3484" t="s">
        <v>3460</v>
      </c>
      <c r="D86" s="3485">
        <v>113.1</v>
      </c>
      <c r="E86" s="3482" t="s">
        <v>21</v>
      </c>
    </row>
    <row r="87" spans="1:5">
      <c r="A87" s="3482" t="s">
        <v>3391</v>
      </c>
      <c r="B87" s="3482" t="s">
        <v>3392</v>
      </c>
      <c r="C87" s="3484" t="s">
        <v>3461</v>
      </c>
      <c r="D87" s="3485">
        <v>117.26</v>
      </c>
      <c r="E87" s="3482" t="s">
        <v>21</v>
      </c>
    </row>
    <row r="88" spans="1:5">
      <c r="A88" s="3482" t="s">
        <v>3391</v>
      </c>
      <c r="B88" s="3482" t="s">
        <v>3392</v>
      </c>
      <c r="C88" s="3484" t="s">
        <v>3462</v>
      </c>
      <c r="D88" s="3485">
        <v>114.9</v>
      </c>
      <c r="E88" s="3482" t="s">
        <v>21</v>
      </c>
    </row>
    <row r="89" spans="1:5">
      <c r="A89" s="3482" t="s">
        <v>3391</v>
      </c>
      <c r="B89" s="3482" t="s">
        <v>3392</v>
      </c>
      <c r="C89" s="3484" t="s">
        <v>3463</v>
      </c>
      <c r="D89" s="3485">
        <v>157.96</v>
      </c>
      <c r="E89" s="3482" t="s">
        <v>21</v>
      </c>
    </row>
    <row r="90" spans="1:5">
      <c r="A90" s="3482" t="s">
        <v>3391</v>
      </c>
      <c r="B90" s="3482" t="s">
        <v>3392</v>
      </c>
      <c r="C90" s="3484" t="s">
        <v>3464</v>
      </c>
      <c r="D90" s="3485">
        <v>262.47000000000003</v>
      </c>
      <c r="E90" s="3482" t="s">
        <v>21</v>
      </c>
    </row>
    <row r="91" spans="1:5">
      <c r="A91" s="3482" t="s">
        <v>3391</v>
      </c>
      <c r="B91" s="3482" t="s">
        <v>3392</v>
      </c>
      <c r="C91" s="3484" t="s">
        <v>3465</v>
      </c>
      <c r="D91" s="3485">
        <v>113.05</v>
      </c>
      <c r="E91" s="3482" t="s">
        <v>21</v>
      </c>
    </row>
    <row r="92" spans="1:5">
      <c r="A92" s="3482" t="s">
        <v>3391</v>
      </c>
      <c r="B92" s="3482" t="s">
        <v>3392</v>
      </c>
      <c r="C92" s="3484" t="s">
        <v>3466</v>
      </c>
      <c r="D92" s="3485">
        <v>117.06</v>
      </c>
      <c r="E92" s="3482" t="s">
        <v>21</v>
      </c>
    </row>
    <row r="93" spans="1:5">
      <c r="A93" s="3482" t="s">
        <v>3391</v>
      </c>
      <c r="B93" s="3482" t="s">
        <v>3392</v>
      </c>
      <c r="C93" s="3484" t="s">
        <v>3467</v>
      </c>
      <c r="D93" s="3485">
        <v>117.39</v>
      </c>
      <c r="E93" s="3482" t="s">
        <v>21</v>
      </c>
    </row>
    <row r="94" spans="1:5">
      <c r="A94" s="3482" t="s">
        <v>3391</v>
      </c>
      <c r="B94" s="3482" t="s">
        <v>3392</v>
      </c>
      <c r="C94" s="3484" t="s">
        <v>3468</v>
      </c>
      <c r="D94" s="3485">
        <v>262.47000000000003</v>
      </c>
      <c r="E94" s="3482" t="s">
        <v>21</v>
      </c>
    </row>
    <row r="95" spans="1:5">
      <c r="A95" s="3482" t="s">
        <v>3391</v>
      </c>
      <c r="B95" s="3482" t="s">
        <v>3392</v>
      </c>
      <c r="C95" s="3484" t="s">
        <v>3469</v>
      </c>
      <c r="D95" s="3485">
        <v>164.41</v>
      </c>
      <c r="E95" s="3482" t="s">
        <v>21</v>
      </c>
    </row>
    <row r="96" spans="1:5">
      <c r="A96" s="3482" t="s">
        <v>3391</v>
      </c>
      <c r="B96" s="3482" t="s">
        <v>3392</v>
      </c>
      <c r="C96" s="3484" t="s">
        <v>3470</v>
      </c>
      <c r="D96" s="3485">
        <v>113.05</v>
      </c>
      <c r="E96" s="3482" t="s">
        <v>21</v>
      </c>
    </row>
    <row r="97" spans="1:5">
      <c r="A97" s="3482" t="s">
        <v>3391</v>
      </c>
      <c r="B97" s="3482" t="s">
        <v>3392</v>
      </c>
      <c r="C97" s="3484" t="s">
        <v>3471</v>
      </c>
      <c r="D97" s="3485">
        <v>117.06</v>
      </c>
      <c r="E97" s="3482" t="s">
        <v>21</v>
      </c>
    </row>
    <row r="98" spans="1:5">
      <c r="A98" s="3482" t="s">
        <v>3391</v>
      </c>
      <c r="B98" s="3482" t="s">
        <v>3392</v>
      </c>
      <c r="C98" s="3484" t="s">
        <v>3472</v>
      </c>
      <c r="D98" s="3485">
        <v>117.39</v>
      </c>
      <c r="E98" s="3482" t="s">
        <v>21</v>
      </c>
    </row>
    <row r="99" spans="1:5">
      <c r="A99" s="3482" t="s">
        <v>3391</v>
      </c>
      <c r="B99" s="3482" t="s">
        <v>3392</v>
      </c>
      <c r="C99" s="3484" t="s">
        <v>3473</v>
      </c>
      <c r="D99" s="3485">
        <v>164.41</v>
      </c>
      <c r="E99" s="3482" t="s">
        <v>21</v>
      </c>
    </row>
    <row r="100" spans="1:5">
      <c r="A100" s="3482" t="s">
        <v>3391</v>
      </c>
      <c r="B100" s="3482" t="s">
        <v>3392</v>
      </c>
      <c r="C100" s="3484" t="s">
        <v>3474</v>
      </c>
      <c r="D100" s="3485">
        <v>262.52999999999997</v>
      </c>
      <c r="E100" s="3482" t="s">
        <v>21</v>
      </c>
    </row>
    <row r="101" spans="1:5">
      <c r="A101" s="3482" t="s">
        <v>3391</v>
      </c>
      <c r="B101" s="3482" t="s">
        <v>3392</v>
      </c>
      <c r="C101" s="3484" t="s">
        <v>3475</v>
      </c>
      <c r="D101" s="3485">
        <v>113.1</v>
      </c>
      <c r="E101" s="3482" t="s">
        <v>21</v>
      </c>
    </row>
    <row r="102" spans="1:5">
      <c r="A102" s="3482" t="s">
        <v>3391</v>
      </c>
      <c r="B102" s="3482" t="s">
        <v>3392</v>
      </c>
      <c r="C102" s="3484" t="s">
        <v>3476</v>
      </c>
      <c r="D102" s="3485">
        <v>117.26</v>
      </c>
      <c r="E102" s="3482" t="s">
        <v>21</v>
      </c>
    </row>
    <row r="103" spans="1:5">
      <c r="A103" s="3482" t="s">
        <v>3391</v>
      </c>
      <c r="B103" s="3482" t="s">
        <v>3392</v>
      </c>
      <c r="C103" s="3484" t="s">
        <v>3477</v>
      </c>
      <c r="D103" s="3485">
        <v>117.6</v>
      </c>
      <c r="E103" s="3482" t="s">
        <v>21</v>
      </c>
    </row>
    <row r="104" spans="1:5">
      <c r="A104" s="3482" t="s">
        <v>3391</v>
      </c>
      <c r="B104" s="3482" t="s">
        <v>3392</v>
      </c>
      <c r="C104" s="3484" t="s">
        <v>3478</v>
      </c>
      <c r="D104" s="3485">
        <v>262.52999999999997</v>
      </c>
      <c r="E104" s="3482" t="s">
        <v>21</v>
      </c>
    </row>
    <row r="105" spans="1:5">
      <c r="A105" s="3482" t="s">
        <v>3391</v>
      </c>
      <c r="B105" s="3482" t="s">
        <v>3479</v>
      </c>
      <c r="C105" s="3486" t="s">
        <v>3394</v>
      </c>
      <c r="D105" s="3487">
        <v>110.53</v>
      </c>
      <c r="E105" s="3482" t="s">
        <v>673</v>
      </c>
    </row>
    <row r="106" spans="1:5">
      <c r="A106" s="3482" t="s">
        <v>3391</v>
      </c>
      <c r="B106" s="3482" t="s">
        <v>3479</v>
      </c>
      <c r="C106" s="3486" t="s">
        <v>3395</v>
      </c>
      <c r="D106" s="3487">
        <v>165.65</v>
      </c>
      <c r="E106" s="3482" t="s">
        <v>673</v>
      </c>
    </row>
    <row r="107" spans="1:5">
      <c r="A107" s="3482" t="s">
        <v>3391</v>
      </c>
      <c r="B107" s="3482" t="s">
        <v>3479</v>
      </c>
      <c r="C107" s="3486" t="s">
        <v>3396</v>
      </c>
      <c r="D107" s="3487">
        <v>193.57</v>
      </c>
      <c r="E107" s="3482" t="s">
        <v>673</v>
      </c>
    </row>
    <row r="108" spans="1:5">
      <c r="A108" s="3482" t="s">
        <v>3391</v>
      </c>
      <c r="B108" s="3482" t="s">
        <v>3479</v>
      </c>
      <c r="C108" s="3486" t="s">
        <v>3386</v>
      </c>
      <c r="D108" s="3487">
        <v>147.16</v>
      </c>
      <c r="E108" s="3482" t="s">
        <v>673</v>
      </c>
    </row>
    <row r="109" spans="1:5">
      <c r="A109" s="3482" t="s">
        <v>3391</v>
      </c>
      <c r="B109" s="3482" t="s">
        <v>3479</v>
      </c>
      <c r="C109" s="3486" t="s">
        <v>3387</v>
      </c>
      <c r="D109" s="3487">
        <v>120.66</v>
      </c>
      <c r="E109" s="3482" t="s">
        <v>673</v>
      </c>
    </row>
    <row r="110" spans="1:5">
      <c r="A110" s="3482" t="s">
        <v>3391</v>
      </c>
      <c r="B110" s="3482" t="s">
        <v>3479</v>
      </c>
      <c r="C110" s="3486" t="s">
        <v>3388</v>
      </c>
      <c r="D110" s="3487">
        <v>115.64</v>
      </c>
      <c r="E110" s="3482" t="s">
        <v>673</v>
      </c>
    </row>
    <row r="111" spans="1:5">
      <c r="A111" s="3482" t="s">
        <v>3391</v>
      </c>
      <c r="B111" s="3482" t="s">
        <v>3479</v>
      </c>
      <c r="C111" s="3486" t="s">
        <v>3389</v>
      </c>
      <c r="D111" s="3487">
        <v>139.78</v>
      </c>
      <c r="E111" s="3482" t="s">
        <v>673</v>
      </c>
    </row>
    <row r="112" spans="1:5">
      <c r="A112" s="3482" t="s">
        <v>3391</v>
      </c>
      <c r="B112" s="3482" t="s">
        <v>3479</v>
      </c>
      <c r="C112" s="3486" t="s">
        <v>3390</v>
      </c>
      <c r="D112" s="3487">
        <v>48.26</v>
      </c>
      <c r="E112" s="3482" t="s">
        <v>673</v>
      </c>
    </row>
    <row r="113" spans="1:5">
      <c r="A113" s="3482" t="s">
        <v>3391</v>
      </c>
      <c r="B113" s="3482" t="s">
        <v>3479</v>
      </c>
      <c r="C113" s="3486" t="s">
        <v>3397</v>
      </c>
      <c r="D113" s="3487">
        <v>283.52999999999997</v>
      </c>
      <c r="E113" s="3482" t="s">
        <v>673</v>
      </c>
    </row>
    <row r="114" spans="1:5">
      <c r="A114" s="3482" t="s">
        <v>3391</v>
      </c>
      <c r="B114" s="3482" t="s">
        <v>3479</v>
      </c>
      <c r="C114" s="3486" t="s">
        <v>3398</v>
      </c>
      <c r="D114" s="3487">
        <v>232.75</v>
      </c>
      <c r="E114" s="3482" t="s">
        <v>673</v>
      </c>
    </row>
    <row r="115" spans="1:5">
      <c r="A115" s="3482" t="s">
        <v>3391</v>
      </c>
      <c r="B115" s="3482" t="s">
        <v>3479</v>
      </c>
      <c r="C115" s="3486" t="s">
        <v>3399</v>
      </c>
      <c r="D115" s="3487">
        <v>158.69999999999999</v>
      </c>
      <c r="E115" s="3482" t="s">
        <v>673</v>
      </c>
    </row>
    <row r="116" spans="1:5">
      <c r="A116" s="3482" t="s">
        <v>3391</v>
      </c>
      <c r="B116" s="3482" t="s">
        <v>3479</v>
      </c>
      <c r="C116" s="3484" t="s">
        <v>3406</v>
      </c>
      <c r="D116" s="3485">
        <v>822.02</v>
      </c>
      <c r="E116" s="3482" t="s">
        <v>21</v>
      </c>
    </row>
    <row r="117" spans="1:5">
      <c r="A117" s="3482" t="s">
        <v>3391</v>
      </c>
      <c r="B117" s="3482" t="s">
        <v>3479</v>
      </c>
      <c r="C117" s="3484" t="s">
        <v>3407</v>
      </c>
      <c r="D117" s="3485">
        <v>93.81</v>
      </c>
      <c r="E117" s="3482" t="s">
        <v>21</v>
      </c>
    </row>
    <row r="118" spans="1:5">
      <c r="A118" s="3482" t="s">
        <v>3391</v>
      </c>
      <c r="B118" s="3482" t="s">
        <v>3479</v>
      </c>
      <c r="C118" s="3484" t="s">
        <v>3408</v>
      </c>
      <c r="D118" s="3485">
        <v>203.64</v>
      </c>
      <c r="E118" s="3482" t="s">
        <v>21</v>
      </c>
    </row>
    <row r="119" spans="1:5">
      <c r="A119" s="3482" t="s">
        <v>3391</v>
      </c>
      <c r="B119" s="3482" t="s">
        <v>3480</v>
      </c>
      <c r="C119" s="3486" t="s">
        <v>3381</v>
      </c>
      <c r="D119" s="3487">
        <v>127.24</v>
      </c>
      <c r="E119" s="3482" t="s">
        <v>673</v>
      </c>
    </row>
    <row r="120" spans="1:5">
      <c r="A120" s="3482" t="s">
        <v>3391</v>
      </c>
      <c r="B120" s="3482" t="s">
        <v>3480</v>
      </c>
      <c r="C120" s="3486" t="s">
        <v>3382</v>
      </c>
      <c r="D120" s="3487">
        <v>174.31</v>
      </c>
      <c r="E120" s="3482" t="s">
        <v>673</v>
      </c>
    </row>
    <row r="121" spans="1:5">
      <c r="A121" s="3482" t="s">
        <v>3391</v>
      </c>
      <c r="B121" s="3482" t="s">
        <v>3480</v>
      </c>
      <c r="C121" s="3486" t="s">
        <v>3383</v>
      </c>
      <c r="D121" s="3487">
        <v>177.12</v>
      </c>
      <c r="E121" s="3482" t="s">
        <v>673</v>
      </c>
    </row>
    <row r="122" spans="1:5">
      <c r="A122" s="3482" t="s">
        <v>3391</v>
      </c>
      <c r="B122" s="3482" t="s">
        <v>3480</v>
      </c>
      <c r="C122" s="3486" t="s">
        <v>3384</v>
      </c>
      <c r="D122" s="3487">
        <v>135.43</v>
      </c>
      <c r="E122" s="3482" t="s">
        <v>673</v>
      </c>
    </row>
    <row r="123" spans="1:5">
      <c r="A123" s="3482" t="s">
        <v>3391</v>
      </c>
      <c r="B123" s="3482" t="s">
        <v>3480</v>
      </c>
      <c r="C123" s="3486" t="s">
        <v>3386</v>
      </c>
      <c r="D123" s="3487">
        <v>730.62</v>
      </c>
      <c r="E123" s="3482" t="s">
        <v>673</v>
      </c>
    </row>
    <row r="124" spans="1:5">
      <c r="A124" s="3482" t="s">
        <v>3391</v>
      </c>
      <c r="B124" s="3482" t="s">
        <v>3480</v>
      </c>
      <c r="C124" s="3486" t="s">
        <v>3387</v>
      </c>
      <c r="D124" s="3487">
        <v>208.49</v>
      </c>
      <c r="E124" s="3482" t="s">
        <v>673</v>
      </c>
    </row>
    <row r="125" spans="1:5">
      <c r="A125" s="3482" t="s">
        <v>3391</v>
      </c>
      <c r="B125" s="3482" t="s">
        <v>3480</v>
      </c>
      <c r="C125" s="3484" t="s">
        <v>3388</v>
      </c>
      <c r="D125" s="3488">
        <v>4120.6899999999996</v>
      </c>
      <c r="E125" s="3482" t="s">
        <v>3481</v>
      </c>
    </row>
    <row r="126" spans="1:5" s="3492" customFormat="1">
      <c r="A126" s="3489" t="s">
        <v>3391</v>
      </c>
      <c r="B126" s="3489" t="s">
        <v>3480</v>
      </c>
      <c r="C126" s="3490" t="s">
        <v>3400</v>
      </c>
      <c r="D126" s="3491">
        <v>4318.2</v>
      </c>
      <c r="E126" s="3489" t="s">
        <v>21</v>
      </c>
    </row>
    <row r="127" spans="1:5">
      <c r="A127" s="3482" t="s">
        <v>3391</v>
      </c>
      <c r="B127" s="3482" t="s">
        <v>3480</v>
      </c>
      <c r="C127" s="3484" t="s">
        <v>3409</v>
      </c>
      <c r="D127" s="3485">
        <v>95.89</v>
      </c>
      <c r="E127" s="3482" t="s">
        <v>21</v>
      </c>
    </row>
    <row r="128" spans="1:5">
      <c r="A128" s="3482" t="s">
        <v>3391</v>
      </c>
      <c r="B128" s="3482" t="s">
        <v>3480</v>
      </c>
      <c r="C128" s="3484" t="s">
        <v>3410</v>
      </c>
      <c r="D128" s="3485">
        <v>133.13999999999999</v>
      </c>
      <c r="E128" s="3482" t="s">
        <v>21</v>
      </c>
    </row>
    <row r="129" spans="1:5">
      <c r="A129" s="3482" t="s">
        <v>3391</v>
      </c>
      <c r="B129" s="3482" t="s">
        <v>3480</v>
      </c>
      <c r="C129" s="3484" t="s">
        <v>3411</v>
      </c>
      <c r="D129" s="3485">
        <v>94.13</v>
      </c>
      <c r="E129" s="3482" t="s">
        <v>21</v>
      </c>
    </row>
    <row r="130" spans="1:5">
      <c r="A130" s="3482" t="s">
        <v>3391</v>
      </c>
      <c r="B130" s="3482" t="s">
        <v>3480</v>
      </c>
      <c r="C130" s="3484" t="s">
        <v>3412</v>
      </c>
      <c r="D130" s="3485">
        <v>139.75</v>
      </c>
      <c r="E130" s="3482" t="s">
        <v>21</v>
      </c>
    </row>
    <row r="131" spans="1:5">
      <c r="A131" s="3482" t="s">
        <v>3391</v>
      </c>
      <c r="B131" s="3482" t="s">
        <v>3480</v>
      </c>
      <c r="C131" s="3484" t="s">
        <v>3413</v>
      </c>
      <c r="D131" s="3485">
        <v>139.75</v>
      </c>
      <c r="E131" s="3482" t="s">
        <v>21</v>
      </c>
    </row>
    <row r="132" spans="1:5">
      <c r="A132" s="3482" t="s">
        <v>3391</v>
      </c>
      <c r="B132" s="3482" t="s">
        <v>3480</v>
      </c>
      <c r="C132" s="3484" t="s">
        <v>3414</v>
      </c>
      <c r="D132" s="3485">
        <v>94.13</v>
      </c>
      <c r="E132" s="3482" t="s">
        <v>21</v>
      </c>
    </row>
    <row r="133" spans="1:5">
      <c r="A133" s="3482" t="s">
        <v>3391</v>
      </c>
      <c r="B133" s="3482" t="s">
        <v>3480</v>
      </c>
      <c r="C133" s="3484" t="s">
        <v>3419</v>
      </c>
      <c r="D133" s="3485">
        <v>293.2</v>
      </c>
      <c r="E133" s="3482" t="s">
        <v>21</v>
      </c>
    </row>
    <row r="134" spans="1:5">
      <c r="A134" s="3482" t="s">
        <v>3391</v>
      </c>
      <c r="B134" s="3482" t="s">
        <v>3480</v>
      </c>
      <c r="C134" s="3484" t="s">
        <v>3420</v>
      </c>
      <c r="D134" s="3485">
        <v>154.78</v>
      </c>
      <c r="E134" s="3482" t="s">
        <v>21</v>
      </c>
    </row>
    <row r="135" spans="1:5">
      <c r="A135" s="3482" t="s">
        <v>3391</v>
      </c>
      <c r="B135" s="3482" t="s">
        <v>3480</v>
      </c>
      <c r="C135" s="3484" t="s">
        <v>3421</v>
      </c>
      <c r="D135" s="3485">
        <v>108.41</v>
      </c>
      <c r="E135" s="3482" t="s">
        <v>21</v>
      </c>
    </row>
    <row r="136" spans="1:5">
      <c r="A136" s="3482" t="s">
        <v>3391</v>
      </c>
      <c r="B136" s="3482" t="s">
        <v>3480</v>
      </c>
      <c r="C136" s="3484" t="s">
        <v>3422</v>
      </c>
      <c r="D136" s="3485">
        <v>108.41</v>
      </c>
      <c r="E136" s="3482" t="s">
        <v>21</v>
      </c>
    </row>
    <row r="137" spans="1:5">
      <c r="A137" s="3482" t="s">
        <v>3391</v>
      </c>
      <c r="B137" s="3482" t="s">
        <v>3480</v>
      </c>
      <c r="C137" s="3484" t="s">
        <v>3423</v>
      </c>
      <c r="D137" s="3485">
        <v>108.41</v>
      </c>
      <c r="E137" s="3482" t="s">
        <v>21</v>
      </c>
    </row>
    <row r="138" spans="1:5">
      <c r="A138" s="3482" t="s">
        <v>3391</v>
      </c>
      <c r="B138" s="3482" t="s">
        <v>3480</v>
      </c>
      <c r="C138" s="3484" t="s">
        <v>3424</v>
      </c>
      <c r="D138" s="3485">
        <v>293.2</v>
      </c>
      <c r="E138" s="3482" t="s">
        <v>21</v>
      </c>
    </row>
    <row r="139" spans="1:5">
      <c r="A139" s="3482" t="s">
        <v>3391</v>
      </c>
      <c r="B139" s="3482" t="s">
        <v>3480</v>
      </c>
      <c r="C139" s="3484" t="s">
        <v>3425</v>
      </c>
      <c r="D139" s="3485">
        <v>160.71</v>
      </c>
      <c r="E139" s="3482" t="s">
        <v>21</v>
      </c>
    </row>
    <row r="140" spans="1:5">
      <c r="A140" s="3482" t="s">
        <v>3391</v>
      </c>
      <c r="B140" s="3482" t="s">
        <v>3480</v>
      </c>
      <c r="C140" s="3484" t="s">
        <v>3426</v>
      </c>
      <c r="D140" s="3485">
        <v>108.41</v>
      </c>
      <c r="E140" s="3482" t="s">
        <v>21</v>
      </c>
    </row>
    <row r="141" spans="1:5">
      <c r="A141" s="3482" t="s">
        <v>3391</v>
      </c>
      <c r="B141" s="3482" t="s">
        <v>3480</v>
      </c>
      <c r="C141" s="3484" t="s">
        <v>3427</v>
      </c>
      <c r="D141" s="3485">
        <v>108.41</v>
      </c>
      <c r="E141" s="3482" t="s">
        <v>21</v>
      </c>
    </row>
    <row r="142" spans="1:5">
      <c r="A142" s="3482" t="s">
        <v>3391</v>
      </c>
      <c r="B142" s="3482" t="s">
        <v>3480</v>
      </c>
      <c r="C142" s="3484" t="s">
        <v>3428</v>
      </c>
      <c r="D142" s="3485">
        <v>107.7</v>
      </c>
      <c r="E142" s="3482" t="s">
        <v>21</v>
      </c>
    </row>
    <row r="143" spans="1:5">
      <c r="A143" s="3482" t="s">
        <v>3391</v>
      </c>
      <c r="B143" s="3482" t="s">
        <v>3480</v>
      </c>
      <c r="C143" s="3484" t="s">
        <v>3429</v>
      </c>
      <c r="D143" s="3485">
        <v>293.2</v>
      </c>
      <c r="E143" s="3482" t="s">
        <v>21</v>
      </c>
    </row>
    <row r="144" spans="1:5">
      <c r="A144" s="3482" t="s">
        <v>3391</v>
      </c>
      <c r="B144" s="3482" t="s">
        <v>3480</v>
      </c>
      <c r="C144" s="3484" t="s">
        <v>3430</v>
      </c>
      <c r="D144" s="3485">
        <v>154.78</v>
      </c>
      <c r="E144" s="3482" t="s">
        <v>21</v>
      </c>
    </row>
    <row r="145" spans="1:5">
      <c r="A145" s="3482" t="s">
        <v>3391</v>
      </c>
      <c r="B145" s="3482" t="s">
        <v>3480</v>
      </c>
      <c r="C145" s="3484" t="s">
        <v>3431</v>
      </c>
      <c r="D145" s="3485">
        <v>108.41</v>
      </c>
      <c r="E145" s="3482" t="s">
        <v>21</v>
      </c>
    </row>
    <row r="146" spans="1:5">
      <c r="A146" s="3482" t="s">
        <v>3391</v>
      </c>
      <c r="B146" s="3482" t="s">
        <v>3480</v>
      </c>
      <c r="C146" s="3484" t="s">
        <v>3432</v>
      </c>
      <c r="D146" s="3485">
        <v>108.41</v>
      </c>
      <c r="E146" s="3482" t="s">
        <v>21</v>
      </c>
    </row>
    <row r="147" spans="1:5">
      <c r="A147" s="3482" t="s">
        <v>3391</v>
      </c>
      <c r="B147" s="3482" t="s">
        <v>3480</v>
      </c>
      <c r="C147" s="3484" t="s">
        <v>3433</v>
      </c>
      <c r="D147" s="3485">
        <v>108.41</v>
      </c>
      <c r="E147" s="3482" t="s">
        <v>21</v>
      </c>
    </row>
    <row r="148" spans="1:5">
      <c r="A148" s="3482" t="s">
        <v>3391</v>
      </c>
      <c r="B148" s="3482" t="s">
        <v>3480</v>
      </c>
      <c r="C148" s="3484" t="s">
        <v>3434</v>
      </c>
      <c r="D148" s="3485">
        <v>293.2</v>
      </c>
      <c r="E148" s="3482" t="s">
        <v>21</v>
      </c>
    </row>
    <row r="149" spans="1:5">
      <c r="A149" s="3482" t="s">
        <v>3391</v>
      </c>
      <c r="B149" s="3482" t="s">
        <v>3480</v>
      </c>
      <c r="C149" s="3484" t="s">
        <v>3435</v>
      </c>
      <c r="D149" s="3485">
        <v>160.71</v>
      </c>
      <c r="E149" s="3482" t="s">
        <v>21</v>
      </c>
    </row>
    <row r="150" spans="1:5">
      <c r="A150" s="3482" t="s">
        <v>3391</v>
      </c>
      <c r="B150" s="3482" t="s">
        <v>3480</v>
      </c>
      <c r="C150" s="3484" t="s">
        <v>3436</v>
      </c>
      <c r="D150" s="3485">
        <v>108.41</v>
      </c>
      <c r="E150" s="3482" t="s">
        <v>21</v>
      </c>
    </row>
    <row r="151" spans="1:5">
      <c r="A151" s="3482" t="s">
        <v>3391</v>
      </c>
      <c r="B151" s="3482" t="s">
        <v>3480</v>
      </c>
      <c r="C151" s="3484" t="s">
        <v>3437</v>
      </c>
      <c r="D151" s="3485">
        <v>108.41</v>
      </c>
      <c r="E151" s="3482" t="s">
        <v>21</v>
      </c>
    </row>
    <row r="152" spans="1:5">
      <c r="A152" s="3482" t="s">
        <v>3391</v>
      </c>
      <c r="B152" s="3482" t="s">
        <v>3480</v>
      </c>
      <c r="C152" s="3484" t="s">
        <v>3438</v>
      </c>
      <c r="D152" s="3485">
        <v>107.7</v>
      </c>
      <c r="E152" s="3482" t="s">
        <v>21</v>
      </c>
    </row>
    <row r="153" spans="1:5">
      <c r="A153" s="3482" t="s">
        <v>3391</v>
      </c>
      <c r="B153" s="3482" t="s">
        <v>3480</v>
      </c>
      <c r="C153" s="3484" t="s">
        <v>3439</v>
      </c>
      <c r="D153" s="3485">
        <v>293.2</v>
      </c>
      <c r="E153" s="3482" t="s">
        <v>21</v>
      </c>
    </row>
    <row r="154" spans="1:5">
      <c r="A154" s="3482" t="s">
        <v>3391</v>
      </c>
      <c r="B154" s="3482" t="s">
        <v>3480</v>
      </c>
      <c r="C154" s="3484" t="s">
        <v>3440</v>
      </c>
      <c r="D154" s="3485">
        <v>154.78</v>
      </c>
      <c r="E154" s="3482" t="s">
        <v>21</v>
      </c>
    </row>
    <row r="155" spans="1:5">
      <c r="A155" s="3482" t="s">
        <v>3391</v>
      </c>
      <c r="B155" s="3482" t="s">
        <v>3480</v>
      </c>
      <c r="C155" s="3484" t="s">
        <v>3441</v>
      </c>
      <c r="D155" s="3485">
        <v>108.41</v>
      </c>
      <c r="E155" s="3482" t="s">
        <v>21</v>
      </c>
    </row>
    <row r="156" spans="1:5">
      <c r="A156" s="3482" t="s">
        <v>3391</v>
      </c>
      <c r="B156" s="3482" t="s">
        <v>3480</v>
      </c>
      <c r="C156" s="3484" t="s">
        <v>3442</v>
      </c>
      <c r="D156" s="3485">
        <v>108.41</v>
      </c>
      <c r="E156" s="3482" t="s">
        <v>21</v>
      </c>
    </row>
    <row r="157" spans="1:5">
      <c r="A157" s="3482" t="s">
        <v>3391</v>
      </c>
      <c r="B157" s="3482" t="s">
        <v>3480</v>
      </c>
      <c r="C157" s="3484" t="s">
        <v>3443</v>
      </c>
      <c r="D157" s="3485">
        <v>108.41</v>
      </c>
      <c r="E157" s="3482" t="s">
        <v>21</v>
      </c>
    </row>
    <row r="158" spans="1:5">
      <c r="A158" s="3482" t="s">
        <v>3391</v>
      </c>
      <c r="B158" s="3482" t="s">
        <v>3480</v>
      </c>
      <c r="C158" s="3484" t="s">
        <v>3444</v>
      </c>
      <c r="D158" s="3485">
        <v>293.2</v>
      </c>
      <c r="E158" s="3482" t="s">
        <v>21</v>
      </c>
    </row>
    <row r="159" spans="1:5">
      <c r="A159" s="3482" t="s">
        <v>3391</v>
      </c>
      <c r="B159" s="3482" t="s">
        <v>3480</v>
      </c>
      <c r="C159" s="3484" t="s">
        <v>3445</v>
      </c>
      <c r="D159" s="3485">
        <v>160.71</v>
      </c>
      <c r="E159" s="3482" t="s">
        <v>21</v>
      </c>
    </row>
    <row r="160" spans="1:5">
      <c r="A160" s="3482" t="s">
        <v>3391</v>
      </c>
      <c r="B160" s="3482" t="s">
        <v>3480</v>
      </c>
      <c r="C160" s="3484" t="s">
        <v>3446</v>
      </c>
      <c r="D160" s="3485">
        <v>108.41</v>
      </c>
      <c r="E160" s="3482" t="s">
        <v>21</v>
      </c>
    </row>
    <row r="161" spans="1:5">
      <c r="A161" s="3482" t="s">
        <v>3391</v>
      </c>
      <c r="B161" s="3482" t="s">
        <v>3480</v>
      </c>
      <c r="C161" s="3484" t="s">
        <v>3447</v>
      </c>
      <c r="D161" s="3485">
        <v>108.41</v>
      </c>
      <c r="E161" s="3482" t="s">
        <v>21</v>
      </c>
    </row>
    <row r="162" spans="1:5">
      <c r="A162" s="3482" t="s">
        <v>3391</v>
      </c>
      <c r="B162" s="3482" t="s">
        <v>3480</v>
      </c>
      <c r="C162" s="3484" t="s">
        <v>3448</v>
      </c>
      <c r="D162" s="3485">
        <v>107.7</v>
      </c>
      <c r="E162" s="3482" t="s">
        <v>21</v>
      </c>
    </row>
    <row r="163" spans="1:5">
      <c r="A163" s="3482" t="s">
        <v>3391</v>
      </c>
      <c r="B163" s="3482" t="s">
        <v>3480</v>
      </c>
      <c r="C163" s="3484" t="s">
        <v>3449</v>
      </c>
      <c r="D163" s="3485">
        <v>293.2</v>
      </c>
      <c r="E163" s="3482" t="s">
        <v>21</v>
      </c>
    </row>
    <row r="164" spans="1:5">
      <c r="A164" s="3482" t="s">
        <v>3391</v>
      </c>
      <c r="B164" s="3482" t="s">
        <v>3480</v>
      </c>
      <c r="C164" s="3484" t="s">
        <v>3450</v>
      </c>
      <c r="D164" s="3485">
        <v>154.78</v>
      </c>
      <c r="E164" s="3482" t="s">
        <v>21</v>
      </c>
    </row>
    <row r="165" spans="1:5">
      <c r="A165" s="3482" t="s">
        <v>3391</v>
      </c>
      <c r="B165" s="3482" t="s">
        <v>3480</v>
      </c>
      <c r="C165" s="3484" t="s">
        <v>3451</v>
      </c>
      <c r="D165" s="3485">
        <v>108.41</v>
      </c>
      <c r="E165" s="3482" t="s">
        <v>21</v>
      </c>
    </row>
    <row r="166" spans="1:5">
      <c r="A166" s="3482" t="s">
        <v>3391</v>
      </c>
      <c r="B166" s="3482" t="s">
        <v>3480</v>
      </c>
      <c r="C166" s="3484" t="s">
        <v>3452</v>
      </c>
      <c r="D166" s="3485">
        <v>108.41</v>
      </c>
      <c r="E166" s="3482" t="s">
        <v>21</v>
      </c>
    </row>
    <row r="167" spans="1:5">
      <c r="A167" s="3482" t="s">
        <v>3391</v>
      </c>
      <c r="B167" s="3482" t="s">
        <v>3480</v>
      </c>
      <c r="C167" s="3484" t="s">
        <v>3453</v>
      </c>
      <c r="D167" s="3485">
        <v>108.41</v>
      </c>
      <c r="E167" s="3482" t="s">
        <v>21</v>
      </c>
    </row>
    <row r="168" spans="1:5">
      <c r="A168" s="3482" t="s">
        <v>3391</v>
      </c>
      <c r="B168" s="3482" t="s">
        <v>3480</v>
      </c>
      <c r="C168" s="3484" t="s">
        <v>3454</v>
      </c>
      <c r="D168" s="3485">
        <v>293.2</v>
      </c>
      <c r="E168" s="3482" t="s">
        <v>21</v>
      </c>
    </row>
    <row r="169" spans="1:5">
      <c r="A169" s="3482" t="s">
        <v>3391</v>
      </c>
      <c r="B169" s="3482" t="s">
        <v>3480</v>
      </c>
      <c r="C169" s="3484" t="s">
        <v>3455</v>
      </c>
      <c r="D169" s="3485">
        <v>160.71</v>
      </c>
      <c r="E169" s="3482" t="s">
        <v>21</v>
      </c>
    </row>
    <row r="170" spans="1:5">
      <c r="A170" s="3482" t="s">
        <v>3391</v>
      </c>
      <c r="B170" s="3482" t="s">
        <v>3480</v>
      </c>
      <c r="C170" s="3484" t="s">
        <v>3456</v>
      </c>
      <c r="D170" s="3485">
        <v>108.41</v>
      </c>
      <c r="E170" s="3482" t="s">
        <v>21</v>
      </c>
    </row>
    <row r="171" spans="1:5">
      <c r="A171" s="3482" t="s">
        <v>3391</v>
      </c>
      <c r="B171" s="3482" t="s">
        <v>3480</v>
      </c>
      <c r="C171" s="3484" t="s">
        <v>3457</v>
      </c>
      <c r="D171" s="3485">
        <v>108.41</v>
      </c>
      <c r="E171" s="3482" t="s">
        <v>21</v>
      </c>
    </row>
    <row r="172" spans="1:5">
      <c r="A172" s="3482" t="s">
        <v>3391</v>
      </c>
      <c r="B172" s="3482" t="s">
        <v>3480</v>
      </c>
      <c r="C172" s="3484" t="s">
        <v>3458</v>
      </c>
      <c r="D172" s="3485">
        <v>107.7</v>
      </c>
      <c r="E172" s="3482" t="s">
        <v>21</v>
      </c>
    </row>
    <row r="173" spans="1:5">
      <c r="A173" s="3482" t="s">
        <v>3391</v>
      </c>
      <c r="B173" s="3482" t="s">
        <v>3480</v>
      </c>
      <c r="C173" s="3484" t="s">
        <v>3459</v>
      </c>
      <c r="D173" s="3485">
        <v>261.01</v>
      </c>
      <c r="E173" s="3482" t="s">
        <v>21</v>
      </c>
    </row>
    <row r="174" spans="1:5">
      <c r="A174" s="3482" t="s">
        <v>3391</v>
      </c>
      <c r="B174" s="3482" t="s">
        <v>3480</v>
      </c>
      <c r="C174" s="3484" t="s">
        <v>3460</v>
      </c>
      <c r="D174" s="3485">
        <v>148.66</v>
      </c>
      <c r="E174" s="3482" t="s">
        <v>21</v>
      </c>
    </row>
    <row r="175" spans="1:5">
      <c r="A175" s="3482" t="s">
        <v>3391</v>
      </c>
      <c r="B175" s="3482" t="s">
        <v>3480</v>
      </c>
      <c r="C175" s="3484" t="s">
        <v>3461</v>
      </c>
      <c r="D175" s="3485">
        <v>108.41</v>
      </c>
      <c r="E175" s="3482" t="s">
        <v>21</v>
      </c>
    </row>
    <row r="176" spans="1:5">
      <c r="A176" s="3482" t="s">
        <v>3391</v>
      </c>
      <c r="B176" s="3482" t="s">
        <v>3480</v>
      </c>
      <c r="C176" s="3484" t="s">
        <v>3462</v>
      </c>
      <c r="D176" s="3485">
        <v>108.41</v>
      </c>
      <c r="E176" s="3482" t="s">
        <v>21</v>
      </c>
    </row>
    <row r="177" spans="1:5">
      <c r="A177" s="3482" t="s">
        <v>3391</v>
      </c>
      <c r="B177" s="3482" t="s">
        <v>3480</v>
      </c>
      <c r="C177" s="3484" t="s">
        <v>3463</v>
      </c>
      <c r="D177" s="3485">
        <v>108.41</v>
      </c>
      <c r="E177" s="3482" t="s">
        <v>21</v>
      </c>
    </row>
    <row r="178" spans="1:5">
      <c r="A178" s="3482" t="s">
        <v>3391</v>
      </c>
      <c r="B178" s="3482" t="s">
        <v>3480</v>
      </c>
      <c r="C178" s="3484" t="s">
        <v>3464</v>
      </c>
      <c r="D178" s="3485">
        <v>257.74</v>
      </c>
      <c r="E178" s="3482" t="s">
        <v>21</v>
      </c>
    </row>
    <row r="179" spans="1:5">
      <c r="A179" s="3482" t="s">
        <v>3391</v>
      </c>
      <c r="B179" s="3482" t="s">
        <v>3480</v>
      </c>
      <c r="C179" s="3484" t="s">
        <v>3465</v>
      </c>
      <c r="D179" s="3485">
        <v>153.94999999999999</v>
      </c>
      <c r="E179" s="3482" t="s">
        <v>21</v>
      </c>
    </row>
    <row r="180" spans="1:5">
      <c r="A180" s="3482" t="s">
        <v>3391</v>
      </c>
      <c r="B180" s="3482" t="s">
        <v>3480</v>
      </c>
      <c r="C180" s="3484" t="s">
        <v>3466</v>
      </c>
      <c r="D180" s="3485">
        <v>108.41</v>
      </c>
      <c r="E180" s="3482" t="s">
        <v>21</v>
      </c>
    </row>
    <row r="181" spans="1:5">
      <c r="A181" s="3482" t="s">
        <v>3391</v>
      </c>
      <c r="B181" s="3482" t="s">
        <v>3480</v>
      </c>
      <c r="C181" s="3484" t="s">
        <v>3467</v>
      </c>
      <c r="D181" s="3485">
        <v>108.41</v>
      </c>
      <c r="E181" s="3482" t="s">
        <v>21</v>
      </c>
    </row>
    <row r="182" spans="1:5">
      <c r="A182" s="3482" t="s">
        <v>3391</v>
      </c>
      <c r="B182" s="3482" t="s">
        <v>3480</v>
      </c>
      <c r="C182" s="3484" t="s">
        <v>3468</v>
      </c>
      <c r="D182" s="3485">
        <v>107.7</v>
      </c>
      <c r="E182" s="3482" t="s">
        <v>21</v>
      </c>
    </row>
    <row r="183" spans="1:5">
      <c r="A183" s="3482" t="s">
        <v>3391</v>
      </c>
      <c r="B183" s="3482" t="s">
        <v>3480</v>
      </c>
      <c r="C183" s="3484" t="s">
        <v>3469</v>
      </c>
      <c r="D183" s="3485">
        <v>141.12</v>
      </c>
      <c r="E183" s="3482" t="s">
        <v>21</v>
      </c>
    </row>
    <row r="184" spans="1:5">
      <c r="A184" s="3482" t="s">
        <v>3391</v>
      </c>
      <c r="B184" s="3482" t="s">
        <v>3480</v>
      </c>
      <c r="C184" s="3484" t="s">
        <v>3470</v>
      </c>
      <c r="D184" s="3485">
        <v>109.71</v>
      </c>
      <c r="E184" s="3482" t="s">
        <v>21</v>
      </c>
    </row>
    <row r="185" spans="1:5">
      <c r="A185" s="3482" t="s">
        <v>3391</v>
      </c>
      <c r="B185" s="3482" t="s">
        <v>3480</v>
      </c>
      <c r="C185" s="3484" t="s">
        <v>3471</v>
      </c>
      <c r="D185" s="3485">
        <v>141.12</v>
      </c>
      <c r="E185" s="3482" t="s">
        <v>21</v>
      </c>
    </row>
    <row r="186" spans="1:5">
      <c r="A186" s="3482" t="s">
        <v>3391</v>
      </c>
      <c r="B186" s="3482" t="s">
        <v>3480</v>
      </c>
      <c r="C186" s="3484" t="s">
        <v>3472</v>
      </c>
      <c r="D186" s="3485">
        <v>107.44</v>
      </c>
      <c r="E186" s="3482" t="s">
        <v>21</v>
      </c>
    </row>
    <row r="187" spans="1:5">
      <c r="A187" s="3482" t="s">
        <v>3391</v>
      </c>
      <c r="B187" s="3482" t="s">
        <v>3480</v>
      </c>
      <c r="C187" s="3484" t="s">
        <v>3473</v>
      </c>
      <c r="D187" s="3485">
        <v>106.79</v>
      </c>
      <c r="E187" s="3482" t="s">
        <v>21</v>
      </c>
    </row>
    <row r="188" spans="1:5">
      <c r="A188" s="3482" t="s">
        <v>3391</v>
      </c>
      <c r="B188" s="3482" t="s">
        <v>3480</v>
      </c>
      <c r="C188" s="3484" t="s">
        <v>3474</v>
      </c>
      <c r="D188" s="3485">
        <v>107.4</v>
      </c>
      <c r="E188" s="3482" t="s">
        <v>21</v>
      </c>
    </row>
    <row r="189" spans="1:5">
      <c r="A189" s="3482" t="s">
        <v>3391</v>
      </c>
      <c r="B189" s="3482" t="s">
        <v>3480</v>
      </c>
      <c r="C189" s="3484" t="s">
        <v>3475</v>
      </c>
      <c r="D189" s="3485">
        <v>146.99</v>
      </c>
      <c r="E189" s="3482" t="s">
        <v>21</v>
      </c>
    </row>
    <row r="190" spans="1:5">
      <c r="A190" s="3482" t="s">
        <v>3391</v>
      </c>
      <c r="B190" s="3482" t="s">
        <v>3480</v>
      </c>
      <c r="C190" s="3484" t="s">
        <v>3476</v>
      </c>
      <c r="D190" s="3485">
        <v>103.78</v>
      </c>
      <c r="E190" s="3482" t="s">
        <v>21</v>
      </c>
    </row>
    <row r="191" spans="1:5">
      <c r="A191" s="3482" t="s">
        <v>3391</v>
      </c>
      <c r="B191" s="3482" t="s">
        <v>3480</v>
      </c>
      <c r="C191" s="3484" t="s">
        <v>3477</v>
      </c>
      <c r="D191" s="3485">
        <v>146.99</v>
      </c>
      <c r="E191" s="3482" t="s">
        <v>21</v>
      </c>
    </row>
    <row r="192" spans="1:5">
      <c r="A192" s="3482" t="s">
        <v>3391</v>
      </c>
      <c r="B192" s="3482" t="s">
        <v>3480</v>
      </c>
      <c r="C192" s="3484" t="s">
        <v>3478</v>
      </c>
      <c r="D192" s="3485">
        <v>107.4</v>
      </c>
      <c r="E192" s="3482" t="s">
        <v>21</v>
      </c>
    </row>
    <row r="193" spans="1:5">
      <c r="A193" s="3482" t="s">
        <v>3391</v>
      </c>
      <c r="B193" s="3482" t="s">
        <v>3480</v>
      </c>
      <c r="C193" s="3484" t="s">
        <v>3482</v>
      </c>
      <c r="D193" s="3485">
        <v>106.79</v>
      </c>
      <c r="E193" s="3482" t="s">
        <v>21</v>
      </c>
    </row>
    <row r="194" spans="1:5">
      <c r="A194" s="3482" t="s">
        <v>3391</v>
      </c>
      <c r="B194" s="3482" t="s">
        <v>3480</v>
      </c>
      <c r="C194" s="3484" t="s">
        <v>3483</v>
      </c>
      <c r="D194" s="3485">
        <v>107.44</v>
      </c>
      <c r="E194" s="3482" t="s">
        <v>21</v>
      </c>
    </row>
    <row r="195" spans="1:5">
      <c r="A195" s="3482" t="s">
        <v>3391</v>
      </c>
      <c r="B195" s="3482" t="s">
        <v>3480</v>
      </c>
      <c r="C195" s="3484" t="s">
        <v>3484</v>
      </c>
      <c r="D195" s="3485">
        <v>141.12</v>
      </c>
      <c r="E195" s="3482" t="s">
        <v>21</v>
      </c>
    </row>
    <row r="196" spans="1:5">
      <c r="A196" s="3482" t="s">
        <v>3391</v>
      </c>
      <c r="B196" s="3482" t="s">
        <v>3480</v>
      </c>
      <c r="C196" s="3484" t="s">
        <v>3485</v>
      </c>
      <c r="D196" s="3485">
        <v>109.71</v>
      </c>
      <c r="E196" s="3482" t="s">
        <v>21</v>
      </c>
    </row>
    <row r="197" spans="1:5">
      <c r="A197" s="3482" t="s">
        <v>3391</v>
      </c>
      <c r="B197" s="3482" t="s">
        <v>3480</v>
      </c>
      <c r="C197" s="3484" t="s">
        <v>3486</v>
      </c>
      <c r="D197" s="3485">
        <v>141.12</v>
      </c>
      <c r="E197" s="3482" t="s">
        <v>21</v>
      </c>
    </row>
    <row r="198" spans="1:5">
      <c r="A198" s="3482" t="s">
        <v>3391</v>
      </c>
      <c r="B198" s="3482" t="s">
        <v>3480</v>
      </c>
      <c r="C198" s="3484" t="s">
        <v>3487</v>
      </c>
      <c r="D198" s="3485">
        <v>107.44</v>
      </c>
      <c r="E198" s="3482" t="s">
        <v>21</v>
      </c>
    </row>
    <row r="199" spans="1:5">
      <c r="A199" s="3482" t="s">
        <v>3391</v>
      </c>
      <c r="B199" s="3482" t="s">
        <v>3480</v>
      </c>
      <c r="C199" s="3484" t="s">
        <v>3488</v>
      </c>
      <c r="D199" s="3485">
        <v>106.79</v>
      </c>
      <c r="E199" s="3482" t="s">
        <v>21</v>
      </c>
    </row>
    <row r="200" spans="1:5">
      <c r="A200" s="3482" t="s">
        <v>3391</v>
      </c>
      <c r="B200" s="3482" t="s">
        <v>3480</v>
      </c>
      <c r="C200" s="3484" t="s">
        <v>3489</v>
      </c>
      <c r="D200" s="3485">
        <v>107.4</v>
      </c>
      <c r="E200" s="3482" t="s">
        <v>21</v>
      </c>
    </row>
    <row r="201" spans="1:5">
      <c r="A201" s="3482" t="s">
        <v>3391</v>
      </c>
      <c r="B201" s="3482" t="s">
        <v>3480</v>
      </c>
      <c r="C201" s="3484" t="s">
        <v>3490</v>
      </c>
      <c r="D201" s="3485">
        <v>146.99</v>
      </c>
      <c r="E201" s="3482" t="s">
        <v>21</v>
      </c>
    </row>
    <row r="202" spans="1:5">
      <c r="A202" s="3482" t="s">
        <v>3391</v>
      </c>
      <c r="B202" s="3482" t="s">
        <v>3480</v>
      </c>
      <c r="C202" s="3484" t="s">
        <v>3491</v>
      </c>
      <c r="D202" s="3485">
        <v>103.78</v>
      </c>
      <c r="E202" s="3482" t="s">
        <v>21</v>
      </c>
    </row>
    <row r="203" spans="1:5">
      <c r="A203" s="3482" t="s">
        <v>3391</v>
      </c>
      <c r="B203" s="3482" t="s">
        <v>3480</v>
      </c>
      <c r="C203" s="3484" t="s">
        <v>3492</v>
      </c>
      <c r="D203" s="3485">
        <v>146.99</v>
      </c>
      <c r="E203" s="3482" t="s">
        <v>21</v>
      </c>
    </row>
    <row r="204" spans="1:5">
      <c r="A204" s="3482" t="s">
        <v>3391</v>
      </c>
      <c r="B204" s="3482" t="s">
        <v>3480</v>
      </c>
      <c r="C204" s="3484" t="s">
        <v>3493</v>
      </c>
      <c r="D204" s="3485">
        <v>107.4</v>
      </c>
      <c r="E204" s="3482" t="s">
        <v>21</v>
      </c>
    </row>
    <row r="205" spans="1:5">
      <c r="A205" s="3482" t="s">
        <v>3391</v>
      </c>
      <c r="B205" s="3482" t="s">
        <v>3480</v>
      </c>
      <c r="C205" s="3484" t="s">
        <v>3494</v>
      </c>
      <c r="D205" s="3485">
        <v>106.79</v>
      </c>
      <c r="E205" s="3482" t="s">
        <v>21</v>
      </c>
    </row>
    <row r="206" spans="1:5">
      <c r="A206" s="3482" t="s">
        <v>3391</v>
      </c>
      <c r="B206" s="3482" t="s">
        <v>3480</v>
      </c>
      <c r="C206" s="3484" t="s">
        <v>3495</v>
      </c>
      <c r="D206" s="3485">
        <v>107.44</v>
      </c>
      <c r="E206" s="3482" t="s">
        <v>21</v>
      </c>
    </row>
    <row r="207" spans="1:5">
      <c r="A207" s="3482" t="s">
        <v>3391</v>
      </c>
      <c r="B207" s="3482" t="s">
        <v>3480</v>
      </c>
      <c r="C207" s="3484" t="s">
        <v>3496</v>
      </c>
      <c r="D207" s="3485">
        <v>141.12</v>
      </c>
      <c r="E207" s="3482" t="s">
        <v>21</v>
      </c>
    </row>
    <row r="208" spans="1:5">
      <c r="A208" s="3482" t="s">
        <v>3391</v>
      </c>
      <c r="B208" s="3482" t="s">
        <v>3480</v>
      </c>
      <c r="C208" s="3484" t="s">
        <v>3497</v>
      </c>
      <c r="D208" s="3485">
        <v>109.71</v>
      </c>
      <c r="E208" s="3482" t="s">
        <v>21</v>
      </c>
    </row>
    <row r="209" spans="1:5">
      <c r="A209" s="3482" t="s">
        <v>3391</v>
      </c>
      <c r="B209" s="3482" t="s">
        <v>3480</v>
      </c>
      <c r="C209" s="3484" t="s">
        <v>3498</v>
      </c>
      <c r="D209" s="3485">
        <v>141.12</v>
      </c>
      <c r="E209" s="3482" t="s">
        <v>21</v>
      </c>
    </row>
    <row r="210" spans="1:5">
      <c r="A210" s="3482" t="s">
        <v>3391</v>
      </c>
      <c r="B210" s="3482" t="s">
        <v>3480</v>
      </c>
      <c r="C210" s="3484" t="s">
        <v>3499</v>
      </c>
      <c r="D210" s="3485">
        <v>107.44</v>
      </c>
      <c r="E210" s="3482" t="s">
        <v>21</v>
      </c>
    </row>
    <row r="211" spans="1:5">
      <c r="A211" s="3482" t="s">
        <v>3391</v>
      </c>
      <c r="B211" s="3482" t="s">
        <v>3480</v>
      </c>
      <c r="C211" s="3484" t="s">
        <v>3500</v>
      </c>
      <c r="D211" s="3485">
        <v>106.79</v>
      </c>
      <c r="E211" s="3482" t="s">
        <v>21</v>
      </c>
    </row>
    <row r="212" spans="1:5">
      <c r="A212" s="3482" t="s">
        <v>3391</v>
      </c>
      <c r="B212" s="3482" t="s">
        <v>3480</v>
      </c>
      <c r="C212" s="3484" t="s">
        <v>3501</v>
      </c>
      <c r="D212" s="3485">
        <v>107.4</v>
      </c>
      <c r="E212" s="3482" t="s">
        <v>21</v>
      </c>
    </row>
    <row r="213" spans="1:5">
      <c r="A213" s="3482" t="s">
        <v>3391</v>
      </c>
      <c r="B213" s="3482" t="s">
        <v>3480</v>
      </c>
      <c r="C213" s="3484" t="s">
        <v>3502</v>
      </c>
      <c r="D213" s="3485">
        <v>146.99</v>
      </c>
      <c r="E213" s="3482" t="s">
        <v>21</v>
      </c>
    </row>
    <row r="214" spans="1:5">
      <c r="A214" s="3482" t="s">
        <v>3391</v>
      </c>
      <c r="B214" s="3482" t="s">
        <v>3480</v>
      </c>
      <c r="C214" s="3484" t="s">
        <v>3503</v>
      </c>
      <c r="D214" s="3485">
        <v>103.78</v>
      </c>
      <c r="E214" s="3482" t="s">
        <v>21</v>
      </c>
    </row>
    <row r="215" spans="1:5">
      <c r="A215" s="3482" t="s">
        <v>3391</v>
      </c>
      <c r="B215" s="3482" t="s">
        <v>3480</v>
      </c>
      <c r="C215" s="3484" t="s">
        <v>3504</v>
      </c>
      <c r="D215" s="3485">
        <v>146.99</v>
      </c>
      <c r="E215" s="3482" t="s">
        <v>21</v>
      </c>
    </row>
    <row r="216" spans="1:5">
      <c r="A216" s="3482" t="s">
        <v>3391</v>
      </c>
      <c r="B216" s="3482" t="s">
        <v>3480</v>
      </c>
      <c r="C216" s="3484" t="s">
        <v>3505</v>
      </c>
      <c r="D216" s="3485">
        <v>107.4</v>
      </c>
      <c r="E216" s="3482" t="s">
        <v>21</v>
      </c>
    </row>
    <row r="217" spans="1:5">
      <c r="A217" s="3482" t="s">
        <v>3391</v>
      </c>
      <c r="B217" s="3482" t="s">
        <v>3480</v>
      </c>
      <c r="C217" s="3484" t="s">
        <v>3506</v>
      </c>
      <c r="D217" s="3485">
        <v>106.79</v>
      </c>
      <c r="E217" s="3482" t="s">
        <v>21</v>
      </c>
    </row>
    <row r="218" spans="1:5">
      <c r="A218" s="3482" t="s">
        <v>3391</v>
      </c>
      <c r="B218" s="3482" t="s">
        <v>3480</v>
      </c>
      <c r="C218" s="3484" t="s">
        <v>3507</v>
      </c>
      <c r="D218" s="3485">
        <v>107.44</v>
      </c>
      <c r="E218" s="3482" t="s">
        <v>21</v>
      </c>
    </row>
    <row r="219" spans="1:5">
      <c r="A219" s="3482" t="s">
        <v>3391</v>
      </c>
      <c r="B219" s="3482" t="s">
        <v>3480</v>
      </c>
      <c r="C219" s="3484" t="s">
        <v>3508</v>
      </c>
      <c r="D219" s="3485">
        <v>141.12</v>
      </c>
      <c r="E219" s="3482" t="s">
        <v>21</v>
      </c>
    </row>
    <row r="220" spans="1:5">
      <c r="A220" s="3482" t="s">
        <v>3391</v>
      </c>
      <c r="B220" s="3482" t="s">
        <v>3480</v>
      </c>
      <c r="C220" s="3484" t="s">
        <v>3509</v>
      </c>
      <c r="D220" s="3485">
        <v>109.71</v>
      </c>
      <c r="E220" s="3482" t="s">
        <v>21</v>
      </c>
    </row>
    <row r="221" spans="1:5">
      <c r="A221" s="3482" t="s">
        <v>3391</v>
      </c>
      <c r="B221" s="3482" t="s">
        <v>3480</v>
      </c>
      <c r="C221" s="3484" t="s">
        <v>3510</v>
      </c>
      <c r="D221" s="3485">
        <v>141.12</v>
      </c>
      <c r="E221" s="3482" t="s">
        <v>21</v>
      </c>
    </row>
    <row r="222" spans="1:5">
      <c r="A222" s="3482" t="s">
        <v>3391</v>
      </c>
      <c r="B222" s="3482" t="s">
        <v>3480</v>
      </c>
      <c r="C222" s="3484" t="s">
        <v>3511</v>
      </c>
      <c r="D222" s="3485">
        <v>107.44</v>
      </c>
      <c r="E222" s="3482" t="s">
        <v>21</v>
      </c>
    </row>
    <row r="223" spans="1:5">
      <c r="A223" s="3482" t="s">
        <v>3391</v>
      </c>
      <c r="B223" s="3482" t="s">
        <v>3480</v>
      </c>
      <c r="C223" s="3484" t="s">
        <v>3512</v>
      </c>
      <c r="D223" s="3485">
        <v>106.79</v>
      </c>
      <c r="E223" s="3482" t="s">
        <v>21</v>
      </c>
    </row>
    <row r="224" spans="1:5">
      <c r="A224" s="3482" t="s">
        <v>3391</v>
      </c>
      <c r="B224" s="3482" t="s">
        <v>3480</v>
      </c>
      <c r="C224" s="3484" t="s">
        <v>3513</v>
      </c>
      <c r="D224" s="3485">
        <v>107.4</v>
      </c>
      <c r="E224" s="3482" t="s">
        <v>21</v>
      </c>
    </row>
    <row r="225" spans="1:5">
      <c r="A225" s="3482" t="s">
        <v>3391</v>
      </c>
      <c r="B225" s="3482" t="s">
        <v>3480</v>
      </c>
      <c r="C225" s="3484" t="s">
        <v>3514</v>
      </c>
      <c r="D225" s="3485">
        <v>146.99</v>
      </c>
      <c r="E225" s="3482" t="s">
        <v>21</v>
      </c>
    </row>
    <row r="226" spans="1:5">
      <c r="A226" s="3482" t="s">
        <v>3391</v>
      </c>
      <c r="B226" s="3482" t="s">
        <v>3480</v>
      </c>
      <c r="C226" s="3484" t="s">
        <v>3515</v>
      </c>
      <c r="D226" s="3485">
        <v>103.78</v>
      </c>
      <c r="E226" s="3482" t="s">
        <v>21</v>
      </c>
    </row>
    <row r="227" spans="1:5">
      <c r="A227" s="3482" t="s">
        <v>3391</v>
      </c>
      <c r="B227" s="3482" t="s">
        <v>3480</v>
      </c>
      <c r="C227" s="3484" t="s">
        <v>3516</v>
      </c>
      <c r="D227" s="3485">
        <v>146.99</v>
      </c>
      <c r="E227" s="3482" t="s">
        <v>21</v>
      </c>
    </row>
    <row r="228" spans="1:5">
      <c r="A228" s="3482" t="s">
        <v>3391</v>
      </c>
      <c r="B228" s="3482" t="s">
        <v>3480</v>
      </c>
      <c r="C228" s="3484" t="s">
        <v>3517</v>
      </c>
      <c r="D228" s="3485">
        <v>107.4</v>
      </c>
      <c r="E228" s="3482" t="s">
        <v>21</v>
      </c>
    </row>
    <row r="229" spans="1:5">
      <c r="A229" s="3482" t="s">
        <v>3391</v>
      </c>
      <c r="B229" s="3482" t="s">
        <v>3480</v>
      </c>
      <c r="C229" s="3484" t="s">
        <v>3518</v>
      </c>
      <c r="D229" s="3485">
        <v>106.79</v>
      </c>
      <c r="E229" s="3482" t="s">
        <v>21</v>
      </c>
    </row>
    <row r="230" spans="1:5">
      <c r="A230" s="3482" t="s">
        <v>3391</v>
      </c>
      <c r="B230" s="3482" t="s">
        <v>3480</v>
      </c>
      <c r="C230" s="3484" t="s">
        <v>3519</v>
      </c>
      <c r="D230" s="3485">
        <v>107.44</v>
      </c>
      <c r="E230" s="3482" t="s">
        <v>21</v>
      </c>
    </row>
    <row r="231" spans="1:5">
      <c r="A231" s="3482" t="s">
        <v>3391</v>
      </c>
      <c r="B231" s="3482" t="s">
        <v>3520</v>
      </c>
      <c r="C231" s="3486" t="s">
        <v>3381</v>
      </c>
      <c r="D231" s="3487">
        <v>160.51</v>
      </c>
      <c r="E231" s="3482" t="s">
        <v>673</v>
      </c>
    </row>
    <row r="232" spans="1:5">
      <c r="A232" s="3482" t="s">
        <v>3391</v>
      </c>
      <c r="B232" s="3482" t="s">
        <v>3520</v>
      </c>
      <c r="C232" s="3486" t="s">
        <v>3382</v>
      </c>
      <c r="D232" s="3487">
        <v>84.11</v>
      </c>
      <c r="E232" s="3482" t="s">
        <v>673</v>
      </c>
    </row>
    <row r="233" spans="1:5">
      <c r="A233" s="3482" t="s">
        <v>3391</v>
      </c>
      <c r="B233" s="3482" t="s">
        <v>3520</v>
      </c>
      <c r="C233" s="3486" t="s">
        <v>3383</v>
      </c>
      <c r="D233" s="3487">
        <v>83.88</v>
      </c>
      <c r="E233" s="3482" t="s">
        <v>673</v>
      </c>
    </row>
    <row r="234" spans="1:5">
      <c r="A234" s="3482" t="s">
        <v>3391</v>
      </c>
      <c r="B234" s="3482" t="s">
        <v>3520</v>
      </c>
      <c r="C234" s="3486" t="s">
        <v>3384</v>
      </c>
      <c r="D234" s="3487">
        <v>146.91999999999999</v>
      </c>
      <c r="E234" s="3482" t="s">
        <v>673</v>
      </c>
    </row>
    <row r="235" spans="1:5">
      <c r="A235" s="3482" t="s">
        <v>3391</v>
      </c>
      <c r="B235" s="3482" t="s">
        <v>3520</v>
      </c>
      <c r="C235" s="3486" t="s">
        <v>3385</v>
      </c>
      <c r="D235" s="3487">
        <v>176.13</v>
      </c>
      <c r="E235" s="3482" t="s">
        <v>673</v>
      </c>
    </row>
    <row r="236" spans="1:5">
      <c r="A236" s="3482" t="s">
        <v>3391</v>
      </c>
      <c r="B236" s="3482" t="s">
        <v>3520</v>
      </c>
      <c r="C236" s="3484">
        <v>201</v>
      </c>
      <c r="D236" s="3485">
        <v>208.5</v>
      </c>
      <c r="E236" s="3482" t="s">
        <v>673</v>
      </c>
    </row>
    <row r="237" spans="1:5">
      <c r="A237" s="3482" t="s">
        <v>3391</v>
      </c>
      <c r="B237" s="3482" t="s">
        <v>3520</v>
      </c>
      <c r="C237" s="3484">
        <v>202</v>
      </c>
      <c r="D237" s="3485">
        <v>180.54</v>
      </c>
      <c r="E237" s="3482" t="s">
        <v>673</v>
      </c>
    </row>
    <row r="238" spans="1:5">
      <c r="A238" s="3482" t="s">
        <v>3391</v>
      </c>
      <c r="B238" s="3482" t="s">
        <v>3520</v>
      </c>
      <c r="C238" s="3484">
        <v>203</v>
      </c>
      <c r="D238" s="3485">
        <v>407.34</v>
      </c>
      <c r="E238" s="3482" t="s">
        <v>673</v>
      </c>
    </row>
    <row r="239" spans="1:5">
      <c r="A239" s="3482" t="s">
        <v>3391</v>
      </c>
      <c r="B239" s="3482" t="s">
        <v>3520</v>
      </c>
      <c r="C239" s="3484" t="s">
        <v>3409</v>
      </c>
      <c r="D239" s="3485">
        <v>128.06</v>
      </c>
      <c r="E239" s="3482" t="s">
        <v>21</v>
      </c>
    </row>
    <row r="240" spans="1:5">
      <c r="A240" s="3482" t="s">
        <v>3391</v>
      </c>
      <c r="B240" s="3482" t="s">
        <v>3520</v>
      </c>
      <c r="C240" s="3484" t="s">
        <v>3410</v>
      </c>
      <c r="D240" s="3485">
        <v>92.23</v>
      </c>
      <c r="E240" s="3482" t="s">
        <v>21</v>
      </c>
    </row>
    <row r="241" spans="1:5">
      <c r="A241" s="3482" t="s">
        <v>3391</v>
      </c>
      <c r="B241" s="3482" t="s">
        <v>3520</v>
      </c>
      <c r="C241" s="3484" t="s">
        <v>3411</v>
      </c>
      <c r="D241" s="3485">
        <v>90.54</v>
      </c>
      <c r="E241" s="3482" t="s">
        <v>21</v>
      </c>
    </row>
    <row r="242" spans="1:5">
      <c r="A242" s="3482" t="s">
        <v>3391</v>
      </c>
      <c r="B242" s="3482" t="s">
        <v>3520</v>
      </c>
      <c r="C242" s="3484" t="s">
        <v>3412</v>
      </c>
      <c r="D242" s="3485">
        <v>134.41999999999999</v>
      </c>
      <c r="E242" s="3482" t="s">
        <v>21</v>
      </c>
    </row>
    <row r="243" spans="1:5">
      <c r="A243" s="3482" t="s">
        <v>3391</v>
      </c>
      <c r="B243" s="3482" t="s">
        <v>3520</v>
      </c>
      <c r="C243" s="3484" t="s">
        <v>3413</v>
      </c>
      <c r="D243" s="3485">
        <v>134.41999999999999</v>
      </c>
      <c r="E243" s="3482" t="s">
        <v>21</v>
      </c>
    </row>
    <row r="244" spans="1:5">
      <c r="A244" s="3482" t="s">
        <v>3391</v>
      </c>
      <c r="B244" s="3482" t="s">
        <v>3520</v>
      </c>
      <c r="C244" s="3484" t="s">
        <v>3414</v>
      </c>
      <c r="D244" s="3485">
        <v>90.54</v>
      </c>
      <c r="E244" s="3482" t="s">
        <v>21</v>
      </c>
    </row>
    <row r="245" spans="1:5">
      <c r="A245" s="3482" t="s">
        <v>3391</v>
      </c>
      <c r="B245" s="3482" t="s">
        <v>3520</v>
      </c>
      <c r="C245" s="3484" t="s">
        <v>3419</v>
      </c>
      <c r="D245" s="3485">
        <v>148.88</v>
      </c>
      <c r="E245" s="3482" t="s">
        <v>21</v>
      </c>
    </row>
    <row r="246" spans="1:5">
      <c r="A246" s="3482" t="s">
        <v>3391</v>
      </c>
      <c r="B246" s="3482" t="s">
        <v>3520</v>
      </c>
      <c r="C246" s="3484" t="s">
        <v>3420</v>
      </c>
      <c r="D246" s="3485">
        <v>282.02</v>
      </c>
      <c r="E246" s="3482" t="s">
        <v>21</v>
      </c>
    </row>
    <row r="247" spans="1:5">
      <c r="A247" s="3482" t="s">
        <v>3391</v>
      </c>
      <c r="B247" s="3482" t="s">
        <v>3520</v>
      </c>
      <c r="C247" s="3484" t="s">
        <v>3421</v>
      </c>
      <c r="D247" s="3485">
        <v>103.37</v>
      </c>
      <c r="E247" s="3482" t="s">
        <v>21</v>
      </c>
    </row>
    <row r="248" spans="1:5">
      <c r="A248" s="3482" t="s">
        <v>3391</v>
      </c>
      <c r="B248" s="3482" t="s">
        <v>3520</v>
      </c>
      <c r="C248" s="3484" t="s">
        <v>3422</v>
      </c>
      <c r="D248" s="3485">
        <v>104.28</v>
      </c>
      <c r="E248" s="3482" t="s">
        <v>21</v>
      </c>
    </row>
    <row r="249" spans="1:5">
      <c r="A249" s="3482" t="s">
        <v>3391</v>
      </c>
      <c r="B249" s="3482" t="s">
        <v>3520</v>
      </c>
      <c r="C249" s="3484" t="s">
        <v>3423</v>
      </c>
      <c r="D249" s="3485">
        <v>104.28</v>
      </c>
      <c r="E249" s="3482" t="s">
        <v>21</v>
      </c>
    </row>
    <row r="250" spans="1:5">
      <c r="A250" s="3482" t="s">
        <v>3391</v>
      </c>
      <c r="B250" s="3482" t="s">
        <v>3520</v>
      </c>
      <c r="C250" s="3484" t="s">
        <v>3424</v>
      </c>
      <c r="D250" s="3485">
        <v>154.58000000000001</v>
      </c>
      <c r="E250" s="3482" t="s">
        <v>21</v>
      </c>
    </row>
    <row r="251" spans="1:5">
      <c r="A251" s="3482" t="s">
        <v>3391</v>
      </c>
      <c r="B251" s="3482" t="s">
        <v>3520</v>
      </c>
      <c r="C251" s="3484" t="s">
        <v>3425</v>
      </c>
      <c r="D251" s="3485">
        <v>282.02</v>
      </c>
      <c r="E251" s="3482" t="s">
        <v>21</v>
      </c>
    </row>
    <row r="252" spans="1:5">
      <c r="A252" s="3482" t="s">
        <v>3391</v>
      </c>
      <c r="B252" s="3482" t="s">
        <v>3520</v>
      </c>
      <c r="C252" s="3484" t="s">
        <v>3426</v>
      </c>
      <c r="D252" s="3485">
        <v>104.28</v>
      </c>
      <c r="E252" s="3482" t="s">
        <v>21</v>
      </c>
    </row>
    <row r="253" spans="1:5">
      <c r="A253" s="3482" t="s">
        <v>3391</v>
      </c>
      <c r="B253" s="3482" t="s">
        <v>3520</v>
      </c>
      <c r="C253" s="3484" t="s">
        <v>3427</v>
      </c>
      <c r="D253" s="3485">
        <v>104.28</v>
      </c>
      <c r="E253" s="3482" t="s">
        <v>21</v>
      </c>
    </row>
    <row r="254" spans="1:5">
      <c r="A254" s="3482" t="s">
        <v>3391</v>
      </c>
      <c r="B254" s="3482" t="s">
        <v>3520</v>
      </c>
      <c r="C254" s="3484" t="s">
        <v>3428</v>
      </c>
      <c r="D254" s="3485">
        <v>104.28</v>
      </c>
      <c r="E254" s="3482" t="s">
        <v>21</v>
      </c>
    </row>
    <row r="255" spans="1:5">
      <c r="A255" s="3482" t="s">
        <v>3391</v>
      </c>
      <c r="B255" s="3482" t="s">
        <v>3520</v>
      </c>
      <c r="C255" s="3484" t="s">
        <v>3429</v>
      </c>
      <c r="D255" s="3485">
        <v>148.88</v>
      </c>
      <c r="E255" s="3482" t="s">
        <v>21</v>
      </c>
    </row>
    <row r="256" spans="1:5">
      <c r="A256" s="3482" t="s">
        <v>3391</v>
      </c>
      <c r="B256" s="3482" t="s">
        <v>3520</v>
      </c>
      <c r="C256" s="3484" t="s">
        <v>3430</v>
      </c>
      <c r="D256" s="3485">
        <v>282.02</v>
      </c>
      <c r="E256" s="3482" t="s">
        <v>21</v>
      </c>
    </row>
    <row r="257" spans="1:5">
      <c r="A257" s="3482" t="s">
        <v>3391</v>
      </c>
      <c r="B257" s="3482" t="s">
        <v>3520</v>
      </c>
      <c r="C257" s="3484" t="s">
        <v>3431</v>
      </c>
      <c r="D257" s="3485">
        <v>103.37</v>
      </c>
      <c r="E257" s="3482" t="s">
        <v>21</v>
      </c>
    </row>
    <row r="258" spans="1:5">
      <c r="A258" s="3482" t="s">
        <v>3391</v>
      </c>
      <c r="B258" s="3482" t="s">
        <v>3520</v>
      </c>
      <c r="C258" s="3484" t="s">
        <v>3432</v>
      </c>
      <c r="D258" s="3485">
        <v>104.28</v>
      </c>
      <c r="E258" s="3482" t="s">
        <v>21</v>
      </c>
    </row>
    <row r="259" spans="1:5">
      <c r="A259" s="3482" t="s">
        <v>3391</v>
      </c>
      <c r="B259" s="3482" t="s">
        <v>3520</v>
      </c>
      <c r="C259" s="3484" t="s">
        <v>3433</v>
      </c>
      <c r="D259" s="3485">
        <v>104.28</v>
      </c>
      <c r="E259" s="3482" t="s">
        <v>21</v>
      </c>
    </row>
    <row r="260" spans="1:5">
      <c r="A260" s="3482" t="s">
        <v>3391</v>
      </c>
      <c r="B260" s="3482" t="s">
        <v>3520</v>
      </c>
      <c r="C260" s="3484" t="s">
        <v>3434</v>
      </c>
      <c r="D260" s="3485">
        <v>154.58000000000001</v>
      </c>
      <c r="E260" s="3482" t="s">
        <v>21</v>
      </c>
    </row>
    <row r="261" spans="1:5">
      <c r="A261" s="3482" t="s">
        <v>3391</v>
      </c>
      <c r="B261" s="3482" t="s">
        <v>3520</v>
      </c>
      <c r="C261" s="3484" t="s">
        <v>3435</v>
      </c>
      <c r="D261" s="3485">
        <v>282.02</v>
      </c>
      <c r="E261" s="3482" t="s">
        <v>21</v>
      </c>
    </row>
    <row r="262" spans="1:5">
      <c r="A262" s="3482" t="s">
        <v>3391</v>
      </c>
      <c r="B262" s="3482" t="s">
        <v>3520</v>
      </c>
      <c r="C262" s="3484" t="s">
        <v>3436</v>
      </c>
      <c r="D262" s="3485">
        <v>104.28</v>
      </c>
      <c r="E262" s="3482" t="s">
        <v>21</v>
      </c>
    </row>
    <row r="263" spans="1:5">
      <c r="A263" s="3482" t="s">
        <v>3391</v>
      </c>
      <c r="B263" s="3482" t="s">
        <v>3520</v>
      </c>
      <c r="C263" s="3484" t="s">
        <v>3437</v>
      </c>
      <c r="D263" s="3485">
        <v>104.28</v>
      </c>
      <c r="E263" s="3482" t="s">
        <v>21</v>
      </c>
    </row>
    <row r="264" spans="1:5">
      <c r="A264" s="3482" t="s">
        <v>3391</v>
      </c>
      <c r="B264" s="3482" t="s">
        <v>3520</v>
      </c>
      <c r="C264" s="3484" t="s">
        <v>3438</v>
      </c>
      <c r="D264" s="3485">
        <v>104.28</v>
      </c>
      <c r="E264" s="3482" t="s">
        <v>21</v>
      </c>
    </row>
    <row r="265" spans="1:5">
      <c r="A265" s="3482" t="s">
        <v>3391</v>
      </c>
      <c r="B265" s="3482" t="s">
        <v>3520</v>
      </c>
      <c r="C265" s="3484" t="s">
        <v>3439</v>
      </c>
      <c r="D265" s="3485">
        <v>148.88</v>
      </c>
      <c r="E265" s="3482" t="s">
        <v>21</v>
      </c>
    </row>
    <row r="266" spans="1:5">
      <c r="A266" s="3482" t="s">
        <v>3391</v>
      </c>
      <c r="B266" s="3482" t="s">
        <v>3520</v>
      </c>
      <c r="C266" s="3484" t="s">
        <v>3440</v>
      </c>
      <c r="D266" s="3485">
        <v>282.02</v>
      </c>
      <c r="E266" s="3482" t="s">
        <v>21</v>
      </c>
    </row>
    <row r="267" spans="1:5">
      <c r="A267" s="3482" t="s">
        <v>3391</v>
      </c>
      <c r="B267" s="3482" t="s">
        <v>3520</v>
      </c>
      <c r="C267" s="3484" t="s">
        <v>3441</v>
      </c>
      <c r="D267" s="3485">
        <v>103.37</v>
      </c>
      <c r="E267" s="3482" t="s">
        <v>21</v>
      </c>
    </row>
    <row r="268" spans="1:5">
      <c r="A268" s="3482" t="s">
        <v>3391</v>
      </c>
      <c r="B268" s="3482" t="s">
        <v>3520</v>
      </c>
      <c r="C268" s="3484" t="s">
        <v>3442</v>
      </c>
      <c r="D268" s="3485">
        <v>104.28</v>
      </c>
      <c r="E268" s="3482" t="s">
        <v>21</v>
      </c>
    </row>
    <row r="269" spans="1:5">
      <c r="A269" s="3482" t="s">
        <v>3391</v>
      </c>
      <c r="B269" s="3482" t="s">
        <v>3520</v>
      </c>
      <c r="C269" s="3484" t="s">
        <v>3443</v>
      </c>
      <c r="D269" s="3485">
        <v>104.28</v>
      </c>
      <c r="E269" s="3482" t="s">
        <v>21</v>
      </c>
    </row>
    <row r="270" spans="1:5">
      <c r="A270" s="3482" t="s">
        <v>3391</v>
      </c>
      <c r="B270" s="3482" t="s">
        <v>3520</v>
      </c>
      <c r="C270" s="3484" t="s">
        <v>3444</v>
      </c>
      <c r="D270" s="3485">
        <v>154.58000000000001</v>
      </c>
      <c r="E270" s="3482" t="s">
        <v>21</v>
      </c>
    </row>
    <row r="271" spans="1:5">
      <c r="A271" s="3482" t="s">
        <v>3391</v>
      </c>
      <c r="B271" s="3482" t="s">
        <v>3520</v>
      </c>
      <c r="C271" s="3484" t="s">
        <v>3445</v>
      </c>
      <c r="D271" s="3485">
        <v>282.02</v>
      </c>
      <c r="E271" s="3482" t="s">
        <v>21</v>
      </c>
    </row>
    <row r="272" spans="1:5">
      <c r="A272" s="3482" t="s">
        <v>3391</v>
      </c>
      <c r="B272" s="3482" t="s">
        <v>3520</v>
      </c>
      <c r="C272" s="3484" t="s">
        <v>3446</v>
      </c>
      <c r="D272" s="3485">
        <v>104.28</v>
      </c>
      <c r="E272" s="3482" t="s">
        <v>21</v>
      </c>
    </row>
    <row r="273" spans="1:5">
      <c r="A273" s="3482" t="s">
        <v>3391</v>
      </c>
      <c r="B273" s="3482" t="s">
        <v>3520</v>
      </c>
      <c r="C273" s="3484" t="s">
        <v>3447</v>
      </c>
      <c r="D273" s="3485">
        <v>104.28</v>
      </c>
      <c r="E273" s="3482" t="s">
        <v>21</v>
      </c>
    </row>
    <row r="274" spans="1:5">
      <c r="A274" s="3482" t="s">
        <v>3391</v>
      </c>
      <c r="B274" s="3482" t="s">
        <v>3520</v>
      </c>
      <c r="C274" s="3484" t="s">
        <v>3448</v>
      </c>
      <c r="D274" s="3485">
        <v>104.28</v>
      </c>
      <c r="E274" s="3482" t="s">
        <v>21</v>
      </c>
    </row>
    <row r="275" spans="1:5">
      <c r="A275" s="3482" t="s">
        <v>3391</v>
      </c>
      <c r="B275" s="3482" t="s">
        <v>3520</v>
      </c>
      <c r="C275" s="3484" t="s">
        <v>3449</v>
      </c>
      <c r="D275" s="3485">
        <v>148.88</v>
      </c>
      <c r="E275" s="3482" t="s">
        <v>21</v>
      </c>
    </row>
    <row r="276" spans="1:5">
      <c r="A276" s="3482" t="s">
        <v>3391</v>
      </c>
      <c r="B276" s="3482" t="s">
        <v>3520</v>
      </c>
      <c r="C276" s="3484" t="s">
        <v>3450</v>
      </c>
      <c r="D276" s="3485">
        <v>282.02</v>
      </c>
      <c r="E276" s="3482" t="s">
        <v>21</v>
      </c>
    </row>
    <row r="277" spans="1:5">
      <c r="A277" s="3482" t="s">
        <v>3391</v>
      </c>
      <c r="B277" s="3482" t="s">
        <v>3520</v>
      </c>
      <c r="C277" s="3484" t="s">
        <v>3451</v>
      </c>
      <c r="D277" s="3485">
        <v>103.37</v>
      </c>
      <c r="E277" s="3482" t="s">
        <v>21</v>
      </c>
    </row>
    <row r="278" spans="1:5">
      <c r="A278" s="3482" t="s">
        <v>3391</v>
      </c>
      <c r="B278" s="3482" t="s">
        <v>3520</v>
      </c>
      <c r="C278" s="3484" t="s">
        <v>3452</v>
      </c>
      <c r="D278" s="3485">
        <v>104.28</v>
      </c>
      <c r="E278" s="3482" t="s">
        <v>21</v>
      </c>
    </row>
    <row r="279" spans="1:5">
      <c r="A279" s="3482" t="s">
        <v>3391</v>
      </c>
      <c r="B279" s="3482" t="s">
        <v>3520</v>
      </c>
      <c r="C279" s="3484" t="s">
        <v>3453</v>
      </c>
      <c r="D279" s="3485">
        <v>104.28</v>
      </c>
      <c r="E279" s="3482" t="s">
        <v>21</v>
      </c>
    </row>
    <row r="280" spans="1:5">
      <c r="A280" s="3482" t="s">
        <v>3391</v>
      </c>
      <c r="B280" s="3482" t="s">
        <v>3520</v>
      </c>
      <c r="C280" s="3484" t="s">
        <v>3454</v>
      </c>
      <c r="D280" s="3485">
        <v>154.58000000000001</v>
      </c>
      <c r="E280" s="3482" t="s">
        <v>21</v>
      </c>
    </row>
    <row r="281" spans="1:5">
      <c r="A281" s="3482" t="s">
        <v>3391</v>
      </c>
      <c r="B281" s="3482" t="s">
        <v>3520</v>
      </c>
      <c r="C281" s="3484" t="s">
        <v>3455</v>
      </c>
      <c r="D281" s="3485">
        <v>282.02</v>
      </c>
      <c r="E281" s="3482" t="s">
        <v>21</v>
      </c>
    </row>
    <row r="282" spans="1:5">
      <c r="A282" s="3482" t="s">
        <v>3391</v>
      </c>
      <c r="B282" s="3482" t="s">
        <v>3520</v>
      </c>
      <c r="C282" s="3484" t="s">
        <v>3456</v>
      </c>
      <c r="D282" s="3485">
        <v>104.28</v>
      </c>
      <c r="E282" s="3482" t="s">
        <v>21</v>
      </c>
    </row>
    <row r="283" spans="1:5">
      <c r="A283" s="3482" t="s">
        <v>3391</v>
      </c>
      <c r="B283" s="3482" t="s">
        <v>3520</v>
      </c>
      <c r="C283" s="3484" t="s">
        <v>3457</v>
      </c>
      <c r="D283" s="3485">
        <v>104.28</v>
      </c>
      <c r="E283" s="3482" t="s">
        <v>21</v>
      </c>
    </row>
    <row r="284" spans="1:5">
      <c r="A284" s="3482" t="s">
        <v>3391</v>
      </c>
      <c r="B284" s="3482" t="s">
        <v>3520</v>
      </c>
      <c r="C284" s="3484" t="s">
        <v>3458</v>
      </c>
      <c r="D284" s="3485">
        <v>104.28</v>
      </c>
      <c r="E284" s="3482" t="s">
        <v>21</v>
      </c>
    </row>
    <row r="285" spans="1:5">
      <c r="A285" s="3482" t="s">
        <v>3391</v>
      </c>
      <c r="B285" s="3482" t="s">
        <v>3520</v>
      </c>
      <c r="C285" s="3484" t="s">
        <v>3459</v>
      </c>
      <c r="D285" s="3485">
        <v>148.88</v>
      </c>
      <c r="E285" s="3482" t="s">
        <v>21</v>
      </c>
    </row>
    <row r="286" spans="1:5">
      <c r="A286" s="3482" t="s">
        <v>3391</v>
      </c>
      <c r="B286" s="3482" t="s">
        <v>3520</v>
      </c>
      <c r="C286" s="3484" t="s">
        <v>3460</v>
      </c>
      <c r="D286" s="3485">
        <v>282.02</v>
      </c>
      <c r="E286" s="3482" t="s">
        <v>21</v>
      </c>
    </row>
    <row r="287" spans="1:5">
      <c r="A287" s="3482" t="s">
        <v>3391</v>
      </c>
      <c r="B287" s="3482" t="s">
        <v>3520</v>
      </c>
      <c r="C287" s="3484" t="s">
        <v>3461</v>
      </c>
      <c r="D287" s="3485">
        <v>103.37</v>
      </c>
      <c r="E287" s="3482" t="s">
        <v>21</v>
      </c>
    </row>
    <row r="288" spans="1:5">
      <c r="A288" s="3482" t="s">
        <v>3391</v>
      </c>
      <c r="B288" s="3482" t="s">
        <v>3520</v>
      </c>
      <c r="C288" s="3484" t="s">
        <v>3462</v>
      </c>
      <c r="D288" s="3485">
        <v>104.28</v>
      </c>
      <c r="E288" s="3482" t="s">
        <v>21</v>
      </c>
    </row>
    <row r="289" spans="1:5">
      <c r="A289" s="3482" t="s">
        <v>3391</v>
      </c>
      <c r="B289" s="3482" t="s">
        <v>3520</v>
      </c>
      <c r="C289" s="3484" t="s">
        <v>3463</v>
      </c>
      <c r="D289" s="3485">
        <v>104.28</v>
      </c>
      <c r="E289" s="3482" t="s">
        <v>21</v>
      </c>
    </row>
    <row r="290" spans="1:5">
      <c r="A290" s="3482" t="s">
        <v>3391</v>
      </c>
      <c r="B290" s="3482" t="s">
        <v>3520</v>
      </c>
      <c r="C290" s="3484" t="s">
        <v>3464</v>
      </c>
      <c r="D290" s="3485">
        <v>154.58000000000001</v>
      </c>
      <c r="E290" s="3482" t="s">
        <v>21</v>
      </c>
    </row>
    <row r="291" spans="1:5">
      <c r="A291" s="3482" t="s">
        <v>3391</v>
      </c>
      <c r="B291" s="3482" t="s">
        <v>3520</v>
      </c>
      <c r="C291" s="3484" t="s">
        <v>3465</v>
      </c>
      <c r="D291" s="3485">
        <v>282.02</v>
      </c>
      <c r="E291" s="3482" t="s">
        <v>21</v>
      </c>
    </row>
    <row r="292" spans="1:5">
      <c r="A292" s="3482" t="s">
        <v>3391</v>
      </c>
      <c r="B292" s="3482" t="s">
        <v>3520</v>
      </c>
      <c r="C292" s="3484" t="s">
        <v>3466</v>
      </c>
      <c r="D292" s="3485">
        <v>104.28</v>
      </c>
      <c r="E292" s="3482" t="s">
        <v>21</v>
      </c>
    </row>
    <row r="293" spans="1:5">
      <c r="A293" s="3482" t="s">
        <v>3391</v>
      </c>
      <c r="B293" s="3482" t="s">
        <v>3520</v>
      </c>
      <c r="C293" s="3484" t="s">
        <v>3467</v>
      </c>
      <c r="D293" s="3485">
        <v>104.28</v>
      </c>
      <c r="E293" s="3482" t="s">
        <v>21</v>
      </c>
    </row>
    <row r="294" spans="1:5">
      <c r="A294" s="3482" t="s">
        <v>3391</v>
      </c>
      <c r="B294" s="3482" t="s">
        <v>3520</v>
      </c>
      <c r="C294" s="3484" t="s">
        <v>3468</v>
      </c>
      <c r="D294" s="3485">
        <v>104.28</v>
      </c>
      <c r="E294" s="3482" t="s">
        <v>21</v>
      </c>
    </row>
    <row r="295" spans="1:5">
      <c r="A295" s="3482" t="s">
        <v>3391</v>
      </c>
      <c r="B295" s="3482" t="s">
        <v>3520</v>
      </c>
      <c r="C295" s="3484" t="s">
        <v>3469</v>
      </c>
      <c r="D295" s="3485">
        <v>148.88</v>
      </c>
      <c r="E295" s="3482" t="s">
        <v>21</v>
      </c>
    </row>
    <row r="296" spans="1:5">
      <c r="A296" s="3482" t="s">
        <v>3391</v>
      </c>
      <c r="B296" s="3482" t="s">
        <v>3520</v>
      </c>
      <c r="C296" s="3484" t="s">
        <v>3470</v>
      </c>
      <c r="D296" s="3485">
        <v>282.02</v>
      </c>
      <c r="E296" s="3482" t="s">
        <v>21</v>
      </c>
    </row>
    <row r="297" spans="1:5">
      <c r="A297" s="3482" t="s">
        <v>3391</v>
      </c>
      <c r="B297" s="3482" t="s">
        <v>3520</v>
      </c>
      <c r="C297" s="3484" t="s">
        <v>3471</v>
      </c>
      <c r="D297" s="3485">
        <v>103.37</v>
      </c>
      <c r="E297" s="3482" t="s">
        <v>21</v>
      </c>
    </row>
    <row r="298" spans="1:5">
      <c r="A298" s="3482" t="s">
        <v>3391</v>
      </c>
      <c r="B298" s="3482" t="s">
        <v>3520</v>
      </c>
      <c r="C298" s="3484" t="s">
        <v>3472</v>
      </c>
      <c r="D298" s="3485">
        <v>104.28</v>
      </c>
      <c r="E298" s="3482" t="s">
        <v>21</v>
      </c>
    </row>
    <row r="299" spans="1:5">
      <c r="A299" s="3482" t="s">
        <v>3391</v>
      </c>
      <c r="B299" s="3482" t="s">
        <v>3520</v>
      </c>
      <c r="C299" s="3484" t="s">
        <v>3473</v>
      </c>
      <c r="D299" s="3485">
        <v>104.28</v>
      </c>
      <c r="E299" s="3482" t="s">
        <v>21</v>
      </c>
    </row>
    <row r="300" spans="1:5">
      <c r="A300" s="3482" t="s">
        <v>3391</v>
      </c>
      <c r="B300" s="3482" t="s">
        <v>3520</v>
      </c>
      <c r="C300" s="3484" t="s">
        <v>3474</v>
      </c>
      <c r="D300" s="3485">
        <v>154.58000000000001</v>
      </c>
      <c r="E300" s="3482" t="s">
        <v>21</v>
      </c>
    </row>
    <row r="301" spans="1:5">
      <c r="A301" s="3482" t="s">
        <v>3391</v>
      </c>
      <c r="B301" s="3482" t="s">
        <v>3520</v>
      </c>
      <c r="C301" s="3484" t="s">
        <v>3475</v>
      </c>
      <c r="D301" s="3485">
        <v>282.02</v>
      </c>
      <c r="E301" s="3482" t="s">
        <v>21</v>
      </c>
    </row>
    <row r="302" spans="1:5">
      <c r="A302" s="3482" t="s">
        <v>3391</v>
      </c>
      <c r="B302" s="3482" t="s">
        <v>3520</v>
      </c>
      <c r="C302" s="3484" t="s">
        <v>3476</v>
      </c>
      <c r="D302" s="3485">
        <v>104.28</v>
      </c>
      <c r="E302" s="3482" t="s">
        <v>21</v>
      </c>
    </row>
    <row r="303" spans="1:5">
      <c r="A303" s="3482" t="s">
        <v>3391</v>
      </c>
      <c r="B303" s="3482" t="s">
        <v>3520</v>
      </c>
      <c r="C303" s="3484" t="s">
        <v>3477</v>
      </c>
      <c r="D303" s="3485">
        <v>104.28</v>
      </c>
      <c r="E303" s="3482" t="s">
        <v>21</v>
      </c>
    </row>
    <row r="304" spans="1:5">
      <c r="A304" s="3482" t="s">
        <v>3391</v>
      </c>
      <c r="B304" s="3482" t="s">
        <v>3520</v>
      </c>
      <c r="C304" s="3484" t="s">
        <v>3478</v>
      </c>
      <c r="D304" s="3485">
        <v>104.28</v>
      </c>
      <c r="E304" s="3482" t="s">
        <v>21</v>
      </c>
    </row>
    <row r="305" spans="1:5">
      <c r="A305" s="3482" t="s">
        <v>3391</v>
      </c>
      <c r="B305" s="3482" t="s">
        <v>3520</v>
      </c>
      <c r="C305" s="3484" t="s">
        <v>3484</v>
      </c>
      <c r="D305" s="3485">
        <v>148.88</v>
      </c>
      <c r="E305" s="3482" t="s">
        <v>21</v>
      </c>
    </row>
    <row r="306" spans="1:5">
      <c r="A306" s="3482" t="s">
        <v>3391</v>
      </c>
      <c r="B306" s="3482" t="s">
        <v>3520</v>
      </c>
      <c r="C306" s="3484" t="s">
        <v>3485</v>
      </c>
      <c r="D306" s="3485">
        <v>282.02</v>
      </c>
      <c r="E306" s="3482" t="s">
        <v>21</v>
      </c>
    </row>
    <row r="307" spans="1:5">
      <c r="A307" s="3482" t="s">
        <v>3391</v>
      </c>
      <c r="B307" s="3482" t="s">
        <v>3520</v>
      </c>
      <c r="C307" s="3484" t="s">
        <v>3486</v>
      </c>
      <c r="D307" s="3485">
        <v>103.37</v>
      </c>
      <c r="E307" s="3482" t="s">
        <v>21</v>
      </c>
    </row>
    <row r="308" spans="1:5">
      <c r="A308" s="3482" t="s">
        <v>3391</v>
      </c>
      <c r="B308" s="3482" t="s">
        <v>3520</v>
      </c>
      <c r="C308" s="3484" t="s">
        <v>3487</v>
      </c>
      <c r="D308" s="3485">
        <v>104.28</v>
      </c>
      <c r="E308" s="3482" t="s">
        <v>21</v>
      </c>
    </row>
    <row r="309" spans="1:5">
      <c r="A309" s="3482" t="s">
        <v>3391</v>
      </c>
      <c r="B309" s="3482" t="s">
        <v>3520</v>
      </c>
      <c r="C309" s="3484" t="s">
        <v>3488</v>
      </c>
      <c r="D309" s="3485">
        <v>104.28</v>
      </c>
      <c r="E309" s="3482" t="s">
        <v>21</v>
      </c>
    </row>
    <row r="310" spans="1:5">
      <c r="A310" s="3482" t="s">
        <v>3391</v>
      </c>
      <c r="B310" s="3482" t="s">
        <v>3520</v>
      </c>
      <c r="C310" s="3484" t="s">
        <v>3489</v>
      </c>
      <c r="D310" s="3485">
        <v>154.58000000000001</v>
      </c>
      <c r="E310" s="3482" t="s">
        <v>21</v>
      </c>
    </row>
    <row r="311" spans="1:5">
      <c r="A311" s="3482" t="s">
        <v>3391</v>
      </c>
      <c r="B311" s="3482" t="s">
        <v>3520</v>
      </c>
      <c r="C311" s="3484" t="s">
        <v>3490</v>
      </c>
      <c r="D311" s="3485">
        <v>282.02</v>
      </c>
      <c r="E311" s="3482" t="s">
        <v>21</v>
      </c>
    </row>
    <row r="312" spans="1:5">
      <c r="A312" s="3482" t="s">
        <v>3391</v>
      </c>
      <c r="B312" s="3482" t="s">
        <v>3520</v>
      </c>
      <c r="C312" s="3484" t="s">
        <v>3491</v>
      </c>
      <c r="D312" s="3485">
        <v>104.28</v>
      </c>
      <c r="E312" s="3482" t="s">
        <v>21</v>
      </c>
    </row>
    <row r="313" spans="1:5">
      <c r="A313" s="3482" t="s">
        <v>3391</v>
      </c>
      <c r="B313" s="3482" t="s">
        <v>3520</v>
      </c>
      <c r="C313" s="3484" t="s">
        <v>3492</v>
      </c>
      <c r="D313" s="3485">
        <v>104.28</v>
      </c>
      <c r="E313" s="3482" t="s">
        <v>21</v>
      </c>
    </row>
    <row r="314" spans="1:5">
      <c r="A314" s="3482" t="s">
        <v>3391</v>
      </c>
      <c r="B314" s="3482" t="s">
        <v>3520</v>
      </c>
      <c r="C314" s="3484" t="s">
        <v>3493</v>
      </c>
      <c r="D314" s="3485">
        <v>104.28</v>
      </c>
      <c r="E314" s="3482" t="s">
        <v>21</v>
      </c>
    </row>
    <row r="315" spans="1:5">
      <c r="A315" s="3482" t="s">
        <v>3391</v>
      </c>
      <c r="B315" s="3482" t="s">
        <v>3520</v>
      </c>
      <c r="C315" s="3484" t="s">
        <v>3496</v>
      </c>
      <c r="D315" s="3485">
        <v>148.88</v>
      </c>
      <c r="E315" s="3482" t="s">
        <v>21</v>
      </c>
    </row>
    <row r="316" spans="1:5">
      <c r="A316" s="3482" t="s">
        <v>3391</v>
      </c>
      <c r="B316" s="3482" t="s">
        <v>3520</v>
      </c>
      <c r="C316" s="3484" t="s">
        <v>3497</v>
      </c>
      <c r="D316" s="3485">
        <v>282.02</v>
      </c>
      <c r="E316" s="3482" t="s">
        <v>21</v>
      </c>
    </row>
    <row r="317" spans="1:5">
      <c r="A317" s="3482" t="s">
        <v>3391</v>
      </c>
      <c r="B317" s="3482" t="s">
        <v>3520</v>
      </c>
      <c r="C317" s="3484" t="s">
        <v>3498</v>
      </c>
      <c r="D317" s="3485">
        <v>103.37</v>
      </c>
      <c r="E317" s="3482" t="s">
        <v>21</v>
      </c>
    </row>
    <row r="318" spans="1:5">
      <c r="A318" s="3482" t="s">
        <v>3391</v>
      </c>
      <c r="B318" s="3482" t="s">
        <v>3520</v>
      </c>
      <c r="C318" s="3484" t="s">
        <v>3499</v>
      </c>
      <c r="D318" s="3485">
        <v>104.28</v>
      </c>
      <c r="E318" s="3482" t="s">
        <v>21</v>
      </c>
    </row>
    <row r="319" spans="1:5">
      <c r="A319" s="3482" t="s">
        <v>3391</v>
      </c>
      <c r="B319" s="3482" t="s">
        <v>3520</v>
      </c>
      <c r="C319" s="3484" t="s">
        <v>3500</v>
      </c>
      <c r="D319" s="3485">
        <v>104.28</v>
      </c>
      <c r="E319" s="3482" t="s">
        <v>21</v>
      </c>
    </row>
    <row r="320" spans="1:5">
      <c r="A320" s="3482" t="s">
        <v>3391</v>
      </c>
      <c r="B320" s="3482" t="s">
        <v>3520</v>
      </c>
      <c r="C320" s="3484" t="s">
        <v>3501</v>
      </c>
      <c r="D320" s="3485">
        <v>154.58000000000001</v>
      </c>
      <c r="E320" s="3482" t="s">
        <v>21</v>
      </c>
    </row>
    <row r="321" spans="1:5">
      <c r="A321" s="3482" t="s">
        <v>3391</v>
      </c>
      <c r="B321" s="3482" t="s">
        <v>3520</v>
      </c>
      <c r="C321" s="3484" t="s">
        <v>3502</v>
      </c>
      <c r="D321" s="3485">
        <v>282.02</v>
      </c>
      <c r="E321" s="3482" t="s">
        <v>21</v>
      </c>
    </row>
    <row r="322" spans="1:5">
      <c r="A322" s="3482" t="s">
        <v>3391</v>
      </c>
      <c r="B322" s="3482" t="s">
        <v>3520</v>
      </c>
      <c r="C322" s="3484" t="s">
        <v>3503</v>
      </c>
      <c r="D322" s="3485">
        <v>104.28</v>
      </c>
      <c r="E322" s="3482" t="s">
        <v>21</v>
      </c>
    </row>
    <row r="323" spans="1:5">
      <c r="A323" s="3482" t="s">
        <v>3391</v>
      </c>
      <c r="B323" s="3482" t="s">
        <v>3520</v>
      </c>
      <c r="C323" s="3484" t="s">
        <v>3504</v>
      </c>
      <c r="D323" s="3485">
        <v>104.28</v>
      </c>
      <c r="E323" s="3482" t="s">
        <v>21</v>
      </c>
    </row>
    <row r="324" spans="1:5">
      <c r="A324" s="3482" t="s">
        <v>3391</v>
      </c>
      <c r="B324" s="3482" t="s">
        <v>3520</v>
      </c>
      <c r="C324" s="3484" t="s">
        <v>3505</v>
      </c>
      <c r="D324" s="3485">
        <v>104.28</v>
      </c>
      <c r="E324" s="3482" t="s">
        <v>21</v>
      </c>
    </row>
    <row r="325" spans="1:5">
      <c r="A325" s="3482" t="s">
        <v>3391</v>
      </c>
      <c r="B325" s="3482" t="s">
        <v>3520</v>
      </c>
      <c r="C325" s="3484" t="s">
        <v>3508</v>
      </c>
      <c r="D325" s="3485">
        <v>148.88</v>
      </c>
      <c r="E325" s="3482" t="s">
        <v>21</v>
      </c>
    </row>
    <row r="326" spans="1:5">
      <c r="A326" s="3482" t="s">
        <v>3391</v>
      </c>
      <c r="B326" s="3482" t="s">
        <v>3520</v>
      </c>
      <c r="C326" s="3484" t="s">
        <v>3509</v>
      </c>
      <c r="D326" s="3485">
        <v>282.02</v>
      </c>
      <c r="E326" s="3482" t="s">
        <v>21</v>
      </c>
    </row>
    <row r="327" spans="1:5">
      <c r="A327" s="3482" t="s">
        <v>3391</v>
      </c>
      <c r="B327" s="3482" t="s">
        <v>3520</v>
      </c>
      <c r="C327" s="3484" t="s">
        <v>3510</v>
      </c>
      <c r="D327" s="3485">
        <v>103.37</v>
      </c>
      <c r="E327" s="3482" t="s">
        <v>21</v>
      </c>
    </row>
    <row r="328" spans="1:5">
      <c r="A328" s="3482" t="s">
        <v>3391</v>
      </c>
      <c r="B328" s="3482" t="s">
        <v>3520</v>
      </c>
      <c r="C328" s="3484" t="s">
        <v>3511</v>
      </c>
      <c r="D328" s="3485">
        <v>104.28</v>
      </c>
      <c r="E328" s="3482" t="s">
        <v>21</v>
      </c>
    </row>
    <row r="329" spans="1:5">
      <c r="A329" s="3482" t="s">
        <v>3391</v>
      </c>
      <c r="B329" s="3482" t="s">
        <v>3520</v>
      </c>
      <c r="C329" s="3484" t="s">
        <v>3512</v>
      </c>
      <c r="D329" s="3485">
        <v>104.28</v>
      </c>
      <c r="E329" s="3482" t="s">
        <v>21</v>
      </c>
    </row>
    <row r="330" spans="1:5">
      <c r="A330" s="3482" t="s">
        <v>3391</v>
      </c>
      <c r="B330" s="3482" t="s">
        <v>3520</v>
      </c>
      <c r="C330" s="3484" t="s">
        <v>3513</v>
      </c>
      <c r="D330" s="3485">
        <v>154.58000000000001</v>
      </c>
      <c r="E330" s="3482" t="s">
        <v>21</v>
      </c>
    </row>
    <row r="331" spans="1:5">
      <c r="A331" s="3482" t="s">
        <v>3391</v>
      </c>
      <c r="B331" s="3482" t="s">
        <v>3520</v>
      </c>
      <c r="C331" s="3484" t="s">
        <v>3514</v>
      </c>
      <c r="D331" s="3485">
        <v>282.02</v>
      </c>
      <c r="E331" s="3482" t="s">
        <v>21</v>
      </c>
    </row>
    <row r="332" spans="1:5">
      <c r="A332" s="3482" t="s">
        <v>3391</v>
      </c>
      <c r="B332" s="3482" t="s">
        <v>3520</v>
      </c>
      <c r="C332" s="3484" t="s">
        <v>3515</v>
      </c>
      <c r="D332" s="3485">
        <v>104.28</v>
      </c>
      <c r="E332" s="3482" t="s">
        <v>21</v>
      </c>
    </row>
    <row r="333" spans="1:5">
      <c r="A333" s="3482" t="s">
        <v>3391</v>
      </c>
      <c r="B333" s="3482" t="s">
        <v>3520</v>
      </c>
      <c r="C333" s="3484" t="s">
        <v>3516</v>
      </c>
      <c r="D333" s="3485">
        <v>104.28</v>
      </c>
      <c r="E333" s="3482" t="s">
        <v>21</v>
      </c>
    </row>
    <row r="334" spans="1:5">
      <c r="A334" s="3482" t="s">
        <v>3391</v>
      </c>
      <c r="B334" s="3482" t="s">
        <v>3520</v>
      </c>
      <c r="C334" s="3484" t="s">
        <v>3517</v>
      </c>
      <c r="D334" s="3485">
        <v>104.28</v>
      </c>
      <c r="E334" s="3482" t="s">
        <v>21</v>
      </c>
    </row>
    <row r="335" spans="1:5">
      <c r="A335" s="3482" t="s">
        <v>3391</v>
      </c>
      <c r="B335" s="3482" t="s">
        <v>3521</v>
      </c>
      <c r="C335" s="3486" t="s">
        <v>3381</v>
      </c>
      <c r="D335" s="3487">
        <v>109.71</v>
      </c>
      <c r="E335" s="3482" t="s">
        <v>673</v>
      </c>
    </row>
    <row r="336" spans="1:5">
      <c r="A336" s="3482" t="s">
        <v>3391</v>
      </c>
      <c r="B336" s="3482" t="s">
        <v>3521</v>
      </c>
      <c r="C336" s="3486" t="s">
        <v>3382</v>
      </c>
      <c r="D336" s="3487">
        <v>119.6</v>
      </c>
      <c r="E336" s="3482" t="s">
        <v>673</v>
      </c>
    </row>
    <row r="337" spans="1:5">
      <c r="A337" s="3482" t="s">
        <v>3391</v>
      </c>
      <c r="B337" s="3482" t="s">
        <v>3521</v>
      </c>
      <c r="C337" s="3486" t="s">
        <v>3383</v>
      </c>
      <c r="D337" s="3487">
        <v>79.36</v>
      </c>
      <c r="E337" s="3482" t="s">
        <v>673</v>
      </c>
    </row>
    <row r="338" spans="1:5">
      <c r="A338" s="3482" t="s">
        <v>3391</v>
      </c>
      <c r="B338" s="3482" t="s">
        <v>3521</v>
      </c>
      <c r="C338" s="3486" t="s">
        <v>3384</v>
      </c>
      <c r="D338" s="3487">
        <v>55.44</v>
      </c>
      <c r="E338" s="3482" t="s">
        <v>673</v>
      </c>
    </row>
    <row r="339" spans="1:5">
      <c r="A339" s="3482" t="s">
        <v>3391</v>
      </c>
      <c r="B339" s="3482" t="s">
        <v>3521</v>
      </c>
      <c r="C339" s="3484" t="s">
        <v>3386</v>
      </c>
      <c r="D339" s="3485">
        <v>3012.67</v>
      </c>
      <c r="E339" s="3482" t="s">
        <v>3522</v>
      </c>
    </row>
    <row r="340" spans="1:5">
      <c r="A340" s="3482" t="s">
        <v>3391</v>
      </c>
      <c r="B340" s="3482" t="s">
        <v>3521</v>
      </c>
      <c r="C340" s="3484">
        <v>302</v>
      </c>
      <c r="D340" s="3485">
        <v>254.11</v>
      </c>
      <c r="E340" s="3482" t="s">
        <v>21</v>
      </c>
    </row>
    <row r="341" spans="1:5">
      <c r="A341" s="3482" t="s">
        <v>3391</v>
      </c>
      <c r="B341" s="3482" t="s">
        <v>3521</v>
      </c>
      <c r="C341" s="3484">
        <v>303</v>
      </c>
      <c r="D341" s="3485">
        <v>315.39</v>
      </c>
      <c r="E341" s="3482" t="s">
        <v>21</v>
      </c>
    </row>
    <row r="342" spans="1:5">
      <c r="A342" s="3482" t="s">
        <v>3391</v>
      </c>
      <c r="B342" s="3482" t="s">
        <v>3521</v>
      </c>
      <c r="C342" s="3486" t="s">
        <v>3411</v>
      </c>
      <c r="D342" s="3487">
        <v>88.43</v>
      </c>
      <c r="E342" s="3482" t="s">
        <v>21</v>
      </c>
    </row>
    <row r="343" spans="1:5">
      <c r="A343" s="3482" t="s">
        <v>3391</v>
      </c>
      <c r="B343" s="3482" t="s">
        <v>3521</v>
      </c>
      <c r="C343" s="3486" t="s">
        <v>3412</v>
      </c>
      <c r="D343" s="3487">
        <v>133.26</v>
      </c>
      <c r="E343" s="3482" t="s">
        <v>21</v>
      </c>
    </row>
    <row r="344" spans="1:5">
      <c r="A344" s="3482" t="s">
        <v>3391</v>
      </c>
      <c r="B344" s="3482" t="s">
        <v>3521</v>
      </c>
      <c r="C344" s="3486" t="s">
        <v>3419</v>
      </c>
      <c r="D344" s="3487">
        <v>154.38</v>
      </c>
      <c r="E344" s="3482" t="s">
        <v>21</v>
      </c>
    </row>
    <row r="345" spans="1:5">
      <c r="A345" s="3482" t="s">
        <v>3391</v>
      </c>
      <c r="B345" s="3482" t="s">
        <v>3521</v>
      </c>
      <c r="C345" s="3486" t="s">
        <v>3420</v>
      </c>
      <c r="D345" s="3487">
        <v>108.41</v>
      </c>
      <c r="E345" s="3482" t="s">
        <v>21</v>
      </c>
    </row>
    <row r="346" spans="1:5">
      <c r="A346" s="3482" t="s">
        <v>3391</v>
      </c>
      <c r="B346" s="3482" t="s">
        <v>3521</v>
      </c>
      <c r="C346" s="3486" t="s">
        <v>3421</v>
      </c>
      <c r="D346" s="3487">
        <v>108.41</v>
      </c>
      <c r="E346" s="3482" t="s">
        <v>21</v>
      </c>
    </row>
    <row r="347" spans="1:5">
      <c r="A347" s="3482" t="s">
        <v>3391</v>
      </c>
      <c r="B347" s="3482" t="s">
        <v>3521</v>
      </c>
      <c r="C347" s="3486" t="s">
        <v>3422</v>
      </c>
      <c r="D347" s="3487">
        <v>108.41</v>
      </c>
      <c r="E347" s="3482" t="s">
        <v>21</v>
      </c>
    </row>
    <row r="348" spans="1:5">
      <c r="A348" s="3482" t="s">
        <v>3391</v>
      </c>
      <c r="B348" s="3482" t="s">
        <v>3521</v>
      </c>
      <c r="C348" s="3486" t="s">
        <v>3423</v>
      </c>
      <c r="D348" s="3487">
        <v>154.33000000000001</v>
      </c>
      <c r="E348" s="3482" t="s">
        <v>21</v>
      </c>
    </row>
    <row r="349" spans="1:5">
      <c r="A349" s="3482" t="s">
        <v>3391</v>
      </c>
      <c r="B349" s="3482" t="s">
        <v>3521</v>
      </c>
      <c r="C349" s="3486" t="s">
        <v>3424</v>
      </c>
      <c r="D349" s="3487">
        <v>249.29</v>
      </c>
      <c r="E349" s="3482" t="s">
        <v>21</v>
      </c>
    </row>
    <row r="350" spans="1:5">
      <c r="A350" s="3482" t="s">
        <v>3391</v>
      </c>
      <c r="B350" s="3482" t="s">
        <v>3521</v>
      </c>
      <c r="C350" s="3486" t="s">
        <v>3425</v>
      </c>
      <c r="D350" s="3487">
        <v>103.96</v>
      </c>
      <c r="E350" s="3482" t="s">
        <v>21</v>
      </c>
    </row>
    <row r="351" spans="1:5">
      <c r="A351" s="3482" t="s">
        <v>3391</v>
      </c>
      <c r="B351" s="3482" t="s">
        <v>3521</v>
      </c>
      <c r="C351" s="3486" t="s">
        <v>3426</v>
      </c>
      <c r="D351" s="3487">
        <v>108.22</v>
      </c>
      <c r="E351" s="3482" t="s">
        <v>21</v>
      </c>
    </row>
    <row r="352" spans="1:5">
      <c r="A352" s="3482" t="s">
        <v>3391</v>
      </c>
      <c r="B352" s="3482" t="s">
        <v>3521</v>
      </c>
      <c r="C352" s="3486" t="s">
        <v>3427</v>
      </c>
      <c r="D352" s="3487">
        <v>108.22</v>
      </c>
      <c r="E352" s="3482" t="s">
        <v>21</v>
      </c>
    </row>
    <row r="353" spans="1:5">
      <c r="A353" s="3482" t="s">
        <v>3391</v>
      </c>
      <c r="B353" s="3482" t="s">
        <v>3521</v>
      </c>
      <c r="C353" s="3486" t="s">
        <v>3428</v>
      </c>
      <c r="D353" s="3487">
        <v>244.95</v>
      </c>
      <c r="E353" s="3482" t="s">
        <v>21</v>
      </c>
    </row>
    <row r="354" spans="1:5">
      <c r="A354" s="3482" t="s">
        <v>3391</v>
      </c>
      <c r="B354" s="3482" t="s">
        <v>3523</v>
      </c>
      <c r="C354" s="3486" t="s">
        <v>3381</v>
      </c>
      <c r="D354" s="3487">
        <v>113.03</v>
      </c>
      <c r="E354" s="3482" t="s">
        <v>673</v>
      </c>
    </row>
    <row r="355" spans="1:5">
      <c r="A355" s="3482" t="s">
        <v>3391</v>
      </c>
      <c r="B355" s="3482" t="s">
        <v>3523</v>
      </c>
      <c r="C355" s="3486" t="s">
        <v>3382</v>
      </c>
      <c r="D355" s="3487">
        <v>88.91</v>
      </c>
      <c r="E355" s="3482" t="s">
        <v>673</v>
      </c>
    </row>
    <row r="356" spans="1:5">
      <c r="A356" s="3482" t="s">
        <v>3524</v>
      </c>
      <c r="B356" s="3482"/>
      <c r="C356" s="3484" t="s">
        <v>3381</v>
      </c>
      <c r="D356" s="3485">
        <v>142.16</v>
      </c>
      <c r="E356" s="3482" t="s">
        <v>673</v>
      </c>
    </row>
    <row r="357" spans="1:5">
      <c r="A357" s="3482" t="s">
        <v>3524</v>
      </c>
      <c r="B357" s="3482"/>
      <c r="C357" s="3484" t="s">
        <v>3382</v>
      </c>
      <c r="D357" s="3485">
        <v>87.25</v>
      </c>
      <c r="E357" s="3482" t="s">
        <v>673</v>
      </c>
    </row>
    <row r="358" spans="1:5">
      <c r="A358" s="3482" t="s">
        <v>3524</v>
      </c>
      <c r="B358" s="3482"/>
      <c r="C358" s="3484" t="s">
        <v>3383</v>
      </c>
      <c r="D358" s="3485">
        <v>71.19</v>
      </c>
      <c r="E358" s="3482" t="s">
        <v>673</v>
      </c>
    </row>
    <row r="359" spans="1:5">
      <c r="A359" s="3482" t="s">
        <v>3524</v>
      </c>
      <c r="B359" s="3482"/>
      <c r="C359" s="3484" t="s">
        <v>3384</v>
      </c>
      <c r="D359" s="3485">
        <v>56.14</v>
      </c>
      <c r="E359" s="3482" t="s">
        <v>673</v>
      </c>
    </row>
    <row r="360" spans="1:5">
      <c r="A360" s="3482" t="s">
        <v>3524</v>
      </c>
      <c r="B360" s="3482"/>
      <c r="C360" s="3484" t="s">
        <v>3385</v>
      </c>
      <c r="D360" s="3485">
        <v>127.82</v>
      </c>
      <c r="E360" s="3482" t="s">
        <v>673</v>
      </c>
    </row>
    <row r="361" spans="1:5">
      <c r="A361" s="3482" t="s">
        <v>3524</v>
      </c>
      <c r="B361" s="3482"/>
      <c r="C361" s="3484" t="s">
        <v>3393</v>
      </c>
      <c r="D361" s="3485">
        <v>60.2</v>
      </c>
      <c r="E361" s="3482" t="s">
        <v>673</v>
      </c>
    </row>
    <row r="362" spans="1:5">
      <c r="A362" s="3482" t="s">
        <v>3524</v>
      </c>
      <c r="B362" s="3482"/>
      <c r="C362" s="3484" t="s">
        <v>3394</v>
      </c>
      <c r="D362" s="3485">
        <v>103.37</v>
      </c>
      <c r="E362" s="3482" t="s">
        <v>673</v>
      </c>
    </row>
    <row r="363" spans="1:5">
      <c r="A363" s="3482" t="s">
        <v>3524</v>
      </c>
      <c r="B363" s="3482"/>
      <c r="C363" s="3484" t="s">
        <v>3386</v>
      </c>
      <c r="D363" s="3485">
        <v>203.88</v>
      </c>
      <c r="E363" s="3482" t="s">
        <v>673</v>
      </c>
    </row>
    <row r="364" spans="1:5">
      <c r="A364" s="3482" t="s">
        <v>3524</v>
      </c>
      <c r="B364" s="3482"/>
      <c r="C364" s="3484" t="s">
        <v>3387</v>
      </c>
      <c r="D364" s="3485">
        <v>135.21</v>
      </c>
      <c r="E364" s="3482" t="s">
        <v>673</v>
      </c>
    </row>
    <row r="365" spans="1:5">
      <c r="A365" s="3482" t="s">
        <v>3524</v>
      </c>
      <c r="B365" s="3482"/>
      <c r="C365" s="3484" t="s">
        <v>3388</v>
      </c>
      <c r="D365" s="3485">
        <v>141.46</v>
      </c>
      <c r="E365" s="3482" t="s">
        <v>673</v>
      </c>
    </row>
    <row r="366" spans="1:5">
      <c r="A366" s="3482" t="s">
        <v>3524</v>
      </c>
      <c r="B366" s="3482"/>
      <c r="C366" s="3484" t="s">
        <v>3389</v>
      </c>
      <c r="D366" s="3485">
        <v>141.46</v>
      </c>
      <c r="E366" s="3482" t="s">
        <v>673</v>
      </c>
    </row>
    <row r="367" spans="1:5">
      <c r="A367" s="3482" t="s">
        <v>3524</v>
      </c>
      <c r="B367" s="3482"/>
      <c r="C367" s="3484" t="s">
        <v>3390</v>
      </c>
      <c r="D367" s="3485">
        <v>203.92</v>
      </c>
      <c r="E367" s="3482" t="s">
        <v>673</v>
      </c>
    </row>
    <row r="368" spans="1:5">
      <c r="A368" s="3482" t="s">
        <v>3524</v>
      </c>
      <c r="B368" s="3482"/>
      <c r="C368" s="3484" t="s">
        <v>3400</v>
      </c>
      <c r="D368" s="3485">
        <v>159.97999999999999</v>
      </c>
      <c r="E368" s="3482" t="s">
        <v>21</v>
      </c>
    </row>
    <row r="369" spans="1:5">
      <c r="A369" s="3482" t="s">
        <v>3524</v>
      </c>
      <c r="B369" s="3482"/>
      <c r="C369" s="3484" t="s">
        <v>3401</v>
      </c>
      <c r="D369" s="3485">
        <v>109.21</v>
      </c>
      <c r="E369" s="3482" t="s">
        <v>21</v>
      </c>
    </row>
    <row r="370" spans="1:5">
      <c r="A370" s="3482" t="s">
        <v>3524</v>
      </c>
      <c r="B370" s="3482"/>
      <c r="C370" s="3484" t="s">
        <v>3402</v>
      </c>
      <c r="D370" s="3485">
        <v>113.43</v>
      </c>
      <c r="E370" s="3482" t="s">
        <v>21</v>
      </c>
    </row>
    <row r="371" spans="1:5">
      <c r="A371" s="3482" t="s">
        <v>3524</v>
      </c>
      <c r="B371" s="3482"/>
      <c r="C371" s="3484" t="s">
        <v>3403</v>
      </c>
      <c r="D371" s="3485">
        <v>113.43</v>
      </c>
      <c r="E371" s="3482" t="s">
        <v>21</v>
      </c>
    </row>
    <row r="372" spans="1:5">
      <c r="A372" s="3482" t="s">
        <v>3524</v>
      </c>
      <c r="B372" s="3482"/>
      <c r="C372" s="3484" t="s">
        <v>3404</v>
      </c>
      <c r="D372" s="3485">
        <v>159.97999999999999</v>
      </c>
      <c r="E372" s="3482" t="s">
        <v>21</v>
      </c>
    </row>
    <row r="373" spans="1:5">
      <c r="A373" s="3482" t="s">
        <v>3524</v>
      </c>
      <c r="B373" s="3482"/>
      <c r="C373" s="3484" t="s">
        <v>3405</v>
      </c>
      <c r="D373" s="3485">
        <v>250.19</v>
      </c>
      <c r="E373" s="3482" t="s">
        <v>21</v>
      </c>
    </row>
    <row r="374" spans="1:5">
      <c r="A374" s="3482" t="s">
        <v>3524</v>
      </c>
      <c r="B374" s="3482"/>
      <c r="C374" s="3484" t="s">
        <v>3406</v>
      </c>
      <c r="D374" s="3485">
        <v>113.62</v>
      </c>
      <c r="E374" s="3482" t="s">
        <v>21</v>
      </c>
    </row>
    <row r="375" spans="1:5">
      <c r="A375" s="3482" t="s">
        <v>3524</v>
      </c>
      <c r="B375" s="3482"/>
      <c r="C375" s="3484" t="s">
        <v>3407</v>
      </c>
      <c r="D375" s="3485">
        <v>113.62</v>
      </c>
      <c r="E375" s="3482" t="s">
        <v>21</v>
      </c>
    </row>
    <row r="376" spans="1:5">
      <c r="A376" s="3482" t="s">
        <v>3524</v>
      </c>
      <c r="B376" s="3482"/>
      <c r="C376" s="3484" t="s">
        <v>3408</v>
      </c>
      <c r="D376" s="3485">
        <v>109.26</v>
      </c>
      <c r="E376" s="3482" t="s">
        <v>21</v>
      </c>
    </row>
    <row r="377" spans="1:5">
      <c r="A377" s="3482" t="s">
        <v>3524</v>
      </c>
      <c r="B377" s="3482"/>
      <c r="C377" s="3484" t="s">
        <v>3525</v>
      </c>
      <c r="D377" s="3485">
        <v>254.41</v>
      </c>
      <c r="E377" s="3482" t="s">
        <v>21</v>
      </c>
    </row>
    <row r="378" spans="1:5">
      <c r="A378" s="3482" t="s">
        <v>3524</v>
      </c>
      <c r="B378" s="3482"/>
      <c r="C378" s="3484" t="s">
        <v>3409</v>
      </c>
      <c r="D378" s="3485">
        <v>159.97999999999999</v>
      </c>
      <c r="E378" s="3482" t="s">
        <v>21</v>
      </c>
    </row>
    <row r="379" spans="1:5">
      <c r="A379" s="3482" t="s">
        <v>3524</v>
      </c>
      <c r="B379" s="3482"/>
      <c r="C379" s="3484" t="s">
        <v>3410</v>
      </c>
      <c r="D379" s="3485">
        <v>109.21</v>
      </c>
      <c r="E379" s="3482" t="s">
        <v>21</v>
      </c>
    </row>
    <row r="380" spans="1:5">
      <c r="A380" s="3482" t="s">
        <v>3524</v>
      </c>
      <c r="B380" s="3482"/>
      <c r="C380" s="3484" t="s">
        <v>3411</v>
      </c>
      <c r="D380" s="3485">
        <v>113.43</v>
      </c>
      <c r="E380" s="3482" t="s">
        <v>21</v>
      </c>
    </row>
    <row r="381" spans="1:5">
      <c r="A381" s="3482" t="s">
        <v>3524</v>
      </c>
      <c r="B381" s="3482"/>
      <c r="C381" s="3484" t="s">
        <v>3412</v>
      </c>
      <c r="D381" s="3485">
        <v>113.43</v>
      </c>
      <c r="E381" s="3482" t="s">
        <v>21</v>
      </c>
    </row>
    <row r="382" spans="1:5">
      <c r="A382" s="3482" t="s">
        <v>3524</v>
      </c>
      <c r="B382" s="3482"/>
      <c r="C382" s="3484" t="s">
        <v>3413</v>
      </c>
      <c r="D382" s="3485">
        <v>159.97999999999999</v>
      </c>
      <c r="E382" s="3482" t="s">
        <v>21</v>
      </c>
    </row>
    <row r="383" spans="1:5">
      <c r="A383" s="3482" t="s">
        <v>3524</v>
      </c>
      <c r="B383" s="3482"/>
      <c r="C383" s="3484" t="s">
        <v>3414</v>
      </c>
      <c r="D383" s="3485">
        <v>250.19</v>
      </c>
      <c r="E383" s="3482" t="s">
        <v>21</v>
      </c>
    </row>
    <row r="384" spans="1:5">
      <c r="A384" s="3482" t="s">
        <v>3524</v>
      </c>
      <c r="B384" s="3482"/>
      <c r="C384" s="3484" t="s">
        <v>3415</v>
      </c>
      <c r="D384" s="3485">
        <v>113.62</v>
      </c>
      <c r="E384" s="3482" t="s">
        <v>21</v>
      </c>
    </row>
    <row r="385" spans="1:5">
      <c r="A385" s="3482" t="s">
        <v>3524</v>
      </c>
      <c r="B385" s="3482"/>
      <c r="C385" s="3484" t="s">
        <v>3416</v>
      </c>
      <c r="D385" s="3485">
        <v>113.62</v>
      </c>
      <c r="E385" s="3482" t="s">
        <v>21</v>
      </c>
    </row>
    <row r="386" spans="1:5">
      <c r="A386" s="3482" t="s">
        <v>3524</v>
      </c>
      <c r="B386" s="3482"/>
      <c r="C386" s="3484" t="s">
        <v>3417</v>
      </c>
      <c r="D386" s="3485">
        <v>109.26</v>
      </c>
      <c r="E386" s="3482" t="s">
        <v>21</v>
      </c>
    </row>
    <row r="387" spans="1:5">
      <c r="A387" s="3482" t="s">
        <v>3524</v>
      </c>
      <c r="B387" s="3482"/>
      <c r="C387" s="3484" t="s">
        <v>3418</v>
      </c>
      <c r="D387" s="3485">
        <v>254.41</v>
      </c>
      <c r="E387" s="3482" t="s">
        <v>21</v>
      </c>
    </row>
    <row r="388" spans="1:5">
      <c r="A388" s="3482" t="s">
        <v>3524</v>
      </c>
      <c r="B388" s="3482"/>
      <c r="C388" s="3484" t="s">
        <v>3419</v>
      </c>
      <c r="D388" s="3485">
        <v>160.16999999999999</v>
      </c>
      <c r="E388" s="3482" t="s">
        <v>21</v>
      </c>
    </row>
    <row r="389" spans="1:5">
      <c r="A389" s="3482" t="s">
        <v>3524</v>
      </c>
      <c r="B389" s="3482"/>
      <c r="C389" s="3484" t="s">
        <v>3420</v>
      </c>
      <c r="D389" s="3485">
        <v>109.26</v>
      </c>
      <c r="E389" s="3482" t="s">
        <v>21</v>
      </c>
    </row>
    <row r="390" spans="1:5">
      <c r="A390" s="3482" t="s">
        <v>3524</v>
      </c>
      <c r="B390" s="3482"/>
      <c r="C390" s="3484" t="s">
        <v>3421</v>
      </c>
      <c r="D390" s="3485">
        <v>113.62</v>
      </c>
      <c r="E390" s="3482" t="s">
        <v>21</v>
      </c>
    </row>
    <row r="391" spans="1:5">
      <c r="A391" s="3482" t="s">
        <v>3524</v>
      </c>
      <c r="B391" s="3482"/>
      <c r="C391" s="3484" t="s">
        <v>3422</v>
      </c>
      <c r="D391" s="3485">
        <v>113.62</v>
      </c>
      <c r="E391" s="3482" t="s">
        <v>21</v>
      </c>
    </row>
    <row r="392" spans="1:5">
      <c r="A392" s="3482" t="s">
        <v>3524</v>
      </c>
      <c r="B392" s="3482"/>
      <c r="C392" s="3484" t="s">
        <v>3423</v>
      </c>
      <c r="D392" s="3485">
        <v>160.16999999999999</v>
      </c>
      <c r="E392" s="3482" t="s">
        <v>21</v>
      </c>
    </row>
    <row r="393" spans="1:5">
      <c r="A393" s="3482" t="s">
        <v>3524</v>
      </c>
      <c r="B393" s="3482"/>
      <c r="C393" s="3484" t="s">
        <v>3424</v>
      </c>
      <c r="D393" s="3485">
        <v>250.02</v>
      </c>
      <c r="E393" s="3482" t="s">
        <v>21</v>
      </c>
    </row>
    <row r="394" spans="1:5">
      <c r="A394" s="3482" t="s">
        <v>3524</v>
      </c>
      <c r="B394" s="3482"/>
      <c r="C394" s="3484" t="s">
        <v>3425</v>
      </c>
      <c r="D394" s="3485">
        <v>113.43</v>
      </c>
      <c r="E394" s="3482" t="s">
        <v>21</v>
      </c>
    </row>
    <row r="395" spans="1:5">
      <c r="A395" s="3482" t="s">
        <v>3524</v>
      </c>
      <c r="B395" s="3482"/>
      <c r="C395" s="3484" t="s">
        <v>3426</v>
      </c>
      <c r="D395" s="3485">
        <v>113.43</v>
      </c>
      <c r="E395" s="3482" t="s">
        <v>21</v>
      </c>
    </row>
    <row r="396" spans="1:5">
      <c r="A396" s="3482" t="s">
        <v>3524</v>
      </c>
      <c r="B396" s="3482"/>
      <c r="C396" s="3484" t="s">
        <v>3427</v>
      </c>
      <c r="D396" s="3485">
        <v>109.21</v>
      </c>
      <c r="E396" s="3482" t="s">
        <v>21</v>
      </c>
    </row>
    <row r="397" spans="1:5">
      <c r="A397" s="3482" t="s">
        <v>3524</v>
      </c>
      <c r="B397" s="3482"/>
      <c r="C397" s="3484" t="s">
        <v>3428</v>
      </c>
      <c r="D397" s="3485">
        <v>254.37</v>
      </c>
      <c r="E397" s="3482" t="s">
        <v>21</v>
      </c>
    </row>
    <row r="398" spans="1:5">
      <c r="A398" s="3482" t="s">
        <v>3524</v>
      </c>
      <c r="B398" s="3482"/>
      <c r="C398" s="3484" t="s">
        <v>3429</v>
      </c>
      <c r="D398" s="3485">
        <v>160.16999999999999</v>
      </c>
      <c r="E398" s="3482" t="s">
        <v>21</v>
      </c>
    </row>
    <row r="399" spans="1:5">
      <c r="A399" s="3482" t="s">
        <v>3524</v>
      </c>
      <c r="B399" s="3482"/>
      <c r="C399" s="3484" t="s">
        <v>3430</v>
      </c>
      <c r="D399" s="3485">
        <v>109.26</v>
      </c>
      <c r="E399" s="3482" t="s">
        <v>21</v>
      </c>
    </row>
    <row r="400" spans="1:5">
      <c r="A400" s="3482" t="s">
        <v>3524</v>
      </c>
      <c r="B400" s="3482"/>
      <c r="C400" s="3484" t="s">
        <v>3431</v>
      </c>
      <c r="D400" s="3485">
        <v>113.62</v>
      </c>
      <c r="E400" s="3482" t="s">
        <v>21</v>
      </c>
    </row>
    <row r="401" spans="1:5">
      <c r="A401" s="3482" t="s">
        <v>3524</v>
      </c>
      <c r="B401" s="3482"/>
      <c r="C401" s="3484" t="s">
        <v>3432</v>
      </c>
      <c r="D401" s="3485">
        <v>113.62</v>
      </c>
      <c r="E401" s="3482" t="s">
        <v>21</v>
      </c>
    </row>
    <row r="402" spans="1:5">
      <c r="A402" s="3482" t="s">
        <v>3524</v>
      </c>
      <c r="B402" s="3482"/>
      <c r="C402" s="3484" t="s">
        <v>3433</v>
      </c>
      <c r="D402" s="3485">
        <v>160.16999999999999</v>
      </c>
      <c r="E402" s="3482" t="s">
        <v>21</v>
      </c>
    </row>
    <row r="403" spans="1:5">
      <c r="A403" s="3482" t="s">
        <v>3524</v>
      </c>
      <c r="B403" s="3482"/>
      <c r="C403" s="3484" t="s">
        <v>3434</v>
      </c>
      <c r="D403" s="3485">
        <v>250.02</v>
      </c>
      <c r="E403" s="3482" t="s">
        <v>21</v>
      </c>
    </row>
    <row r="404" spans="1:5">
      <c r="A404" s="3482" t="s">
        <v>3524</v>
      </c>
      <c r="B404" s="3482"/>
      <c r="C404" s="3484" t="s">
        <v>3435</v>
      </c>
      <c r="D404" s="3485">
        <v>113.43</v>
      </c>
      <c r="E404" s="3482" t="s">
        <v>21</v>
      </c>
    </row>
    <row r="405" spans="1:5">
      <c r="A405" s="3482" t="s">
        <v>3524</v>
      </c>
      <c r="B405" s="3482"/>
      <c r="C405" s="3484" t="s">
        <v>3436</v>
      </c>
      <c r="D405" s="3485">
        <v>113.43</v>
      </c>
      <c r="E405" s="3482" t="s">
        <v>21</v>
      </c>
    </row>
    <row r="406" spans="1:5">
      <c r="A406" s="3482" t="s">
        <v>3524</v>
      </c>
      <c r="B406" s="3482"/>
      <c r="C406" s="3484" t="s">
        <v>3437</v>
      </c>
      <c r="D406" s="3485">
        <v>109.21</v>
      </c>
      <c r="E406" s="3482" t="s">
        <v>21</v>
      </c>
    </row>
    <row r="407" spans="1:5">
      <c r="A407" s="3482" t="s">
        <v>3524</v>
      </c>
      <c r="B407" s="3482"/>
      <c r="C407" s="3484" t="s">
        <v>3438</v>
      </c>
      <c r="D407" s="3485">
        <v>254.37</v>
      </c>
      <c r="E407" s="3482" t="s">
        <v>21</v>
      </c>
    </row>
    <row r="408" spans="1:5">
      <c r="A408" s="3482" t="s">
        <v>3524</v>
      </c>
      <c r="B408" s="3482"/>
      <c r="C408" s="3484" t="s">
        <v>3439</v>
      </c>
      <c r="D408" s="3485">
        <v>254.37</v>
      </c>
      <c r="E408" s="3482" t="s">
        <v>21</v>
      </c>
    </row>
    <row r="409" spans="1:5">
      <c r="A409" s="3482" t="s">
        <v>3524</v>
      </c>
      <c r="B409" s="3482"/>
      <c r="C409" s="3484" t="s">
        <v>3440</v>
      </c>
      <c r="D409" s="3485">
        <v>109.21</v>
      </c>
      <c r="E409" s="3482" t="s">
        <v>21</v>
      </c>
    </row>
    <row r="410" spans="1:5">
      <c r="A410" s="3482" t="s">
        <v>3524</v>
      </c>
      <c r="B410" s="3482"/>
      <c r="C410" s="3484" t="s">
        <v>3441</v>
      </c>
      <c r="D410" s="3485">
        <v>113.43</v>
      </c>
      <c r="E410" s="3482" t="s">
        <v>21</v>
      </c>
    </row>
    <row r="411" spans="1:5">
      <c r="A411" s="3482" t="s">
        <v>3524</v>
      </c>
      <c r="B411" s="3482"/>
      <c r="C411" s="3484" t="s">
        <v>3442</v>
      </c>
      <c r="D411" s="3485">
        <v>111.02</v>
      </c>
      <c r="E411" s="3482" t="s">
        <v>21</v>
      </c>
    </row>
    <row r="412" spans="1:5">
      <c r="A412" s="3482" t="s">
        <v>3524</v>
      </c>
      <c r="B412" s="3482"/>
      <c r="C412" s="3484" t="s">
        <v>3443</v>
      </c>
      <c r="D412" s="3485">
        <v>155.02000000000001</v>
      </c>
      <c r="E412" s="3482" t="s">
        <v>21</v>
      </c>
    </row>
    <row r="413" spans="1:5">
      <c r="A413" s="3482" t="s">
        <v>3524</v>
      </c>
      <c r="B413" s="3482"/>
      <c r="C413" s="3484" t="s">
        <v>3444</v>
      </c>
      <c r="D413" s="3485">
        <v>250.19</v>
      </c>
      <c r="E413" s="3482" t="s">
        <v>21</v>
      </c>
    </row>
    <row r="414" spans="1:5">
      <c r="A414" s="3482" t="s">
        <v>3524</v>
      </c>
      <c r="B414" s="3482"/>
      <c r="C414" s="3484" t="s">
        <v>3445</v>
      </c>
      <c r="D414" s="3485">
        <v>113.62</v>
      </c>
      <c r="E414" s="3482" t="s">
        <v>21</v>
      </c>
    </row>
    <row r="415" spans="1:5">
      <c r="A415" s="3482" t="s">
        <v>3524</v>
      </c>
      <c r="B415" s="3482"/>
      <c r="C415" s="3484" t="s">
        <v>3446</v>
      </c>
      <c r="D415" s="3485">
        <v>113.62</v>
      </c>
      <c r="E415" s="3482" t="s">
        <v>21</v>
      </c>
    </row>
    <row r="416" spans="1:5">
      <c r="A416" s="3482" t="s">
        <v>3524</v>
      </c>
      <c r="B416" s="3482"/>
      <c r="C416" s="3484" t="s">
        <v>3447</v>
      </c>
      <c r="D416" s="3485">
        <v>109.26</v>
      </c>
      <c r="E416" s="3482" t="s">
        <v>21</v>
      </c>
    </row>
    <row r="417" spans="1:5">
      <c r="A417" s="3482" t="s">
        <v>3524</v>
      </c>
      <c r="B417" s="3482"/>
      <c r="C417" s="3484" t="s">
        <v>3448</v>
      </c>
      <c r="D417" s="3485">
        <v>153.72</v>
      </c>
      <c r="E417" s="3482" t="s">
        <v>21</v>
      </c>
    </row>
    <row r="418" spans="1:5">
      <c r="A418" s="3482" t="s">
        <v>3524</v>
      </c>
      <c r="B418" s="3482"/>
      <c r="C418" s="3484" t="s">
        <v>3449</v>
      </c>
      <c r="D418" s="3485">
        <v>160.16999999999999</v>
      </c>
      <c r="E418" s="3482" t="s">
        <v>21</v>
      </c>
    </row>
    <row r="419" spans="1:5">
      <c r="A419" s="3482" t="s">
        <v>3524</v>
      </c>
      <c r="B419" s="3482"/>
      <c r="C419" s="3484" t="s">
        <v>3450</v>
      </c>
      <c r="D419" s="3485">
        <v>109.26</v>
      </c>
      <c r="E419" s="3482" t="s">
        <v>21</v>
      </c>
    </row>
    <row r="420" spans="1:5">
      <c r="A420" s="3482" t="s">
        <v>3524</v>
      </c>
      <c r="B420" s="3482"/>
      <c r="C420" s="3484" t="s">
        <v>3451</v>
      </c>
      <c r="D420" s="3485">
        <v>113.62</v>
      </c>
      <c r="E420" s="3482" t="s">
        <v>21</v>
      </c>
    </row>
    <row r="421" spans="1:5">
      <c r="A421" s="3482" t="s">
        <v>3524</v>
      </c>
      <c r="B421" s="3482"/>
      <c r="C421" s="3484" t="s">
        <v>3452</v>
      </c>
      <c r="D421" s="3485">
        <v>113.62</v>
      </c>
      <c r="E421" s="3482" t="s">
        <v>21</v>
      </c>
    </row>
    <row r="422" spans="1:5">
      <c r="A422" s="3482" t="s">
        <v>3524</v>
      </c>
      <c r="B422" s="3482"/>
      <c r="C422" s="3484" t="s">
        <v>3453</v>
      </c>
      <c r="D422" s="3485">
        <v>160.16999999999999</v>
      </c>
      <c r="E422" s="3482" t="s">
        <v>21</v>
      </c>
    </row>
    <row r="423" spans="1:5">
      <c r="A423" s="3482" t="s">
        <v>3524</v>
      </c>
      <c r="B423" s="3482"/>
      <c r="C423" s="3484" t="s">
        <v>3454</v>
      </c>
      <c r="D423" s="3485">
        <v>250.02</v>
      </c>
      <c r="E423" s="3482" t="s">
        <v>21</v>
      </c>
    </row>
    <row r="424" spans="1:5">
      <c r="A424" s="3482" t="s">
        <v>3524</v>
      </c>
      <c r="B424" s="3482"/>
      <c r="C424" s="3484" t="s">
        <v>3455</v>
      </c>
      <c r="D424" s="3485">
        <v>113.43</v>
      </c>
      <c r="E424" s="3482" t="s">
        <v>21</v>
      </c>
    </row>
    <row r="425" spans="1:5">
      <c r="A425" s="3482" t="s">
        <v>3524</v>
      </c>
      <c r="B425" s="3482"/>
      <c r="C425" s="3484" t="s">
        <v>3456</v>
      </c>
      <c r="D425" s="3485">
        <v>113.43</v>
      </c>
      <c r="E425" s="3482" t="s">
        <v>21</v>
      </c>
    </row>
    <row r="426" spans="1:5">
      <c r="A426" s="3482" t="s">
        <v>3524</v>
      </c>
      <c r="B426" s="3482"/>
      <c r="C426" s="3484" t="s">
        <v>3457</v>
      </c>
      <c r="D426" s="3485">
        <v>109.21</v>
      </c>
      <c r="E426" s="3482" t="s">
        <v>21</v>
      </c>
    </row>
    <row r="427" spans="1:5">
      <c r="A427" s="3482" t="s">
        <v>3524</v>
      </c>
      <c r="B427" s="3482"/>
      <c r="C427" s="3484" t="s">
        <v>3458</v>
      </c>
      <c r="D427" s="3485">
        <v>254.37</v>
      </c>
      <c r="E427" s="3482" t="s">
        <v>21</v>
      </c>
    </row>
  </sheetData>
  <autoFilter ref="A2:G427"/>
  <mergeCells count="1">
    <mergeCell ref="A1:E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8" t="s">
        <v>1131</v>
      </c>
      <c r="B2" s="3578"/>
      <c r="C2" s="3578"/>
      <c r="D2" s="796" t="s">
        <v>1107</v>
      </c>
      <c r="E2" s="1639" t="s">
        <v>1108</v>
      </c>
      <c r="F2" s="2659"/>
      <c r="G2" s="2650"/>
      <c r="H2" s="2651"/>
      <c r="I2" s="2325" t="s">
        <v>1132</v>
      </c>
      <c r="J2" s="2659"/>
      <c r="K2" s="2659"/>
      <c r="L2" s="2659"/>
      <c r="M2" s="2659"/>
      <c r="N2" s="2661"/>
      <c r="O2" s="2659"/>
      <c r="P2" s="2659"/>
    </row>
    <row r="3" spans="1:16" ht="15.75" thickBot="1">
      <c r="A3" s="3579" t="s">
        <v>1105</v>
      </c>
      <c r="B3" s="3579"/>
      <c r="C3" s="3579"/>
      <c r="D3" s="43">
        <f>'数据-基础表'!AY6</f>
        <v>0</v>
      </c>
      <c r="E3" s="43">
        <f>'数据-基础表'!AZ5</f>
        <v>67463.599999999977</v>
      </c>
      <c r="F3" s="2659"/>
      <c r="G3" s="1145"/>
      <c r="H3" s="1026" t="s">
        <v>1106</v>
      </c>
      <c r="I3" s="855" t="e">
        <f>ROUND('数据-基础表'!B3/'数据-基础表'!A3,2)</f>
        <v>#DIV/0!</v>
      </c>
      <c r="J3" s="2659"/>
      <c r="K3" s="2659"/>
      <c r="L3" s="2659"/>
      <c r="M3" s="2659"/>
      <c r="N3" s="2661"/>
      <c r="O3" s="2659"/>
      <c r="P3" s="2659"/>
    </row>
    <row r="4" spans="1:16" ht="15">
      <c r="A4" s="3580"/>
      <c r="B4" s="3581"/>
      <c r="C4" s="358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83" t="s">
        <v>1110</v>
      </c>
      <c r="C5" s="358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83" t="s">
        <v>1111</v>
      </c>
      <c r="C6" s="3583"/>
      <c r="D6" s="45">
        <f>ROUND($D$3*E6/$E$3,2)</f>
        <v>0</v>
      </c>
      <c r="E6" s="46">
        <f>E3-E5</f>
        <v>67463.599999999977</v>
      </c>
      <c r="F6" s="2659"/>
      <c r="G6" s="2653" t="s">
        <v>1112</v>
      </c>
      <c r="H6" s="1146" t="s">
        <v>1113</v>
      </c>
      <c r="I6" s="2654" t="e">
        <f>ROUND(F31/D31,2)</f>
        <v>#DIV/0!</v>
      </c>
      <c r="J6" s="2659"/>
      <c r="K6" s="2659"/>
      <c r="L6" s="2659"/>
      <c r="M6" s="2659"/>
      <c r="N6" s="2659"/>
      <c r="O6" s="2659"/>
      <c r="P6" s="2659"/>
    </row>
    <row r="7" spans="1:16" ht="15.75" thickBot="1">
      <c r="A7" s="3575"/>
      <c r="B7" s="3576"/>
      <c r="C7" s="357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67463.599999999977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67463.599999999977</v>
      </c>
      <c r="F16" s="2659"/>
      <c r="G16" s="2660"/>
      <c r="H16" s="1648" t="s">
        <v>1135</v>
      </c>
      <c r="I16" s="1649"/>
      <c r="J16" s="1139"/>
      <c r="K16" s="3572" t="s">
        <v>1135</v>
      </c>
      <c r="L16" s="3573"/>
      <c r="M16" s="3573"/>
      <c r="N16" s="3573"/>
      <c r="O16" s="3573"/>
      <c r="P16" s="3574"/>
    </row>
    <row r="17" spans="1:19" ht="15">
      <c r="A17" s="1650" t="s">
        <v>1136</v>
      </c>
      <c r="B17" s="1651" t="s">
        <v>1137</v>
      </c>
      <c r="C17" s="1652" t="s">
        <v>1138</v>
      </c>
      <c r="D17" s="1653" t="s">
        <v>1126</v>
      </c>
      <c r="E17" s="1654" t="s">
        <v>1127</v>
      </c>
      <c r="F17" s="1655"/>
      <c r="G17" s="1656"/>
      <c r="H17" s="1657" t="s">
        <v>1139</v>
      </c>
      <c r="I17" s="1658" t="s">
        <v>1124</v>
      </c>
      <c r="J17" s="1139"/>
      <c r="K17" s="3569" t="s">
        <v>1140</v>
      </c>
      <c r="L17" s="3570"/>
      <c r="M17" s="3571"/>
      <c r="N17" s="3569" t="s">
        <v>1141</v>
      </c>
      <c r="O17" s="3570"/>
      <c r="P17" s="357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3536</v>
      </c>
      <c r="D19" s="45">
        <f>ROUND($D$3*E19/$E$3,2)</f>
        <v>0</v>
      </c>
      <c r="E19" s="53">
        <f t="shared" ref="E19:E26" si="1">SUM(F19:G19)</f>
        <v>57573.479999999974</v>
      </c>
      <c r="F19" s="2795">
        <f>'数据-基础表'!I5</f>
        <v>57573.479999999974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57573.479999999974</v>
      </c>
    </row>
    <row r="20" spans="1:19">
      <c r="A20" s="1670"/>
      <c r="B20" s="47" t="s">
        <v>1153</v>
      </c>
      <c r="C20" s="3418" t="s">
        <v>3537</v>
      </c>
      <c r="D20" s="45">
        <f t="shared" ref="D20:D26" si="6">ROUND($D$3*E20/$E$3,2)</f>
        <v>0</v>
      </c>
      <c r="E20" s="53">
        <f t="shared" si="1"/>
        <v>9890.119999999999</v>
      </c>
      <c r="F20" s="2795">
        <f>'数据-基础表'!K5</f>
        <v>9890.119999999999</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9890.119999999999</v>
      </c>
    </row>
    <row r="21" spans="1:19">
      <c r="A21" s="1670"/>
      <c r="B21" s="47" t="s">
        <v>1153</v>
      </c>
      <c r="C21" s="3418" t="s">
        <v>3538</v>
      </c>
      <c r="D21" s="45">
        <f t="shared" si="6"/>
        <v>0</v>
      </c>
      <c r="E21" s="53">
        <f t="shared" si="1"/>
        <v>0</v>
      </c>
      <c r="F21" s="2795">
        <f>'数据-基础表'!M5</f>
        <v>0</v>
      </c>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67463.599999999977</v>
      </c>
      <c r="F27" s="1140">
        <f>IF(SUM(F19:F26)=E8,SUM(F19:F26),"地上面积有误")</f>
        <v>67463.599999999977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67463.599999999977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67463.599999999977</v>
      </c>
      <c r="F31" s="677">
        <f>F27+F30</f>
        <v>67463.599999999977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3540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60306</v>
      </c>
      <c r="F6" s="64">
        <f>SUMIF(项目基本情况!C$12:I$12,C6,项目基本情况!C$15:I$15)</f>
        <v>42.1</v>
      </c>
      <c r="G6" s="65">
        <f>IF(ISERROR(ROUND(POWER(1+H6,D6-F6)*(POWER(1+H6,F6)-1)/(POWER(1+H6,D6)-1),3)),0,ROUND(POWER(1+H6,D6-F6)*(POWER(1+H6,F6)-1)/(POWER(1+H6,D6)-1),3))</f>
        <v>0.95499999999999996</v>
      </c>
      <c r="H6" s="732">
        <v>0.05</v>
      </c>
      <c r="I6" s="732">
        <v>5.5E-2</v>
      </c>
      <c r="J6" s="66">
        <v>7.4999999999999997E-2</v>
      </c>
      <c r="K6" s="1030">
        <f>SUMIF('数据-汇总表'!C$19:C$33,A6,'数据-汇总表'!E$19:E$33)</f>
        <v>57573.479999999974</v>
      </c>
      <c r="L6" s="733">
        <v>3500</v>
      </c>
      <c r="M6" s="67">
        <f t="shared" ref="M6:M14" si="0">ROUND(K6*L6/10000,0)</f>
        <v>20151</v>
      </c>
      <c r="N6" s="731">
        <f>ROUND(1-(2023-2019)/60,2)</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9">
        <v>5</v>
      </c>
      <c r="V6" s="70">
        <v>0.03</v>
      </c>
      <c r="W6" s="70">
        <v>0.1</v>
      </c>
      <c r="X6" s="1040"/>
      <c r="Y6" s="71">
        <f>N6</f>
        <v>0.93</v>
      </c>
      <c r="Z6" s="72"/>
      <c r="AA6" s="66"/>
      <c r="AB6" s="66"/>
      <c r="AC6" s="1040"/>
      <c r="AD6" s="73"/>
      <c r="AE6" s="1041">
        <f ca="1">IF(AN6="",0,SUMIF(INDIRECT("'"&amp;AN6&amp;"'"&amp;"!E:E"),$AE$5,INDIRECT("'"&amp;AN6&amp;"'"&amp;"!F:F")))</f>
        <v>42.1</v>
      </c>
      <c r="AF6" s="1348"/>
      <c r="AG6" s="138">
        <f>IF(AF6="",0,AE6-AF6)</f>
        <v>0</v>
      </c>
      <c r="AH6" s="74"/>
      <c r="AI6" s="76">
        <v>365</v>
      </c>
      <c r="AJ6" s="77"/>
      <c r="AK6" s="78">
        <v>0.01</v>
      </c>
      <c r="AL6" s="79">
        <v>1.5E-3</v>
      </c>
      <c r="AM6" s="80">
        <v>0.01</v>
      </c>
      <c r="AN6" s="1715" t="s">
        <v>3541</v>
      </c>
      <c r="AO6" s="52">
        <f ca="1">SUMIF(INDIRECT("'"&amp;AN6&amp;"'"&amp;"!A:A"),"总价",INDIRECT("'"&amp;AN6&amp;"'"&amp;"!B:B"))</f>
        <v>189475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56653</v>
      </c>
      <c r="F7" s="64">
        <f>SUMIF(项目基本情况!C$12:I$12,C7,项目基本情况!C$15:I$15)</f>
        <v>32.1</v>
      </c>
      <c r="G7" s="65">
        <f t="shared" ref="G7:G11" si="2">IF(ISERROR(ROUND(POWER(1+H7,D7-F7)*(POWER(1+H7,F7)-1)/(POWER(1+H7,D7)-1),3)),0,ROUND(POWER(1+H7,D7-F7)*(POWER(1+H7,F7)-1)/(POWER(1+H7,D7)-1),3))</f>
        <v>0.92200000000000004</v>
      </c>
      <c r="H7" s="732">
        <v>0.05</v>
      </c>
      <c r="I7" s="732">
        <v>5.5E-2</v>
      </c>
      <c r="J7" s="66">
        <v>7.4999999999999997E-2</v>
      </c>
      <c r="K7" s="1030">
        <f>SUMIF('数据-汇总表'!C$19:C$33,A7,'数据-汇总表'!E$19:E$33)</f>
        <v>9890.119999999999</v>
      </c>
      <c r="L7" s="733">
        <v>3500</v>
      </c>
      <c r="M7" s="67">
        <f t="shared" si="0"/>
        <v>3462</v>
      </c>
      <c r="N7" s="731">
        <f>N6</f>
        <v>0.93</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v>6.5</v>
      </c>
      <c r="V7" s="70">
        <v>0.03</v>
      </c>
      <c r="W7" s="70">
        <v>0.1</v>
      </c>
      <c r="X7" s="1040"/>
      <c r="Y7" s="71">
        <f>N7</f>
        <v>0.93</v>
      </c>
      <c r="Z7" s="72"/>
      <c r="AA7" s="66"/>
      <c r="AB7" s="66"/>
      <c r="AC7" s="1040"/>
      <c r="AD7" s="73"/>
      <c r="AE7" s="1041">
        <f t="shared" ref="AE7:AE13" ca="1" si="6">IF(AN7="",0,SUMIF(INDIRECT("'"&amp;AN7&amp;"'"&amp;"!E:E"),$AE$5,INDIRECT("'"&amp;AN7&amp;"'"&amp;"!F:F")))</f>
        <v>32.1</v>
      </c>
      <c r="AF7" s="1348"/>
      <c r="AG7" s="138">
        <f t="shared" ref="AG7:AG13" si="7">IF(AF7="",0,AE7-AF7)</f>
        <v>0</v>
      </c>
      <c r="AH7" s="74"/>
      <c r="AI7" s="76">
        <v>365</v>
      </c>
      <c r="AJ7" s="77"/>
      <c r="AK7" s="78">
        <f>AK6</f>
        <v>0.01</v>
      </c>
      <c r="AL7" s="79">
        <f>AL6</f>
        <v>1.5E-3</v>
      </c>
      <c r="AM7" s="80">
        <f>AM6</f>
        <v>0.01</v>
      </c>
      <c r="AN7" s="1715" t="s">
        <v>3545</v>
      </c>
      <c r="AO7" s="52">
        <f t="shared" ref="AO7:AO13" ca="1" si="8">SUMIF(INDIRECT("'"&amp;AN7&amp;"'"&amp;"!A:A"),"总价",INDIRECT("'"&amp;AN7&amp;"'"&amp;"!B:B"))</f>
        <v>36080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公共服务设施</v>
      </c>
      <c r="B8" s="1713" t="str">
        <f t="shared" si="1"/>
        <v>经营性</v>
      </c>
      <c r="C8" s="1714" t="s">
        <v>21</v>
      </c>
      <c r="D8" s="858">
        <f>SUMIF(项目基本情况!C$12:I$12,C8,项目基本情况!C$14:I$14)</f>
        <v>50</v>
      </c>
      <c r="E8" s="857">
        <f>IF(B8="","",SUMIF(项目基本情况!C$12:H$12,C8,项目基本情况!C$13:H$13))</f>
        <v>60306</v>
      </c>
      <c r="F8" s="64">
        <f>SUMIF(项目基本情况!C$12:I$12,C8,项目基本情况!C$15:I$15)</f>
        <v>42.1</v>
      </c>
      <c r="G8" s="65">
        <f t="shared" si="2"/>
        <v>0.94799999999999995</v>
      </c>
      <c r="H8" s="732">
        <v>4.4999999999999998E-2</v>
      </c>
      <c r="I8" s="732">
        <v>0.05</v>
      </c>
      <c r="J8" s="66">
        <v>7.4999999999999997E-2</v>
      </c>
      <c r="K8" s="1030">
        <f>SUMIF('数据-汇总表'!C$19:C$33,A8,'数据-汇总表'!E$19:E$33)</f>
        <v>0</v>
      </c>
      <c r="L8" s="733">
        <v>3500</v>
      </c>
      <c r="M8" s="67">
        <f>ROUND(K8*L8/10000,0)</f>
        <v>0</v>
      </c>
      <c r="N8" s="731">
        <f>N6</f>
        <v>0.93</v>
      </c>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v>
      </c>
      <c r="H16" s="90">
        <f>ROUND(SUMPRODUCT(H6:H13,K6:K13)/SUMPRODUCT((H6:H13&gt;0)*(K6:K13)),3)</f>
        <v>0.05</v>
      </c>
      <c r="I16" s="91"/>
      <c r="J16" s="91"/>
      <c r="K16" s="92">
        <f>SUM(K6:K15)</f>
        <v>67463.599999999977</v>
      </c>
      <c r="L16" s="93">
        <f>ROUND(M16*10000/SUM(K6:K14),0)</f>
        <v>3500</v>
      </c>
      <c r="M16" s="93">
        <f>SUM(M6:M14)</f>
        <v>23613</v>
      </c>
      <c r="N16" s="94">
        <f>ROUND(SUMPRODUCT(M6:M14,N6:N14)/M16,3)</f>
        <v>0.93</v>
      </c>
      <c r="O16" s="93">
        <f>SUM(O6:O14)</f>
        <v>0</v>
      </c>
      <c r="P16" s="93">
        <f>SUM(P6:P14)</f>
        <v>0</v>
      </c>
      <c r="Q16" s="95">
        <f>ROUND(SUMPRODUCT(Q6:Q13,K6:K13)/SUMPRODUCT((Q6:Q13&gt;0)*(K6:K13)),2)</f>
        <v>0.16</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1349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3539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4" t="s">
        <v>2286</v>
      </c>
      <c r="B1" s="3585"/>
      <c r="C1" s="3585"/>
      <c r="D1" s="3585"/>
      <c r="E1" s="3585"/>
      <c r="F1" s="3585"/>
      <c r="G1" s="358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6" sqref="D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67463.599999999977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268433</v>
      </c>
      <c r="C5" s="2512">
        <f ca="1">IF(B5=D14,结果表!H102,ROUND(B5*10000/$B$1,0))</f>
        <v>39789</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2"/>
      <c r="F10" s="3446" t="s">
        <v>3369</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'结果表(商业)'!B118</f>
        <v>9890.119999999999</v>
      </c>
      <c r="C14" s="2518"/>
      <c r="D14" s="2518">
        <f ca="1">'结果表(商业)'!H118</f>
        <v>44103</v>
      </c>
      <c r="E14" s="2518">
        <f ca="1">ROUND(D14*10000/B14,0)</f>
        <v>44593</v>
      </c>
      <c r="F14" s="2518" t="e">
        <f ca="1">ROUND(D14*10000/C14,0)</f>
        <v>#DIV/0!</v>
      </c>
      <c r="G14" s="2518"/>
      <c r="H14" s="2518"/>
      <c r="I14" s="2518"/>
      <c r="J14" s="2687"/>
      <c r="K14" s="2688"/>
    </row>
    <row r="15" spans="1:11" ht="16.5">
      <c r="A15" s="2517" t="s">
        <v>649</v>
      </c>
      <c r="B15" s="2519">
        <f>'结果表(办公)'!B118</f>
        <v>57573.479999999974</v>
      </c>
      <c r="C15" s="2519"/>
      <c r="D15" s="2519">
        <f ca="1">'结果表(办公)'!H118</f>
        <v>224330</v>
      </c>
      <c r="E15" s="2518">
        <f t="shared" ref="E15:E23" ca="1" si="0">ROUND(D15*10000/B15,0)</f>
        <v>38964</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3" width="12.625" style="1753" customWidth="1"/>
    <col min="4" max="4" width="14.37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3562</v>
      </c>
      <c r="D4" s="1756" t="s">
        <v>3563</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31" t="s">
        <v>1269</v>
      </c>
      <c r="F5" s="1757"/>
      <c r="G5" s="1757"/>
      <c r="H5" s="1757"/>
      <c r="I5" s="1373"/>
    </row>
    <row r="6" spans="1:12" ht="12.75">
      <c r="A6" s="3600"/>
      <c r="B6" s="3587"/>
      <c r="C6" s="3604"/>
      <c r="D6" s="3623"/>
      <c r="E6" s="131" t="s">
        <v>1270</v>
      </c>
      <c r="F6" s="1757"/>
      <c r="G6" s="1757"/>
      <c r="H6" s="1757"/>
      <c r="I6" s="1373"/>
    </row>
    <row r="7" spans="1:12" ht="12.75">
      <c r="A7" s="3600"/>
      <c r="B7" s="3587"/>
      <c r="C7" s="3605"/>
      <c r="D7" s="3623"/>
      <c r="E7" s="131" t="s">
        <v>1271</v>
      </c>
      <c r="F7" s="1757"/>
      <c r="G7" s="1757"/>
      <c r="H7" s="1757"/>
      <c r="I7" s="1373"/>
    </row>
    <row r="8" spans="1:12" ht="12.75">
      <c r="A8" s="3600" t="s">
        <v>1272</v>
      </c>
      <c r="B8" s="3587">
        <v>15</v>
      </c>
      <c r="C8" s="3603"/>
      <c r="D8" s="3623"/>
      <c r="E8" s="131" t="s">
        <v>1273</v>
      </c>
      <c r="F8" s="1757"/>
      <c r="G8" s="1757"/>
      <c r="H8" s="1757"/>
      <c r="I8" s="1373"/>
    </row>
    <row r="9" spans="1:12" ht="12.75">
      <c r="A9" s="3600"/>
      <c r="B9" s="3587"/>
      <c r="C9" s="3605"/>
      <c r="D9" s="3623"/>
      <c r="E9" s="131" t="s">
        <v>1274</v>
      </c>
      <c r="F9" s="1757"/>
      <c r="G9" s="1757"/>
      <c r="H9" s="1757"/>
      <c r="I9" s="1373"/>
    </row>
    <row r="10" spans="1:12" ht="12.75">
      <c r="A10" s="3600" t="s">
        <v>1275</v>
      </c>
      <c r="B10" s="3587">
        <v>15</v>
      </c>
      <c r="C10" s="3603"/>
      <c r="D10" s="3623"/>
      <c r="E10" s="131" t="s">
        <v>1276</v>
      </c>
      <c r="F10" s="1757"/>
      <c r="G10" s="1757"/>
      <c r="H10" s="1757"/>
      <c r="I10" s="1373"/>
    </row>
    <row r="11" spans="1:12" ht="12.75">
      <c r="A11" s="3600"/>
      <c r="B11" s="3587"/>
      <c r="C11" s="3605"/>
      <c r="D11" s="3623"/>
      <c r="E11" s="131" t="s">
        <v>1277</v>
      </c>
      <c r="F11" s="1757"/>
      <c r="G11" s="1757"/>
      <c r="H11" s="1757"/>
      <c r="I11" s="1373"/>
    </row>
    <row r="12" spans="1:12" ht="12.75">
      <c r="A12" s="3600" t="s">
        <v>1278</v>
      </c>
      <c r="B12" s="3587">
        <v>15</v>
      </c>
      <c r="C12" s="3603"/>
      <c r="D12" s="3623"/>
      <c r="E12" s="131" t="s">
        <v>1279</v>
      </c>
      <c r="F12" s="1757"/>
      <c r="G12" s="1757"/>
      <c r="H12" s="1757"/>
      <c r="I12" s="1373"/>
    </row>
    <row r="13" spans="1:12" ht="12.75">
      <c r="A13" s="3600"/>
      <c r="B13" s="3587"/>
      <c r="C13" s="3605"/>
      <c r="D13" s="3623"/>
      <c r="E13" s="131" t="s">
        <v>1280</v>
      </c>
      <c r="F13" s="1757"/>
      <c r="G13" s="1757"/>
      <c r="H13" s="1757"/>
      <c r="I13" s="1373"/>
    </row>
    <row r="14" spans="1:12" ht="12.75">
      <c r="A14" s="3600" t="s">
        <v>1281</v>
      </c>
      <c r="B14" s="3587">
        <v>30</v>
      </c>
      <c r="C14" s="3603">
        <v>4</v>
      </c>
      <c r="D14" s="3623">
        <v>6</v>
      </c>
      <c r="E14" s="131" t="s">
        <v>1282</v>
      </c>
      <c r="F14" s="1757"/>
      <c r="G14" s="1757"/>
      <c r="H14" s="1757"/>
      <c r="I14" s="1373"/>
    </row>
    <row r="15" spans="1:12" ht="12.75">
      <c r="A15" s="3600"/>
      <c r="B15" s="3587"/>
      <c r="C15" s="3604"/>
      <c r="D15" s="3623"/>
      <c r="E15" s="131" t="s">
        <v>1283</v>
      </c>
      <c r="F15" s="1757"/>
      <c r="G15" s="1757"/>
      <c r="H15" s="1757"/>
      <c r="I15" s="1373"/>
    </row>
    <row r="16" spans="1:12" ht="12.75">
      <c r="A16" s="3600"/>
      <c r="B16" s="3587"/>
      <c r="C16" s="3605"/>
      <c r="D16" s="362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10" t="s">
        <v>2131</v>
      </c>
      <c r="F18" s="3611"/>
      <c r="G18" s="3611"/>
      <c r="H18" s="3611"/>
      <c r="I18" s="3611"/>
      <c r="K18" s="302" t="s">
        <v>1289</v>
      </c>
      <c r="L18" s="302">
        <f>IF(C1="",'数据-汇总表'!E3,SUMIF(项目类型,C1,'数据-汇总表'!E17:E26)+SUMIF(项目类型,C1,'数据-汇总表'!I17:I26))</f>
        <v>67463.599999999977</v>
      </c>
      <c r="M18" s="302">
        <f>IF(C1="",'数据-汇总表'!E3,SUMIF(项目类型,C1,'数据-汇总表'!E17:E26))</f>
        <v>67463.599999999977</v>
      </c>
    </row>
    <row r="19" spans="1:36" ht="15">
      <c r="A19" s="1761" t="s">
        <v>1290</v>
      </c>
      <c r="B19" s="1762" t="s">
        <v>1291</v>
      </c>
      <c r="C19" s="134">
        <f ca="1">SUMIF(INDIRECT("'"&amp;C4&amp;"'"&amp;"!A:A"),结果表!B19,INDIRECT("'"&amp;C4&amp;"'"&amp;"!B:B"))</f>
        <v>171528</v>
      </c>
      <c r="D19" s="135">
        <f ca="1">SUMIF(INDIRECT("'"&amp;D4&amp;"'"&amp;"!A:A"),结果表!B19,INDIRECT("'"&amp;D4&amp;"'"&amp;"!B:B"))</f>
        <v>225555</v>
      </c>
      <c r="E19" s="1761" t="s">
        <v>1292</v>
      </c>
      <c r="F19" s="1762" t="s">
        <v>1291</v>
      </c>
      <c r="G19" s="136">
        <f ca="1">ROUND(C19*$C$18+D19*$D$18,0)</f>
        <v>203944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25425</v>
      </c>
      <c r="D20" s="138">
        <f ca="1">SUMIF(INDIRECT("'"&amp;D4&amp;"'"&amp;"!A:A"),结果表!B20,INDIRECT("'"&amp;D4&amp;"'"&amp;"!B:B"))</f>
        <v>33434</v>
      </c>
      <c r="E20" s="1764"/>
      <c r="F20" s="1026" t="s">
        <v>1295</v>
      </c>
      <c r="G20" s="139">
        <f ca="1">ROUND(C20*$C$18+D20*$D$18,0)</f>
        <v>30230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0.31497481460752774</v>
      </c>
      <c r="E22" s="129"/>
      <c r="F22" s="129"/>
      <c r="G22" s="129"/>
      <c r="H22" s="129"/>
      <c r="I22" s="129"/>
    </row>
    <row r="23" spans="1:36" ht="13.5" thickBot="1">
      <c r="A23" s="1747"/>
      <c r="B23" s="1747"/>
      <c r="C23" s="1747"/>
      <c r="D23" s="1747"/>
      <c r="E23" s="129"/>
      <c r="F23" s="129"/>
      <c r="G23" s="129"/>
      <c r="H23" s="129"/>
      <c r="I23" s="129"/>
    </row>
    <row r="24" spans="1:36" ht="14.25">
      <c r="A24" s="3594" t="s">
        <v>1299</v>
      </c>
      <c r="B24" s="1762" t="s">
        <v>1291</v>
      </c>
      <c r="C24" s="136">
        <f>IF(B30=0,0,D30)</f>
        <v>0</v>
      </c>
      <c r="D24" s="1769"/>
      <c r="E24" s="129"/>
      <c r="F24" s="129"/>
      <c r="G24" s="129"/>
      <c r="H24" s="129"/>
      <c r="I24" s="129"/>
    </row>
    <row r="25" spans="1:36" ht="14.25">
      <c r="A25" s="359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30230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1" t="s">
        <v>1326</v>
      </c>
      <c r="B45" s="3592"/>
      <c r="C45" s="3593"/>
      <c r="D45" s="155" t="e">
        <f ca="1">ROUND(H101*F45,0)</f>
        <v>#REF!</v>
      </c>
      <c r="E45" s="156" t="s">
        <v>1327</v>
      </c>
      <c r="F45" s="157">
        <v>1</v>
      </c>
      <c r="G45" s="158" t="s">
        <v>1328</v>
      </c>
      <c r="H45" s="129"/>
      <c r="I45" s="129"/>
      <c r="J45" s="3669" t="s">
        <v>1329</v>
      </c>
      <c r="K45" s="3669"/>
      <c r="L45" s="3669"/>
      <c r="M45" s="3669"/>
      <c r="N45" s="3669"/>
      <c r="O45" s="3669"/>
    </row>
    <row r="46" spans="1:15" ht="14.25" customHeight="1">
      <c r="A46" s="3588" t="s">
        <v>1330</v>
      </c>
      <c r="B46" s="3589"/>
      <c r="C46" s="3589"/>
      <c r="D46" s="3589"/>
      <c r="E46" s="3589"/>
      <c r="F46" s="3589"/>
      <c r="G46" s="3590"/>
      <c r="H46" s="1806"/>
      <c r="I46" s="159"/>
      <c r="J46" s="2523">
        <v>1</v>
      </c>
      <c r="K46" s="3650" t="s">
        <v>1331</v>
      </c>
      <c r="L46" s="3650"/>
      <c r="M46" s="3670"/>
      <c r="N46" s="3670"/>
      <c r="O46" s="3670"/>
    </row>
    <row r="47" spans="1:15" ht="12" customHeight="1">
      <c r="A47" s="160" t="s">
        <v>1332</v>
      </c>
      <c r="B47" s="161"/>
      <c r="C47" s="162"/>
      <c r="D47" s="1087" t="s">
        <v>1333</v>
      </c>
      <c r="E47" s="302" t="s">
        <v>1334</v>
      </c>
      <c r="F47" s="163" t="s">
        <v>1335</v>
      </c>
      <c r="G47" s="2546" t="s">
        <v>1336</v>
      </c>
      <c r="H47" s="2547"/>
      <c r="I47" s="159"/>
      <c r="J47" s="2523">
        <v>2</v>
      </c>
      <c r="K47" s="3650" t="s">
        <v>1337</v>
      </c>
      <c r="L47" s="3650"/>
      <c r="M47" s="3671">
        <f>'数据-取费表'!B2</f>
        <v>44936</v>
      </c>
      <c r="N47" s="3671"/>
      <c r="O47" s="3671"/>
    </row>
    <row r="48" spans="1:15" ht="25.5">
      <c r="A48" s="3619" t="s">
        <v>1338</v>
      </c>
      <c r="B48" s="3602"/>
      <c r="C48" s="360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50" t="s">
        <v>1340</v>
      </c>
      <c r="L48" s="3650"/>
      <c r="M48" s="3672" t="e">
        <f ca="1">H101</f>
        <v>#REF!</v>
      </c>
      <c r="N48" s="3672"/>
      <c r="O48" s="3672"/>
    </row>
    <row r="49" spans="1:35" ht="25.5" customHeight="1">
      <c r="A49" s="2333" t="s">
        <v>1341</v>
      </c>
      <c r="B49" s="3586" t="s">
        <v>1342</v>
      </c>
      <c r="C49" s="3586"/>
      <c r="D49" s="1590">
        <v>0</v>
      </c>
      <c r="E49" s="324" t="s">
        <v>1343</v>
      </c>
      <c r="F49" s="2424" t="s">
        <v>28</v>
      </c>
      <c r="G49" s="3656"/>
      <c r="H49" s="2310" t="s">
        <v>2134</v>
      </c>
      <c r="I49" s="2311"/>
      <c r="J49" s="2523">
        <v>4</v>
      </c>
      <c r="K49" s="3650" t="str">
        <f>IF(项目基本情况!E8="房地产抵押价值","房地产抵押价值","抵押担保权已注销时的房地产抵押价值")</f>
        <v>房地产抵押价值</v>
      </c>
      <c r="L49" s="3650"/>
      <c r="M49" s="3672" t="str">
        <f ca="1">IF(项目基本情况!E8="房地产抵押价值",H107,H109)</f>
        <v>——</v>
      </c>
      <c r="N49" s="3672"/>
      <c r="O49" s="3672"/>
    </row>
    <row r="50" spans="1:35" ht="25.5" customHeight="1">
      <c r="A50" s="2551"/>
      <c r="B50" s="3586" t="s">
        <v>1344</v>
      </c>
      <c r="C50" s="3586"/>
      <c r="D50" s="2552"/>
      <c r="E50" s="332"/>
      <c r="F50" s="2424"/>
      <c r="G50" s="3657"/>
      <c r="H50" s="2312" t="s">
        <v>2135</v>
      </c>
      <c r="I50" s="2311"/>
      <c r="J50" s="3669" t="s">
        <v>1345</v>
      </c>
      <c r="K50" s="3669"/>
      <c r="L50" s="3669"/>
      <c r="M50" s="3669"/>
      <c r="N50" s="3669"/>
      <c r="O50" s="3669"/>
    </row>
    <row r="51" spans="1:35" ht="20.45" customHeight="1">
      <c r="A51" s="2553"/>
      <c r="B51" s="3586" t="s">
        <v>1346</v>
      </c>
      <c r="C51" s="3586"/>
      <c r="D51" s="1087"/>
      <c r="E51" s="327"/>
      <c r="F51" s="2424"/>
      <c r="G51" s="3658"/>
      <c r="H51" s="2312" t="s">
        <v>2136</v>
      </c>
      <c r="I51" s="2311"/>
      <c r="J51" s="2524" t="s">
        <v>1347</v>
      </c>
      <c r="K51" s="3650" t="s">
        <v>1348</v>
      </c>
      <c r="L51" s="3650"/>
      <c r="M51" s="2524" t="s">
        <v>1349</v>
      </c>
      <c r="N51" s="2524" t="s">
        <v>1350</v>
      </c>
      <c r="O51" s="2524" t="s">
        <v>1351</v>
      </c>
    </row>
    <row r="52" spans="1:35" ht="24" customHeight="1">
      <c r="A52" s="2335" t="s">
        <v>1352</v>
      </c>
      <c r="B52" s="3586" t="s">
        <v>1353</v>
      </c>
      <c r="C52" s="3586"/>
      <c r="D52" s="1087" t="e">
        <f ca="1">ROUND(D45*'数据-取费表'!B41/(1+'数据-取费表'!C42),0)</f>
        <v>#REF!</v>
      </c>
      <c r="E52" s="2334" t="s">
        <v>1354</v>
      </c>
      <c r="F52" s="2554">
        <f>'数据-取费表'!B41</f>
        <v>5.6000000000000001E-2</v>
      </c>
      <c r="G52" s="2555"/>
      <c r="H52" s="2544"/>
      <c r="I52" s="1807"/>
      <c r="J52" s="2523">
        <v>1</v>
      </c>
      <c r="K52" s="3651" t="s">
        <v>1355</v>
      </c>
      <c r="L52" s="3651"/>
      <c r="M52" s="2525" t="b">
        <f>D48</f>
        <v>0</v>
      </c>
      <c r="N52" s="2523" t="str">
        <f>E48</f>
        <v>销售额×税（费）率</v>
      </c>
      <c r="O52" s="2526">
        <f>F48</f>
        <v>5.6000000000000001E-2</v>
      </c>
    </row>
    <row r="53" spans="1:35" ht="12" customHeight="1">
      <c r="A53" s="2335" t="s">
        <v>1356</v>
      </c>
      <c r="B53" s="3612" t="s">
        <v>2291</v>
      </c>
      <c r="C53" s="3613"/>
      <c r="D53" s="1087" t="e">
        <f ca="1">ROUND(D45*'数据-取费表'!B41/(1+'数据-取费表'!C42),0)</f>
        <v>#REF!</v>
      </c>
      <c r="E53" s="2334" t="s">
        <v>1354</v>
      </c>
      <c r="F53" s="2554">
        <f>'数据-取费表'!B41</f>
        <v>5.6000000000000001E-2</v>
      </c>
      <c r="G53" s="2555"/>
      <c r="H53" s="2544"/>
      <c r="I53" s="1807"/>
      <c r="J53" s="2523">
        <v>2</v>
      </c>
      <c r="K53" s="3651" t="s">
        <v>1357</v>
      </c>
      <c r="L53" s="3651"/>
      <c r="M53" s="2525" t="e">
        <f t="shared" ref="M53:O54" ca="1" si="0">D55</f>
        <v>#REF!</v>
      </c>
      <c r="N53" s="2523" t="str">
        <f t="shared" si="0"/>
        <v>销售额×税（费）率</v>
      </c>
      <c r="O53" s="2526" t="str">
        <f t="shared" si="0"/>
        <v>免征</v>
      </c>
    </row>
    <row r="54" spans="1:35" ht="12" customHeight="1">
      <c r="A54" s="2335" t="s">
        <v>1358</v>
      </c>
      <c r="B54" s="3612" t="s">
        <v>2292</v>
      </c>
      <c r="C54" s="3613"/>
      <c r="D54" s="1087" t="e">
        <f ca="1">C68</f>
        <v>#REF!</v>
      </c>
      <c r="E54" s="327" t="s">
        <v>1359</v>
      </c>
      <c r="F54" s="2554">
        <f>'数据-取费表'!B41</f>
        <v>5.6000000000000001E-2</v>
      </c>
      <c r="G54" s="2555"/>
      <c r="H54" s="2556"/>
      <c r="I54" s="1807"/>
      <c r="J54" s="2523">
        <v>3</v>
      </c>
      <c r="K54" s="3651" t="s">
        <v>1360</v>
      </c>
      <c r="L54" s="3651"/>
      <c r="M54" s="2525" t="e">
        <f t="shared" ca="1" si="0"/>
        <v>#REF!</v>
      </c>
      <c r="N54" s="2523" t="str">
        <f t="shared" si="0"/>
        <v>增值额×税（费）率</v>
      </c>
      <c r="O54" s="2527" t="str">
        <f t="shared" si="0"/>
        <v>免征</v>
      </c>
    </row>
    <row r="55" spans="1:35" ht="24" customHeight="1">
      <c r="A55" s="3601" t="s">
        <v>1361</v>
      </c>
      <c r="B55" s="3602"/>
      <c r="C55" s="3602"/>
      <c r="D55" s="2324" t="e">
        <f ca="1">IF(H55="个人住宅",0,ROUND(D45*I55,0))</f>
        <v>#REF!</v>
      </c>
      <c r="E55" s="2334" t="s">
        <v>1362</v>
      </c>
      <c r="F55" s="2554" t="str">
        <f>IF(H55="正常",I55,"免征")</f>
        <v>免征</v>
      </c>
      <c r="G55" s="2555"/>
      <c r="H55" s="2550"/>
      <c r="I55" s="165">
        <f>'数据-取费表'!B49</f>
        <v>5.0000000000000001E-4</v>
      </c>
      <c r="J55" s="2523">
        <f>IF(H59="非个人房产","",4)</f>
        <v>4</v>
      </c>
      <c r="K55" s="3651" t="str">
        <f>IF(H59="非个人房产","——","个人所得税")</f>
        <v>个人所得税</v>
      </c>
      <c r="L55" s="3651"/>
      <c r="M55" s="2528" t="e">
        <f ca="1">D59</f>
        <v>#REF!</v>
      </c>
      <c r="N55" s="2040" t="str">
        <f>E59</f>
        <v>差额计税</v>
      </c>
      <c r="O55" s="2529">
        <f>F59</f>
        <v>0.01</v>
      </c>
    </row>
    <row r="56" spans="1:35" ht="24.75">
      <c r="A56" s="3601" t="s">
        <v>1363</v>
      </c>
      <c r="B56" s="3602"/>
      <c r="C56" s="3602"/>
      <c r="D56" s="2324" t="e">
        <f ca="1">IF(H56="个人住宅",D57,D58)</f>
        <v>#REF!</v>
      </c>
      <c r="E56" s="2334" t="s">
        <v>1364</v>
      </c>
      <c r="F56" s="2554" t="str">
        <f>IF(H56="正常",F58,"免征")</f>
        <v>免征</v>
      </c>
      <c r="G56" s="2557" t="s">
        <v>1365</v>
      </c>
      <c r="H56" s="2558"/>
      <c r="I56" s="1808"/>
      <c r="J56" s="2523" t="str">
        <f>IF(项目基本情况!K6="上海银行",IF(J55="",4,J55+1),"")</f>
        <v/>
      </c>
      <c r="K56" s="3674" t="str">
        <f>IF(项目基本情况!K6="上海银行","其他处置费用","")</f>
        <v/>
      </c>
      <c r="L56" s="3675"/>
      <c r="M56" s="2525" t="str">
        <f>IF(项目基本情况!K6="上海银行",M69,"")</f>
        <v/>
      </c>
      <c r="N56" s="3674" t="str">
        <f>IF(项目基本情况!K6="上海银行","包含处置中涉及的律师、诉讼、拍卖、评估等费用","")</f>
        <v/>
      </c>
      <c r="O56" s="3677"/>
    </row>
    <row r="57" spans="1:35" ht="12.75">
      <c r="A57" s="2335" t="s">
        <v>1341</v>
      </c>
      <c r="B57" s="3612" t="s">
        <v>1366</v>
      </c>
      <c r="C57" s="3613"/>
      <c r="D57" s="1590">
        <v>0</v>
      </c>
      <c r="E57" s="324" t="s">
        <v>1343</v>
      </c>
      <c r="F57" s="302"/>
      <c r="G57" s="2555"/>
      <c r="H57" s="2559"/>
      <c r="I57" s="1808"/>
      <c r="J57" s="3651">
        <f>IF(AND(J55="",J56=""),4,IF(项目基本情况!K6="上海银行",结果表!J56+1,结果表!J55+1))</f>
        <v>5</v>
      </c>
      <c r="K57" s="3651" t="s">
        <v>1367</v>
      </c>
      <c r="L57" s="2530" t="s">
        <v>1368</v>
      </c>
      <c r="M57" s="2531"/>
      <c r="N57" s="2532">
        <f ca="1">SUMIF(M52:M56,"&lt;9e307")</f>
        <v>0</v>
      </c>
      <c r="O57" s="2533"/>
      <c r="P57" s="2690" t="e">
        <f ca="1">N57/M49</f>
        <v>#VALUE!</v>
      </c>
    </row>
    <row r="58" spans="1:35" ht="24.75">
      <c r="A58" s="2335" t="s">
        <v>1352</v>
      </c>
      <c r="B58" s="3612" t="s">
        <v>1369</v>
      </c>
      <c r="C58" s="3586"/>
      <c r="D58" s="2324" t="e">
        <f ca="1">IF(H58="转让取得",C81,C97)</f>
        <v>#REF!</v>
      </c>
      <c r="E58" s="2334" t="s">
        <v>1364</v>
      </c>
      <c r="F58" s="302" t="s">
        <v>28</v>
      </c>
      <c r="G58" s="2555"/>
      <c r="H58" s="2558"/>
      <c r="I58" s="1808"/>
      <c r="J58" s="3651"/>
      <c r="K58" s="3651"/>
      <c r="L58" s="2530" t="s">
        <v>1370</v>
      </c>
      <c r="M58" s="2534"/>
      <c r="N58" s="2535" t="str">
        <f ca="1">NUMBERSTRING(INT(N57*10000),2)&amp;"元整"</f>
        <v>零元整</v>
      </c>
      <c r="O58" s="2536"/>
    </row>
    <row r="59" spans="1:35" ht="24.75" thickBot="1">
      <c r="A59" s="3654" t="s">
        <v>1371</v>
      </c>
      <c r="B59" s="3655"/>
      <c r="C59" s="365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2">
        <f>J57+1</f>
        <v>6</v>
      </c>
      <c r="K59" s="3651" t="s">
        <v>1372</v>
      </c>
      <c r="L59" s="2523" t="s">
        <v>1368</v>
      </c>
      <c r="M59" s="2537"/>
      <c r="N59" s="2538" t="e">
        <f ca="1">M49-N57</f>
        <v>#VALUE!</v>
      </c>
      <c r="O59" s="2539"/>
    </row>
    <row r="60" spans="1:35" ht="12" customHeight="1">
      <c r="A60" s="1809"/>
      <c r="B60" s="1747"/>
      <c r="C60" s="1747"/>
      <c r="D60" s="1747"/>
      <c r="E60" s="1578"/>
      <c r="F60" s="1808"/>
      <c r="G60" s="1808"/>
      <c r="H60" s="1810"/>
      <c r="I60" s="129"/>
      <c r="J60" s="3653"/>
      <c r="K60" s="3651"/>
      <c r="L60" s="2530" t="s">
        <v>1370</v>
      </c>
      <c r="M60" s="2534"/>
      <c r="N60" s="2535" t="e">
        <f ca="1">NUMBERSTRING(INT(N59*10000),2)&amp;"元整"</f>
        <v>#VALUE!</v>
      </c>
      <c r="O60" s="2536"/>
    </row>
    <row r="61" spans="1:35" ht="13.5" thickBot="1">
      <c r="A61" s="3599" t="s">
        <v>1373</v>
      </c>
      <c r="B61" s="3599"/>
      <c r="C61" s="3599"/>
      <c r="D61" s="3599"/>
      <c r="E61" s="3599"/>
      <c r="F61" s="1808"/>
      <c r="G61" s="1808"/>
      <c r="H61" s="1810"/>
      <c r="I61" s="129"/>
      <c r="J61" s="2523">
        <f>J59+1</f>
        <v>7</v>
      </c>
      <c r="K61" s="3651" t="s">
        <v>1374</v>
      </c>
      <c r="L61" s="3651"/>
      <c r="M61" s="2540"/>
      <c r="N61" s="2541" t="e">
        <f ca="1">ROUND(N59*10000/'数据-汇总表'!E3,0)</f>
        <v>#VALUE!</v>
      </c>
      <c r="O61" s="2542"/>
    </row>
    <row r="62" spans="1:35" ht="12.75">
      <c r="A62" s="3617" t="s">
        <v>1375</v>
      </c>
      <c r="B62" s="361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76"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76"/>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76"/>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6"/>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76"/>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8" t="s">
        <v>1394</v>
      </c>
      <c r="B70" s="3639"/>
      <c r="C70" s="3639"/>
      <c r="D70" s="3639"/>
      <c r="E70" s="3639"/>
      <c r="F70" s="3639"/>
      <c r="G70" s="3639"/>
      <c r="H70" s="363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586"/>
      <c r="G76" s="3586"/>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6" t="s">
        <v>1406</v>
      </c>
      <c r="F78" s="3597"/>
      <c r="G78" s="3597"/>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8" t="s">
        <v>1410</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8" t="s">
        <v>2129</v>
      </c>
      <c r="H90" s="367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6" t="s">
        <v>1406</v>
      </c>
      <c r="F93" s="3597"/>
      <c r="G93" s="3597"/>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7" t="s">
        <v>1426</v>
      </c>
      <c r="F94" s="3608"/>
      <c r="G94" s="3608"/>
      <c r="H94" s="36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0" t="s">
        <v>1428</v>
      </c>
      <c r="B100" s="3581"/>
      <c r="C100" s="3581"/>
      <c r="D100" s="3598"/>
      <c r="E100" s="3581" t="s">
        <v>1429</v>
      </c>
      <c r="F100" s="3581"/>
      <c r="G100" s="3581"/>
      <c r="H100" s="3598"/>
      <c r="I100" s="129"/>
    </row>
    <row r="101" spans="1:35" ht="18.75" customHeight="1">
      <c r="A101" s="3659" t="s">
        <v>1430</v>
      </c>
      <c r="B101" s="3660"/>
      <c r="C101" s="2585" t="str">
        <f>C4</f>
        <v>成本法</v>
      </c>
      <c r="D101" s="2586" t="str">
        <f>D4</f>
        <v>收益法（汇总）</v>
      </c>
      <c r="E101" s="3673" t="s">
        <v>1431</v>
      </c>
      <c r="F101" s="3630"/>
      <c r="G101" s="1827" t="s">
        <v>1432</v>
      </c>
      <c r="H101" s="2595" t="e">
        <f ca="1">H118</f>
        <v>#REF!</v>
      </c>
      <c r="I101" s="129"/>
    </row>
    <row r="102" spans="1:35" ht="18.75" customHeight="1">
      <c r="A102" s="3632" t="s">
        <v>1433</v>
      </c>
      <c r="B102" s="2584" t="s">
        <v>1432</v>
      </c>
      <c r="C102" s="2585">
        <f ca="1">IF(D32="楼面单价",ROUND(C19,0),C19)</f>
        <v>171528</v>
      </c>
      <c r="D102" s="2586">
        <f ca="1">IF(D32="楼面单价",ROUND(D19,0),D19)</f>
        <v>225555</v>
      </c>
      <c r="E102" s="3673"/>
      <c r="F102" s="3630"/>
      <c r="G102" s="1827" t="s">
        <v>1434</v>
      </c>
      <c r="H102" s="2555" t="e">
        <f ca="1">I118</f>
        <v>#REF!</v>
      </c>
      <c r="I102" s="129"/>
    </row>
    <row r="103" spans="1:35" ht="42.75" customHeight="1">
      <c r="A103" s="3632"/>
      <c r="B103" s="2584" t="s">
        <v>1434</v>
      </c>
      <c r="C103" s="2587">
        <f ca="1">C20</f>
        <v>25425</v>
      </c>
      <c r="D103" s="2588">
        <f ca="1">D20</f>
        <v>33434</v>
      </c>
      <c r="E103" s="3667" t="s">
        <v>1435</v>
      </c>
      <c r="F103" s="3668"/>
      <c r="G103" s="1828" t="s">
        <v>1436</v>
      </c>
      <c r="H103" s="2595">
        <f>IF(D36="正常操作",H104+H105+H106,H105+H106)</f>
        <v>0</v>
      </c>
      <c r="I103" s="129"/>
    </row>
    <row r="104" spans="1:35" ht="18.75" customHeight="1">
      <c r="A104" s="363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3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9" t="str">
        <f>IF(项目基本情况!E8="已注销","——","3.房地产抵押价值")</f>
        <v>3.房地产抵押价值</v>
      </c>
      <c r="F107" s="3630"/>
      <c r="G107" s="1827" t="s">
        <v>1432</v>
      </c>
      <c r="H107" s="2595" t="e">
        <f ca="1">IF(E107="——","——",H101-H103)</f>
        <v>#REF!</v>
      </c>
      <c r="I107" s="129"/>
    </row>
    <row r="108" spans="1:35" ht="18.75" customHeight="1">
      <c r="A108" s="129"/>
      <c r="B108" s="129"/>
      <c r="C108" s="129"/>
      <c r="D108" s="129"/>
      <c r="E108" s="3629"/>
      <c r="F108" s="3630"/>
      <c r="G108" s="1827" t="s">
        <v>1434</v>
      </c>
      <c r="H108" s="2555">
        <f ca="1">IF(H107=H101,H102,ROUND(H107*10000/'数据-汇总表'!E3,0))</f>
        <v>0</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7" t="s">
        <v>1432</v>
      </c>
      <c r="H109" s="2598" t="str">
        <f>IF(E109="——","——",H101-H105-H106)</f>
        <v>——</v>
      </c>
      <c r="I109" s="129"/>
    </row>
    <row r="110" spans="1:35" ht="18.75" customHeight="1">
      <c r="A110" s="129"/>
      <c r="B110" s="129"/>
      <c r="C110" s="129"/>
      <c r="D110" s="129"/>
      <c r="E110" s="3629"/>
      <c r="F110" s="3630"/>
      <c r="G110" s="1827" t="s">
        <v>1434</v>
      </c>
      <c r="H110" s="2555"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7" t="s">
        <v>1432</v>
      </c>
      <c r="H111" s="2595" t="str">
        <f>IF(E111="——","——",N59)</f>
        <v>——</v>
      </c>
      <c r="I111" s="129"/>
    </row>
    <row r="112" spans="1:35" ht="18.75" customHeight="1" thickBot="1">
      <c r="A112" s="129"/>
      <c r="B112" s="129"/>
      <c r="C112" s="129"/>
      <c r="D112" s="129"/>
      <c r="E112" s="3662"/>
      <c r="F112" s="3663"/>
      <c r="G112" s="1830" t="s">
        <v>1434</v>
      </c>
      <c r="H112" s="2599" t="str">
        <f>IF(E111="——","——",N61)</f>
        <v>——</v>
      </c>
      <c r="I112" s="129"/>
    </row>
    <row r="113" spans="1:27" ht="18.75" customHeight="1">
      <c r="A113" s="129"/>
      <c r="B113" s="129"/>
      <c r="C113" s="129"/>
      <c r="D113" s="129"/>
      <c r="E113" s="3634" t="s">
        <v>1440</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1447</v>
      </c>
      <c r="G116" s="3643"/>
      <c r="H116" s="3600" t="s">
        <v>1448</v>
      </c>
      <c r="I116" s="3600"/>
    </row>
    <row r="117" spans="1:27" ht="18.75" customHeight="1">
      <c r="A117" s="3600"/>
      <c r="B117" s="3636"/>
      <c r="C117" s="363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67463.599999999977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0" t="s">
        <v>1452</v>
      </c>
      <c r="B119" s="3600"/>
      <c r="C119" s="3600"/>
      <c r="D119" s="3640" t="e">
        <f ca="1">NUMBERSTRING(INT(D118*10000),2)&amp;"元整"</f>
        <v>#REF!</v>
      </c>
      <c r="E119" s="3642"/>
      <c r="F119" s="3640" t="e">
        <f ca="1">NUMBERSTRING(INT(F118*10000),2)&amp;"元整"</f>
        <v>#REF!</v>
      </c>
      <c r="G119" s="3642"/>
      <c r="H119" s="3640" t="e">
        <f ca="1">NUMBERSTRING(INT(H118*10000),2)&amp;"元整"</f>
        <v>#REF!</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0" t="s">
        <v>1452</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t="e">
        <f ca="1">H107</f>
        <v>#REF!</v>
      </c>
      <c r="E122" s="3665"/>
      <c r="F122" s="3665"/>
      <c r="G122" s="3665"/>
      <c r="H122" s="3665"/>
      <c r="I122" s="3666"/>
      <c r="AA122" s="725"/>
    </row>
    <row r="123" spans="1:27" ht="18.75" customHeight="1">
      <c r="A123" s="3600" t="s">
        <v>1452</v>
      </c>
      <c r="B123" s="3600"/>
      <c r="C123" s="3600"/>
      <c r="D123" s="3640" t="e">
        <f ca="1">NUMBERSTRING(INT(D122*10000),2)&amp;"元整"</f>
        <v>#REF!</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1452</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1452</v>
      </c>
      <c r="B127" s="3600"/>
      <c r="C127" s="3600"/>
      <c r="D127" s="3640" t="e">
        <f>NUMBERSTRING(INT(D126*10000),2)&amp;"元整"</f>
        <v>#VALUE!</v>
      </c>
      <c r="E127" s="3641"/>
      <c r="F127" s="3641"/>
      <c r="G127" s="3641"/>
      <c r="H127" s="3641"/>
      <c r="I127" s="3642"/>
      <c r="AA127" s="725"/>
    </row>
    <row r="128" spans="1:27" ht="21.75" customHeight="1">
      <c r="A128" s="3647" t="s">
        <v>1453</v>
      </c>
      <c r="B128" s="3647"/>
      <c r="C128" s="3647"/>
      <c r="D128" s="3647"/>
      <c r="E128" s="3647"/>
      <c r="F128" s="3647"/>
      <c r="G128" s="3647"/>
      <c r="H128" s="3647"/>
      <c r="I128" s="364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北京市房地产抵押价值预评估</v>
      </c>
      <c r="C37" s="3496"/>
      <c r="D37" s="3496"/>
      <c r="E37" s="3496"/>
      <c r="F37" s="3496"/>
      <c r="G37" s="3496"/>
      <c r="H37" s="3496"/>
      <c r="I37" s="349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8" sqref="E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171528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99370</v>
      </c>
      <c r="D5" s="211" t="s">
        <v>1469</v>
      </c>
      <c r="E5" s="212" t="s">
        <v>1470</v>
      </c>
      <c r="F5" s="212" t="s">
        <v>1471</v>
      </c>
      <c r="G5" s="213"/>
    </row>
    <row r="6" spans="1:9" s="214" customFormat="1" ht="13.5" customHeight="1">
      <c r="A6" s="778" t="s">
        <v>1472</v>
      </c>
      <c r="B6" s="215" t="s">
        <v>1473</v>
      </c>
      <c r="C6" s="216">
        <f ca="1">'基准地价（汇总）'!B2</f>
        <v>95120</v>
      </c>
      <c r="D6" s="217"/>
      <c r="E6" s="218"/>
      <c r="F6" s="218"/>
      <c r="G6" s="219"/>
    </row>
    <row r="7" spans="1:9" s="214" customFormat="1" ht="13.5" customHeight="1">
      <c r="A7" s="778" t="s">
        <v>1474</v>
      </c>
      <c r="B7" s="215" t="s">
        <v>1475</v>
      </c>
      <c r="C7" s="220">
        <f ca="1">ROUND(C6*F7,0)</f>
        <v>2901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1349</v>
      </c>
      <c r="D8" s="222"/>
      <c r="E8" s="220"/>
      <c r="F8" s="221"/>
      <c r="G8" s="1856" t="s">
        <v>3559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3560</v>
      </c>
      <c r="H9" s="1137"/>
      <c r="I9" s="1858" t="s">
        <v>1479</v>
      </c>
    </row>
    <row r="10" spans="1:9" s="214" customFormat="1" ht="13.5" customHeight="1">
      <c r="A10" s="779" t="s">
        <v>356</v>
      </c>
      <c r="B10" s="224" t="s">
        <v>1480</v>
      </c>
      <c r="C10" s="225">
        <f ca="1">ROUND(D10*E10/10000,0)</f>
        <v>1349</v>
      </c>
      <c r="D10" s="845">
        <f ca="1">IF(B1="",'数据-汇总表'!E6,IF(INDIRECT("'数据-取费表'!c"&amp;$G$1)="住宅",INDIRECT("'数据-取费表'!s"&amp;$G$1),INDIRECT("'数据-取费表'!k"&amp;$G$1)+INDIRECT("'数据-取费表'!s"&amp;$G$1)))</f>
        <v>67463.599999999977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67463.599999999977</v>
      </c>
      <c r="E19" s="211">
        <f>'数据-取费表'!B31</f>
        <v>200</v>
      </c>
      <c r="F19" s="231"/>
      <c r="G19" s="1856" t="s">
        <v>3561</v>
      </c>
    </row>
    <row r="20" spans="1:7" s="214" customFormat="1" ht="13.5" customHeight="1">
      <c r="A20" s="255" t="s">
        <v>1493</v>
      </c>
      <c r="B20" s="210" t="s">
        <v>1494</v>
      </c>
      <c r="C20" s="232">
        <f ca="1">ROUND((C5+C19)*F20,0)</f>
        <v>1987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10737</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10633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16217</v>
      </c>
      <c r="D27" s="235">
        <f ca="1">C29</f>
        <v>3.2000000000000002E-3</v>
      </c>
      <c r="E27" s="236" t="s">
        <v>1514</v>
      </c>
      <c r="F27" s="246">
        <f ca="1">IF(B1="",'数据-取费表'!Q16,INDIRECT("'数据-取费表'!q"&amp;$G$1))</f>
        <v>0.16</v>
      </c>
      <c r="G27" s="247" t="s">
        <v>1515</v>
      </c>
    </row>
    <row r="28" spans="1:7" s="214" customFormat="1" ht="13.5" customHeight="1">
      <c r="A28" s="780" t="s">
        <v>346</v>
      </c>
      <c r="B28" s="248" t="s">
        <v>1516</v>
      </c>
      <c r="C28" s="249">
        <f ca="1">ROUND((C5+C19+C20)*F27*'数据-取费表'!B21/'数据-取费表'!B20,0)</f>
        <v>16217</v>
      </c>
      <c r="D28" s="235"/>
      <c r="E28" s="236"/>
      <c r="F28" s="246"/>
      <c r="G28" s="247"/>
    </row>
    <row r="29" spans="1:7" s="214" customFormat="1" ht="13.5" customHeight="1">
      <c r="A29" s="780"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139091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26024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23613</v>
      </c>
      <c r="D34" s="217"/>
      <c r="E34" s="220"/>
      <c r="F34" s="257">
        <f ca="1">IF('数据-取费表'!B24=0,1,IF(B1="",'数据-取费表'!N16,INDIRECT("'数据-取费表'!n"&amp;$G$1)))</f>
        <v>1</v>
      </c>
      <c r="G34" s="219" t="s">
        <v>1526</v>
      </c>
    </row>
    <row r="35" spans="1:7" ht="13.5" customHeight="1">
      <c r="A35" s="780" t="s">
        <v>351</v>
      </c>
      <c r="B35" s="215" t="s">
        <v>1527</v>
      </c>
      <c r="C35" s="220">
        <f ca="1">ROUND(C34*F35,0)</f>
        <v>708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1349</v>
      </c>
      <c r="D37" s="217">
        <f ca="1">D19</f>
        <v>67463.599999999977</v>
      </c>
      <c r="E37" s="249">
        <f>'数据-取费表'!B35</f>
        <v>200</v>
      </c>
      <c r="F37" s="259"/>
      <c r="G37" s="261" t="s">
        <v>1532</v>
      </c>
    </row>
    <row r="38" spans="1:7" ht="13.5" customHeight="1">
      <c r="A38" s="780" t="s">
        <v>354</v>
      </c>
      <c r="B38" s="215" t="s">
        <v>1533</v>
      </c>
      <c r="C38" s="220">
        <f ca="1">ROUND(C34*F38,0)</f>
        <v>354</v>
      </c>
      <c r="D38" s="220"/>
      <c r="E38" s="220"/>
      <c r="F38" s="259">
        <f>'数据-取费表'!B36</f>
        <v>1.4999999999999999E-2</v>
      </c>
      <c r="G38" s="219" t="s">
        <v>1528</v>
      </c>
    </row>
    <row r="39" spans="1:7" s="214" customFormat="1" ht="13.5" customHeight="1">
      <c r="A39" s="255" t="s">
        <v>1534</v>
      </c>
      <c r="B39" s="210" t="s">
        <v>1535</v>
      </c>
      <c r="C39" s="232">
        <f ca="1">ROUND(C33*F20,0)</f>
        <v>520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1384</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1357</v>
      </c>
      <c r="D42" s="238"/>
      <c r="E42" s="238"/>
      <c r="F42" s="239"/>
      <c r="G42" s="3680" t="s">
        <v>1544</v>
      </c>
    </row>
    <row r="43" spans="1:7" ht="13.5" customHeight="1">
      <c r="A43" s="780" t="s">
        <v>347</v>
      </c>
      <c r="B43" s="215" t="s">
        <v>1545</v>
      </c>
      <c r="C43" s="238">
        <f ca="1">ROUND(IF('数据-取费表'!B22&lt;=1,C39*F22*'数据-取费表'!B21/2,C39*(POWER((1+F22),'数据-取费表'!B21/2)-1)),0)</f>
        <v>27</v>
      </c>
      <c r="D43" s="238"/>
      <c r="E43" s="238"/>
      <c r="F43" s="239"/>
      <c r="G43" s="3681"/>
    </row>
    <row r="44" spans="1:7" ht="13.5" customHeight="1">
      <c r="A44" s="780" t="s">
        <v>348</v>
      </c>
      <c r="B44" s="215" t="s">
        <v>1546</v>
      </c>
      <c r="C44" s="238">
        <f ca="1">ROUND(IF('数据-取费表'!B22&lt;=1,C40*F22*'数据-取费表'!B21/2,C40*(POWER((1+F22),'数据-取费表'!B21/2)-1)),4)</f>
        <v>1E-3</v>
      </c>
      <c r="D44" s="238"/>
      <c r="E44" s="238"/>
      <c r="F44" s="239"/>
      <c r="G44" s="3682"/>
    </row>
    <row r="45" spans="1:7" s="214" customFormat="1" ht="13.5" customHeight="1">
      <c r="A45" s="255" t="s">
        <v>1547</v>
      </c>
      <c r="B45" s="244" t="s">
        <v>1513</v>
      </c>
      <c r="C45" s="245">
        <f ca="1">C46</f>
        <v>4247</v>
      </c>
      <c r="D45" s="235">
        <f ca="1">C47</f>
        <v>3.2000000000000002E-3</v>
      </c>
      <c r="E45" s="236" t="s">
        <v>1539</v>
      </c>
      <c r="F45" s="246">
        <f ca="1">F27</f>
        <v>0.16</v>
      </c>
      <c r="G45" s="247" t="s">
        <v>1548</v>
      </c>
    </row>
    <row r="46" spans="1:7" s="214" customFormat="1" ht="13.5" customHeight="1">
      <c r="A46" s="780" t="s">
        <v>346</v>
      </c>
      <c r="B46" s="248" t="s">
        <v>1549</v>
      </c>
      <c r="C46" s="249">
        <f ca="1">ROUND((C33+C39)*F27,0)</f>
        <v>4247</v>
      </c>
      <c r="D46" s="263"/>
      <c r="E46" s="236"/>
      <c r="F46" s="246"/>
      <c r="G46" s="247"/>
    </row>
    <row r="47" spans="1:7" s="214" customFormat="1" ht="13.5" customHeight="1">
      <c r="A47" s="780" t="s">
        <v>347</v>
      </c>
      <c r="B47" s="248" t="s">
        <v>1550</v>
      </c>
      <c r="C47" s="238">
        <f ca="1">ROUND(C40*F27,4)</f>
        <v>3.2000000000000002E-3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34878</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32437</v>
      </c>
      <c r="D51" s="232"/>
      <c r="E51" s="232"/>
      <c r="F51" s="264"/>
      <c r="G51" s="234" t="s">
        <v>1560</v>
      </c>
    </row>
    <row r="52" spans="1:7" s="208" customFormat="1" ht="16.5" thickBot="1">
      <c r="A52" s="265" t="s">
        <v>1561</v>
      </c>
      <c r="B52" s="266"/>
      <c r="C52" s="267">
        <f ca="1">C31+C51</f>
        <v>171528</v>
      </c>
      <c r="D52" s="266"/>
      <c r="E52" s="266"/>
      <c r="F52" s="266"/>
      <c r="G52" s="268"/>
    </row>
    <row r="55" spans="1:7" ht="15">
      <c r="B55" s="270" t="s">
        <v>1562</v>
      </c>
      <c r="C55" s="271"/>
    </row>
    <row r="56" spans="1:7">
      <c r="B56" s="273" t="s">
        <v>802</v>
      </c>
      <c r="C56" s="275">
        <f ca="1">1-C57</f>
        <v>0.81099999999999994</v>
      </c>
    </row>
    <row r="57" spans="1:7">
      <c r="B57" s="273" t="s">
        <v>803</v>
      </c>
      <c r="C57" s="274">
        <f ca="1">ROUND(C51/C52,3)</f>
        <v>0.189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9</v>
      </c>
      <c r="H1" s="1061" t="str">
        <f>IF(ISERROR(FIND("住宅",B1)),"非住宅","住宅")</f>
        <v>非住宅</v>
      </c>
    </row>
    <row r="2" spans="1:8" s="200" customFormat="1" ht="18" customHeight="1">
      <c r="A2" s="201" t="s">
        <v>1462</v>
      </c>
      <c r="B2" s="3425">
        <f ca="1">ROUND(IF(D2="——",C52/10000,C52/10000-E2),4)</f>
        <v>36214.570599999999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13492720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13492720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13492720</v>
      </c>
      <c r="D10" s="845">
        <f ca="1">IF(B1="",'数据-汇总表'!E6,IF(INDIRECT("'数据-取费表'!c"&amp;$G$1)="住宅",INDIRECT("'数据-取费表'!s"&amp;$G$1),INDIRECT("'数据-取费表'!k"&amp;$G$1)+INDIRECT("'数据-取费表'!s"&amp;$G$1)))</f>
        <v>67463.599999999977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13492720</v>
      </c>
      <c r="D19" s="849">
        <f ca="1">D9+D10</f>
        <v>67463.599999999977</v>
      </c>
      <c r="E19" s="211">
        <f>'数据-取费表'!B31</f>
        <v>200</v>
      </c>
      <c r="F19" s="231"/>
      <c r="G19" s="1856"/>
    </row>
    <row r="20" spans="1:7" s="214" customFormat="1" ht="13.5" customHeight="1">
      <c r="A20" s="255" t="s">
        <v>1574</v>
      </c>
      <c r="B20" s="210" t="s">
        <v>1575</v>
      </c>
      <c r="C20" s="232">
        <f ca="1">ROUND((C5+C19)*F20,0)</f>
        <v>539709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2915621</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1443740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1443740</v>
      </c>
      <c r="D24" s="238"/>
      <c r="E24" s="238"/>
      <c r="F24" s="239"/>
      <c r="G24" s="240" t="s">
        <v>1586</v>
      </c>
    </row>
    <row r="25" spans="1:7" s="214" customFormat="1" ht="24">
      <c r="A25" s="780" t="s">
        <v>1476</v>
      </c>
      <c r="B25" s="215" t="s">
        <v>1587</v>
      </c>
      <c r="C25" s="1128">
        <f ca="1">ROUND(IF('数据-取费表'!B22&lt;=1,C20*F22*'数据-取费表'!B22/2,C20*(POWER((1+F22),'数据-取费表'!B22/2)-1)),0)</f>
        <v>28141</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4404024</v>
      </c>
      <c r="D27" s="235">
        <f ca="1">C29</f>
        <v>3.2000000000000002E-3</v>
      </c>
      <c r="E27" s="236" t="s">
        <v>1514</v>
      </c>
      <c r="F27" s="246">
        <f ca="1">IF(B1="",'数据-取费表'!Q16,INDIRECT("'数据-取费表'!q"&amp;$G$1))</f>
        <v>0.16</v>
      </c>
      <c r="G27" s="247" t="s">
        <v>1515</v>
      </c>
    </row>
    <row r="28" spans="1:7" s="214" customFormat="1" ht="13.5" customHeight="1">
      <c r="A28" s="780" t="s">
        <v>346</v>
      </c>
      <c r="B28" s="248" t="s">
        <v>1516</v>
      </c>
      <c r="C28" s="249">
        <f ca="1">ROUND((C5+C19+C20)*F27,0)</f>
        <v>4404024</v>
      </c>
      <c r="D28" s="235"/>
      <c r="E28" s="236"/>
      <c r="F28" s="246"/>
      <c r="G28" s="247"/>
    </row>
    <row r="29" spans="1:7" s="214" customFormat="1" ht="13.5" customHeight="1">
      <c r="A29" s="780"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37772134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260240837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236122600</v>
      </c>
      <c r="D34" s="217"/>
      <c r="E34" s="220"/>
      <c r="F34" s="257"/>
      <c r="G34" s="219"/>
    </row>
    <row r="35" spans="1:7" ht="13.5" customHeight="1">
      <c r="A35" s="780" t="s">
        <v>351</v>
      </c>
      <c r="B35" s="215" t="s">
        <v>1527</v>
      </c>
      <c r="C35" s="220">
        <f ca="1">ROUND(C34*F35,0)</f>
        <v>7083678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13492720</v>
      </c>
      <c r="D37" s="217">
        <f ca="1">D19</f>
        <v>67463.599999999977</v>
      </c>
      <c r="E37" s="249">
        <f>'数据-取费表'!B35</f>
        <v>200</v>
      </c>
      <c r="F37" s="259"/>
      <c r="G37" s="261"/>
    </row>
    <row r="38" spans="1:7" ht="13.5" customHeight="1">
      <c r="A38" s="780" t="s">
        <v>354</v>
      </c>
      <c r="B38" s="215" t="s">
        <v>1533</v>
      </c>
      <c r="C38" s="220">
        <f ca="1">ROUND(C34*F38,0)</f>
        <v>3541839</v>
      </c>
      <c r="D38" s="220"/>
      <c r="E38" s="220"/>
      <c r="F38" s="259">
        <f>'数据-取费表'!B36</f>
        <v>1.4999999999999999E-2</v>
      </c>
      <c r="G38" s="219" t="s">
        <v>1528</v>
      </c>
    </row>
    <row r="39" spans="1:7" s="214" customFormat="1" ht="13.5" customHeight="1">
      <c r="A39" s="255" t="s">
        <v>1534</v>
      </c>
      <c r="B39" s="210" t="s">
        <v>1535</v>
      </c>
      <c r="C39" s="232">
        <f ca="1">ROUND(C33*F20,0)</f>
        <v>5204817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13840697</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13569311</v>
      </c>
      <c r="D42" s="238"/>
      <c r="E42" s="238"/>
      <c r="F42" s="239"/>
      <c r="G42" s="3680" t="s">
        <v>1591</v>
      </c>
    </row>
    <row r="43" spans="1:7" ht="13.5" customHeight="1">
      <c r="A43" s="780" t="s">
        <v>347</v>
      </c>
      <c r="B43" s="215" t="s">
        <v>1545</v>
      </c>
      <c r="C43" s="238">
        <f ca="1">ROUND(IF('数据-取费表'!B22&lt;=1,C39*F22*'数据-取费表'!B20/2,C39*(POWER((1+F22),'数据-取费表'!B20/2)-1)),0)</f>
        <v>271386</v>
      </c>
      <c r="D43" s="238"/>
      <c r="E43" s="238"/>
      <c r="F43" s="239"/>
      <c r="G43" s="3681"/>
    </row>
    <row r="44" spans="1:7" ht="13.5" customHeight="1">
      <c r="A44" s="780" t="s">
        <v>348</v>
      </c>
      <c r="B44" s="215" t="s">
        <v>1546</v>
      </c>
      <c r="C44" s="238">
        <f ca="1">ROUND(IF('数据-取费表'!B22&lt;=1,C40*F22*'数据-取费表'!B20/2,C40*(POWER((1+F22),'数据-取费表'!B20/2)-1)),4)</f>
        <v>1E-3</v>
      </c>
      <c r="D44" s="238"/>
      <c r="E44" s="238"/>
      <c r="F44" s="239"/>
      <c r="G44" s="3682"/>
    </row>
    <row r="45" spans="1:7" s="214" customFormat="1" ht="13.5" customHeight="1">
      <c r="A45" s="255" t="s">
        <v>1547</v>
      </c>
      <c r="B45" s="244" t="s">
        <v>1513</v>
      </c>
      <c r="C45" s="245">
        <f ca="1">C46</f>
        <v>42471305</v>
      </c>
      <c r="D45" s="235">
        <f ca="1">C47</f>
        <v>3.2000000000000002E-3</v>
      </c>
      <c r="E45" s="236" t="s">
        <v>1539</v>
      </c>
      <c r="F45" s="246">
        <f ca="1">F27</f>
        <v>0.16</v>
      </c>
      <c r="G45" s="247" t="s">
        <v>1548</v>
      </c>
    </row>
    <row r="46" spans="1:7" s="214" customFormat="1" ht="13.5" customHeight="1">
      <c r="A46" s="780" t="s">
        <v>346</v>
      </c>
      <c r="B46" s="248" t="s">
        <v>1549</v>
      </c>
      <c r="C46" s="249">
        <f ca="1">ROUND((C33+C39)*F27,0)</f>
        <v>42471305</v>
      </c>
      <c r="D46" s="263"/>
      <c r="E46" s="236"/>
      <c r="F46" s="246"/>
      <c r="G46" s="247"/>
    </row>
    <row r="47" spans="1:7" s="214" customFormat="1" ht="13.5" customHeight="1">
      <c r="A47" s="780"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348788787</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324373572</v>
      </c>
      <c r="D51" s="232"/>
      <c r="E51" s="232"/>
      <c r="F51" s="264"/>
      <c r="G51" s="234" t="s">
        <v>1560</v>
      </c>
    </row>
    <row r="52" spans="1:7" s="208" customFormat="1" ht="16.5" thickBot="1">
      <c r="A52" s="265" t="s">
        <v>1561</v>
      </c>
      <c r="B52" s="266"/>
      <c r="C52" s="267">
        <f ca="1">C31+C51</f>
        <v>362145706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9</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67463.599999999977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67463.599999999977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1349</v>
      </c>
      <c r="D20" s="846">
        <f ca="1">IF(C1="",'数据-汇总表'!E6,IF(INDIRECT("'数据-取费表'!c"&amp;$K$1)="住宅",INDIRECT("'数据-取费表'!s"&amp;$K$1),INDIRECT("'数据-取费表'!k"&amp;$K$1)+INDIRECT("'数据-取费表'!s"&amp;$K$1)))</f>
        <v>67463.599999999977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0" sqref="A1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95120</v>
      </c>
      <c r="C2" s="2145" t="s">
        <v>2074</v>
      </c>
      <c r="D2" s="2145" t="s">
        <v>2075</v>
      </c>
      <c r="E2" s="2612">
        <f ca="1">SUMIF(E6:E13,"&lt;&gt;#ref!",E6:E13)</f>
        <v>115146.95999999995</v>
      </c>
      <c r="F2" s="2793"/>
      <c r="G2" s="2793"/>
      <c r="H2" s="2793"/>
      <c r="I2" s="2793"/>
      <c r="J2" s="2793"/>
      <c r="K2" s="2793"/>
      <c r="L2" s="2793"/>
      <c r="M2" s="2793"/>
      <c r="N2" s="2793"/>
      <c r="O2" s="2793"/>
      <c r="P2" s="2793"/>
    </row>
    <row r="3" spans="1:16" ht="15.75">
      <c r="A3" s="2145" t="s">
        <v>2076</v>
      </c>
      <c r="B3" s="2602">
        <f ca="1">ROUND(B2*10000/E2,0)</f>
        <v>8261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78156</v>
      </c>
      <c r="C6" s="2145" t="s">
        <v>2074</v>
      </c>
      <c r="D6" s="2793"/>
      <c r="E6" s="2612">
        <f ca="1">SUMIF(INDIRECT("'"&amp;A6&amp;"'"&amp;"!C:C"),"建筑面积",INDIRECT("'"&amp;A6&amp;"'"&amp;"!D:D"))</f>
        <v>57573.479999999974</v>
      </c>
      <c r="F6" s="2793"/>
      <c r="G6" s="2793"/>
      <c r="H6" s="2793"/>
      <c r="I6" s="2793"/>
      <c r="J6" s="2793"/>
      <c r="K6" s="2793"/>
      <c r="L6" s="2793"/>
      <c r="M6" s="2793"/>
      <c r="N6" s="2793"/>
      <c r="O6" s="2793"/>
      <c r="P6" s="2793"/>
    </row>
    <row r="7" spans="1:16" ht="15.75">
      <c r="A7" s="2609" t="s">
        <v>3557</v>
      </c>
      <c r="B7" s="2602">
        <f ca="1">SUMIF(INDIRECT("'"&amp;A7&amp;"'"&amp;"!A:A"),"总价",INDIRECT("'"&amp;A7&amp;"'"&amp;"!B:B"))</f>
        <v>16964</v>
      </c>
      <c r="C7" s="2145" t="s">
        <v>2074</v>
      </c>
      <c r="D7" s="2793"/>
      <c r="E7" s="2612">
        <f t="shared" ref="E7:E13" ca="1" si="0">SUMIF(INDIRECT("'"&amp;A7&amp;"'"&amp;"!C:C"),"建筑面积",INDIRECT("'"&amp;A7&amp;"'"&amp;"!D:D"))</f>
        <v>57573.479999999974</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57573.479999999974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78156</v>
      </c>
      <c r="C2" s="1999" t="s">
        <v>1935</v>
      </c>
      <c r="D2" s="2000" t="s">
        <v>1936</v>
      </c>
      <c r="E2" s="3423"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20388</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13575</v>
      </c>
      <c r="C3" s="1999" t="s">
        <v>1941</v>
      </c>
      <c r="D3" s="2000" t="s">
        <v>1942</v>
      </c>
      <c r="E3" s="3421" t="s">
        <v>3547</v>
      </c>
      <c r="F3" s="2004" t="s">
        <v>3548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16070</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13582</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13150</v>
      </c>
      <c r="D5" s="1339">
        <f>ROUND(C6*C17+C20,0)</f>
        <v>13150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11979</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13150</v>
      </c>
      <c r="D6" s="2017"/>
      <c r="E6" s="2018"/>
      <c r="F6" s="2018"/>
      <c r="G6" s="2019"/>
      <c r="H6" s="2019"/>
      <c r="I6" s="2019"/>
      <c r="J6" s="2020"/>
      <c r="K6" s="1384"/>
      <c r="L6" s="2003" t="s">
        <v>1951</v>
      </c>
      <c r="M6" s="864">
        <f>SUMPRODUCT((区片价!B127:B189=I2)*(区片价!C3:G3=E2)*(区片价!C127:G189))</f>
        <v>13150</v>
      </c>
      <c r="N6" s="866">
        <f>SUMPRODUCT((因素修正幅度!B127:B189=I2)*(因素修正幅度!C3:G3=E2)*(因素修正幅度!C127:G189))</f>
        <v>0.11700000000000001</v>
      </c>
      <c r="O6" s="1119"/>
      <c r="P6" s="1119"/>
      <c r="Q6" s="1119"/>
      <c r="R6" s="1212">
        <v>5</v>
      </c>
      <c r="S6" s="3362">
        <f>ROUND(SUMPRODUCT((B106:B110=R6)*(C105:N105=G2)*(C106:N110)),4)</f>
        <v>0.84799999999999998</v>
      </c>
      <c r="T6" s="3362">
        <f t="shared" si="0"/>
        <v>11512</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300"/>
      <c r="B8" s="170" t="s">
        <v>1957</v>
      </c>
      <c r="C8" s="2026" t="s">
        <v>3549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689"/>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689"/>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v>1</v>
      </c>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0.93120000000000003</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94" t="s">
        <v>3263</v>
      </c>
      <c r="B20" s="167" t="s">
        <v>1994</v>
      </c>
      <c r="C20" s="3326">
        <f>ROUND(IF(F21="与级别开发程度一致",0,(G21-E21)/C21),0)</f>
        <v>0</v>
      </c>
      <c r="D20" s="3342" t="s">
        <v>1998</v>
      </c>
      <c r="E20" s="3343"/>
      <c r="F20" s="3700" t="s">
        <v>1995</v>
      </c>
      <c r="G20" s="3701"/>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9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3550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44936</v>
      </c>
      <c r="H23" s="3344" t="s">
        <v>3265</v>
      </c>
      <c r="I23" s="3345" t="str">
        <f>IF(H23="季度增幅（自定义）",SUMIF(N25:N28,E2,O25:O28),"")</f>
        <v/>
      </c>
      <c r="J23" s="3447" t="s">
        <v>3264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0.96109999999999995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42.1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1.0599000000000001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78156</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13575</v>
      </c>
      <c r="D33" s="2098">
        <f>'数据-汇总表'!F19+'数据-汇总表'!F21</f>
        <v>57573.479999999974</v>
      </c>
      <c r="E33" s="773">
        <f>ROUND(C33*D33/10000,0)</f>
        <v>78156</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3394</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80">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2036</v>
      </c>
      <c r="C37" s="175">
        <f>ROUND(D5*C22*C23*C24*C28*F37,0)</f>
        <v>8145</v>
      </c>
      <c r="D37" s="2098"/>
      <c r="E37" s="171">
        <f>ROUND(C37*D37/10000,0)</f>
        <v>0</v>
      </c>
      <c r="F37" s="171">
        <f>SUMIF(修正!A57:A68,G2,修正!B57:B68)</f>
        <v>0.6</v>
      </c>
      <c r="G37" s="171">
        <f>ROUND(IF(E2="工业",C37*$M$42,C37*$M$41),0)</f>
        <v>2036</v>
      </c>
      <c r="H37" s="171">
        <f>D37</f>
        <v>0</v>
      </c>
      <c r="I37" s="171">
        <f>ROUND(G37*H37/10000,0)</f>
        <v>0</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2037</v>
      </c>
      <c r="C38" s="175">
        <f>ROUND(D5*C22*C23*C24*C28*F38,0)</f>
        <v>4073</v>
      </c>
      <c r="D38" s="2098"/>
      <c r="E38" s="171">
        <f t="shared" ref="E38:E42" si="4">ROUND(C38*D38/10000,0)</f>
        <v>0</v>
      </c>
      <c r="F38" s="171">
        <f>SUMIF(修正!A57:A68,G2,修正!C57:C68)</f>
        <v>0.3</v>
      </c>
      <c r="G38" s="171">
        <f>ROUND(IF(E2="工业",C38*$M$42,C38*$M$41),0)</f>
        <v>1018</v>
      </c>
      <c r="H38" s="171">
        <f t="shared" ref="H38:H42" si="5">D38</f>
        <v>0</v>
      </c>
      <c r="I38" s="171">
        <f t="shared" ref="I38:I42" si="6">ROUND(G38*H38/10000,0)</f>
        <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699"/>
      <c r="B39" s="2041" t="s">
        <v>3268</v>
      </c>
      <c r="C39" s="175">
        <f>ROUND(D5*C22*C23*C24*C28*F39,0)</f>
        <v>3394</v>
      </c>
      <c r="D39" s="2098"/>
      <c r="E39" s="171">
        <f t="shared" si="4"/>
        <v>0</v>
      </c>
      <c r="F39" s="171">
        <f>SUMIF(修正!A57:A68,G2,修正!D57:D68)</f>
        <v>0.25</v>
      </c>
      <c r="G39" s="171">
        <f>ROUND(IF(E2="工业",C39*$M$42,C39*$M$41),0)</f>
        <v>849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3394</v>
      </c>
      <c r="D40" s="2098"/>
      <c r="E40" s="171">
        <f t="shared" si="4"/>
        <v>0</v>
      </c>
      <c r="F40" s="175">
        <f>SUMIF(修正!A57:A68,G2,修正!E57:E68)</f>
        <v>0.25</v>
      </c>
      <c r="G40" s="171">
        <f>ROUND(IF(E2="工业",C40*$M$42,C40*$M$41),0)</f>
        <v>849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1.0599000000000001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3551</v>
      </c>
      <c r="D61" s="1065">
        <f t="shared" ref="D61:D69" si="12">SUMIF($J$60:$N$60,C61,J61:N61)</f>
        <v>1.46E-2</v>
      </c>
      <c r="E61" s="744">
        <f>ROUND(SUM(D61:D69),4)</f>
        <v>5.9900000000000002E-2</v>
      </c>
      <c r="F61" s="1814">
        <f>IF(E2="办公",SUMIF(L1:L12,G2,N1:N12),"——")</f>
        <v>0.11700000000000001</v>
      </c>
      <c r="G61" s="1063">
        <f>H61</f>
        <v>1.46E-2</v>
      </c>
      <c r="H61" s="1066">
        <f t="shared" ref="H61:H69" si="13">IFERROR(ROUNDDOWN($F$61*I61/2,4),"——")</f>
        <v>1.46E-2</v>
      </c>
      <c r="I61" s="3368">
        <v>0.25</v>
      </c>
      <c r="J61" s="1064">
        <f t="shared" ref="J61:J69" si="14">K61+$G61</f>
        <v>2.92E-2</v>
      </c>
      <c r="K61" s="1064">
        <f t="shared" ref="K61:K69" si="15">$L61+$G61</f>
        <v>1.46E-2</v>
      </c>
      <c r="L61" s="1064">
        <v>0</v>
      </c>
      <c r="M61" s="1064">
        <f t="shared" ref="M61:N69" si="16">L61-$G61</f>
        <v>-1.46E-2</v>
      </c>
      <c r="N61" s="1064">
        <f t="shared" si="16"/>
        <v>-2.92E-2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3551</v>
      </c>
      <c r="D62" s="1065">
        <f t="shared" si="12"/>
        <v>1.52E-2</v>
      </c>
      <c r="E62" s="745"/>
      <c r="F62" s="1814"/>
      <c r="G62" s="1063">
        <f t="shared" ref="G62:G69" si="17">H62</f>
        <v>1.52E-2</v>
      </c>
      <c r="H62" s="1066">
        <f t="shared" si="13"/>
        <v>1.52E-2</v>
      </c>
      <c r="I62" s="3368">
        <v>0.26</v>
      </c>
      <c r="J62" s="1064">
        <f t="shared" si="14"/>
        <v>3.04E-2</v>
      </c>
      <c r="K62" s="1064">
        <f t="shared" si="15"/>
        <v>1.52E-2</v>
      </c>
      <c r="L62" s="1064">
        <v>0</v>
      </c>
      <c r="M62" s="1064">
        <f t="shared" si="16"/>
        <v>-1.52E-2</v>
      </c>
      <c r="N62" s="1064">
        <f t="shared" si="16"/>
        <v>-3.04E-2</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t="s">
        <v>3551</v>
      </c>
      <c r="D63" s="1065">
        <f t="shared" si="12"/>
        <v>6.4000000000000003E-3</v>
      </c>
      <c r="E63" s="745"/>
      <c r="F63" s="1814"/>
      <c r="G63" s="1063">
        <f t="shared" si="17"/>
        <v>6.4000000000000003E-3</v>
      </c>
      <c r="H63" s="1066">
        <f t="shared" si="13"/>
        <v>6.4000000000000003E-3</v>
      </c>
      <c r="I63" s="3368">
        <v>0.11</v>
      </c>
      <c r="J63" s="1064">
        <f t="shared" si="14"/>
        <v>1.2800000000000001E-2</v>
      </c>
      <c r="K63" s="1064">
        <f t="shared" si="15"/>
        <v>6.4000000000000003E-3</v>
      </c>
      <c r="L63" s="1064">
        <v>0</v>
      </c>
      <c r="M63" s="1064">
        <f t="shared" si="16"/>
        <v>-6.4000000000000003E-3</v>
      </c>
      <c r="N63" s="1064">
        <f t="shared" si="16"/>
        <v>-1.2800000000000001E-2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3551</v>
      </c>
      <c r="D64" s="1065">
        <f t="shared" si="12"/>
        <v>2.8999999999999998E-3</v>
      </c>
      <c r="E64" s="745"/>
      <c r="F64" s="1814"/>
      <c r="G64" s="1063">
        <f t="shared" si="17"/>
        <v>2.8999999999999998E-3</v>
      </c>
      <c r="H64" s="1066">
        <f t="shared" si="13"/>
        <v>2.8999999999999998E-3</v>
      </c>
      <c r="I64" s="3368">
        <v>0.05</v>
      </c>
      <c r="J64" s="1064">
        <f t="shared" si="14"/>
        <v>5.7999999999999996E-3</v>
      </c>
      <c r="K64" s="1064">
        <f t="shared" si="15"/>
        <v>2.8999999999999998E-3</v>
      </c>
      <c r="L64" s="1064">
        <v>0</v>
      </c>
      <c r="M64" s="1064">
        <f t="shared" si="16"/>
        <v>-2.8999999999999998E-3</v>
      </c>
      <c r="N64" s="1064">
        <f t="shared" si="16"/>
        <v>-5.7999999999999996E-3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3551</v>
      </c>
      <c r="D65" s="1065">
        <f t="shared" si="12"/>
        <v>2.8999999999999998E-3</v>
      </c>
      <c r="E65" s="745"/>
      <c r="F65" s="1814"/>
      <c r="G65" s="1063">
        <f t="shared" si="17"/>
        <v>2.8999999999999998E-3</v>
      </c>
      <c r="H65" s="1066">
        <f t="shared" si="13"/>
        <v>2.8999999999999998E-3</v>
      </c>
      <c r="I65" s="3368">
        <v>0.05</v>
      </c>
      <c r="J65" s="1064">
        <f t="shared" si="14"/>
        <v>5.7999999999999996E-3</v>
      </c>
      <c r="K65" s="1064">
        <f t="shared" si="15"/>
        <v>2.8999999999999998E-3</v>
      </c>
      <c r="L65" s="1064">
        <v>0</v>
      </c>
      <c r="M65" s="1064">
        <f t="shared" si="16"/>
        <v>-2.8999999999999998E-3</v>
      </c>
      <c r="N65" s="1064">
        <f t="shared" si="16"/>
        <v>-5.7999999999999996E-3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3551</v>
      </c>
      <c r="D66" s="1065">
        <f t="shared" si="12"/>
        <v>3.5000000000000001E-3</v>
      </c>
      <c r="E66" s="745"/>
      <c r="F66" s="1814"/>
      <c r="G66" s="1063">
        <f t="shared" si="17"/>
        <v>3.5000000000000001E-3</v>
      </c>
      <c r="H66" s="1066">
        <f t="shared" si="13"/>
        <v>3.5000000000000001E-3</v>
      </c>
      <c r="I66" s="3368">
        <v>0.06</v>
      </c>
      <c r="J66" s="1064">
        <f t="shared" si="14"/>
        <v>7.0000000000000001E-3</v>
      </c>
      <c r="K66" s="1064">
        <f t="shared" si="15"/>
        <v>3.5000000000000001E-3</v>
      </c>
      <c r="L66" s="1064">
        <v>0</v>
      </c>
      <c r="M66" s="1064">
        <f t="shared" si="16"/>
        <v>-3.5000000000000001E-3</v>
      </c>
      <c r="N66" s="1064">
        <f t="shared" si="16"/>
        <v>-7.0000000000000001E-3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3552</v>
      </c>
      <c r="D67" s="1065">
        <f t="shared" si="12"/>
        <v>0</v>
      </c>
      <c r="E67" s="745"/>
      <c r="F67" s="1814"/>
      <c r="G67" s="1063">
        <f t="shared" si="17"/>
        <v>3.5000000000000001E-3</v>
      </c>
      <c r="H67" s="1066">
        <f t="shared" si="13"/>
        <v>3.5000000000000001E-3</v>
      </c>
      <c r="I67" s="3368">
        <v>0.06</v>
      </c>
      <c r="J67" s="1064">
        <f t="shared" si="14"/>
        <v>7.0000000000000001E-3</v>
      </c>
      <c r="K67" s="1064">
        <f t="shared" si="15"/>
        <v>3.5000000000000001E-3</v>
      </c>
      <c r="L67" s="1064">
        <v>0</v>
      </c>
      <c r="M67" s="1064">
        <f t="shared" si="16"/>
        <v>-3.5000000000000001E-3</v>
      </c>
      <c r="N67" s="1064">
        <f t="shared" si="16"/>
        <v>-7.0000000000000001E-3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3553</v>
      </c>
      <c r="D68" s="1065">
        <f t="shared" si="12"/>
        <v>1.04E-2</v>
      </c>
      <c r="E68" s="745"/>
      <c r="F68" s="1814"/>
      <c r="G68" s="1063">
        <f t="shared" si="17"/>
        <v>5.1999999999999998E-3</v>
      </c>
      <c r="H68" s="1066">
        <f t="shared" si="13"/>
        <v>5.1999999999999998E-3</v>
      </c>
      <c r="I68" s="3368">
        <v>0.09</v>
      </c>
      <c r="J68" s="1064">
        <f t="shared" si="14"/>
        <v>1.04E-2</v>
      </c>
      <c r="K68" s="1064">
        <f t="shared" si="15"/>
        <v>5.1999999999999998E-3</v>
      </c>
      <c r="L68" s="1064">
        <v>0</v>
      </c>
      <c r="M68" s="1064">
        <f t="shared" si="16"/>
        <v>-5.1999999999999998E-3</v>
      </c>
      <c r="N68" s="1064">
        <f t="shared" si="16"/>
        <v>-1.04E-2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3551</v>
      </c>
      <c r="D69" s="1065">
        <f t="shared" si="12"/>
        <v>4.0000000000000001E-3</v>
      </c>
      <c r="E69" s="746"/>
      <c r="F69" s="1814"/>
      <c r="G69" s="1063">
        <f t="shared" si="17"/>
        <v>4.0000000000000001E-3</v>
      </c>
      <c r="H69" s="1066">
        <f t="shared" si="13"/>
        <v>4.0000000000000001E-3</v>
      </c>
      <c r="I69" s="3369">
        <v>7.0000000000000007E-2</v>
      </c>
      <c r="J69" s="1064">
        <f t="shared" si="14"/>
        <v>8.0000000000000002E-3</v>
      </c>
      <c r="K69" s="1064">
        <f t="shared" si="15"/>
        <v>4.0000000000000001E-3</v>
      </c>
      <c r="L69" s="1064">
        <v>0</v>
      </c>
      <c r="M69" s="1064">
        <f t="shared" si="16"/>
        <v>-4.0000000000000001E-3</v>
      </c>
      <c r="N69" s="1064">
        <f t="shared" si="16"/>
        <v>-8.0000000000000002E-3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8">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8">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8"/>
        <v>0</v>
      </c>
      <c r="E74" s="747"/>
      <c r="F74" s="1814"/>
      <c r="G74" s="1063"/>
      <c r="H74" s="1066" t="str">
        <f t="shared" si="19"/>
        <v>——</v>
      </c>
      <c r="I74" s="3368">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8">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8">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8">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8">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8">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9">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8">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8">
        <v>0.3</v>
      </c>
      <c r="J84" s="1064">
        <f t="shared" si="25"/>
        <v>0</v>
      </c>
      <c r="K84" s="1064">
        <f t="shared" si="26"/>
        <v>0</v>
      </c>
      <c r="L84" s="1064">
        <v>0</v>
      </c>
      <c r="M84" s="1064">
        <f t="shared" si="27"/>
        <v>0</v>
      </c>
      <c r="N84" s="1064">
        <f t="shared" si="27"/>
        <v>0</v>
      </c>
      <c r="Z84" s="1998"/>
      <c r="AA84" s="2053"/>
      <c r="AG84" s="1121"/>
      <c r="AK84" s="2053"/>
    </row>
    <row r="85" spans="1:37" ht="36">
      <c r="A85" s="3370" t="s">
        <v>3279</v>
      </c>
      <c r="B85" s="2134">
        <f>估价对象房地状况!G17</f>
        <v>0</v>
      </c>
      <c r="C85" s="2044"/>
      <c r="D85" s="1065">
        <f t="shared" si="23"/>
        <v>0</v>
      </c>
      <c r="E85" s="747"/>
      <c r="F85" s="1814"/>
      <c r="G85" s="1063"/>
      <c r="H85" s="1066" t="str">
        <f t="shared" si="24"/>
        <v>——</v>
      </c>
      <c r="I85" s="3368">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8">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8">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8">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8">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9">
        <v>0.05</v>
      </c>
      <c r="J90" s="1064">
        <f t="shared" si="25"/>
        <v>0</v>
      </c>
      <c r="K90" s="1064">
        <f t="shared" si="26"/>
        <v>0</v>
      </c>
      <c r="L90" s="1064">
        <v>0</v>
      </c>
      <c r="M90" s="1064">
        <f t="shared" si="27"/>
        <v>0</v>
      </c>
      <c r="N90" s="1064">
        <f t="shared" si="27"/>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8">K93+$G93</f>
        <v>0</v>
      </c>
      <c r="K93" s="3346">
        <f t="shared" ref="K93:K101" si="29">$L93+$G93</f>
        <v>0</v>
      </c>
      <c r="L93" s="3346">
        <v>0</v>
      </c>
      <c r="M93" s="3346">
        <f t="shared" ref="M93:N101" si="30">L93-$G93</f>
        <v>0</v>
      </c>
      <c r="N93" s="3346">
        <f t="shared" si="30"/>
        <v>0</v>
      </c>
    </row>
    <row r="94" spans="1:37" ht="38.25">
      <c r="A94" s="3380" t="s">
        <v>3282</v>
      </c>
      <c r="B94" s="3371" t="str">
        <f>估价对象房地状况!C18</f>
        <v>估价对象周边道路状况、公共交通通达情况、停车便捷程度，综合评价交通便捷度较好</v>
      </c>
      <c r="C94" s="2044"/>
      <c r="D94" s="3367">
        <f t="shared" ref="D94:D101" si="31">SUMIF($J$60:$N$60,C94,J94:N94)</f>
        <v>0</v>
      </c>
      <c r="E94" s="3384"/>
      <c r="F94" s="1814"/>
      <c r="G94" s="3374"/>
      <c r="H94" s="3422" t="str">
        <f>IFERROR(ROUNDDOWN($F$93*I94/2,4),"——")</f>
        <v>——</v>
      </c>
      <c r="I94" s="3368">
        <v>0.26</v>
      </c>
      <c r="J94" s="3346">
        <f t="shared" si="28"/>
        <v>0</v>
      </c>
      <c r="K94" s="3346">
        <f t="shared" si="29"/>
        <v>0</v>
      </c>
      <c r="L94" s="3346">
        <v>0</v>
      </c>
      <c r="M94" s="3346">
        <f t="shared" si="30"/>
        <v>0</v>
      </c>
      <c r="N94" s="3346">
        <f t="shared" si="30"/>
        <v>0</v>
      </c>
    </row>
    <row r="95" spans="1:37" ht="36">
      <c r="A95" s="3370" t="s">
        <v>3278</v>
      </c>
      <c r="B95" s="3371">
        <f>估价对象房地状况!C19</f>
        <v>0</v>
      </c>
      <c r="C95" s="2044"/>
      <c r="D95" s="3367">
        <f t="shared" si="31"/>
        <v>0</v>
      </c>
      <c r="E95" s="3384"/>
      <c r="F95" s="1814"/>
      <c r="G95" s="3374"/>
      <c r="H95" s="3422" t="str">
        <f t="shared" ref="H95:H101" si="32">IFERROR(ROUNDDOWN($F$93*I95/2,4),"——")</f>
        <v>——</v>
      </c>
      <c r="I95" s="3368">
        <v>0.11</v>
      </c>
      <c r="J95" s="3346">
        <f t="shared" si="28"/>
        <v>0</v>
      </c>
      <c r="K95" s="3346">
        <f t="shared" si="29"/>
        <v>0</v>
      </c>
      <c r="L95" s="3346">
        <v>0</v>
      </c>
      <c r="M95" s="3346">
        <f t="shared" si="30"/>
        <v>0</v>
      </c>
      <c r="N95" s="3346">
        <f t="shared" si="30"/>
        <v>0</v>
      </c>
    </row>
    <row r="96" spans="1:37" ht="36.75">
      <c r="A96" s="3380" t="s">
        <v>3283</v>
      </c>
      <c r="B96" s="3386" t="s">
        <v>3294</v>
      </c>
      <c r="C96" s="2044"/>
      <c r="D96" s="3367">
        <f t="shared" si="31"/>
        <v>0</v>
      </c>
      <c r="E96" s="3384"/>
      <c r="F96" s="1814"/>
      <c r="G96" s="3374"/>
      <c r="H96" s="3422" t="str">
        <f t="shared" si="32"/>
        <v>——</v>
      </c>
      <c r="I96" s="3368">
        <v>0.05</v>
      </c>
      <c r="J96" s="3346">
        <f t="shared" si="28"/>
        <v>0</v>
      </c>
      <c r="K96" s="3346">
        <f t="shared" si="29"/>
        <v>0</v>
      </c>
      <c r="L96" s="3346">
        <v>0</v>
      </c>
      <c r="M96" s="3346">
        <f t="shared" si="30"/>
        <v>0</v>
      </c>
      <c r="N96" s="3346">
        <f t="shared" si="30"/>
        <v>0</v>
      </c>
    </row>
    <row r="97" spans="1:14" ht="24">
      <c r="A97" s="3380" t="s">
        <v>3284</v>
      </c>
      <c r="B97" s="3371">
        <f>估价对象房地状况!C24</f>
        <v>0</v>
      </c>
      <c r="C97" s="2044"/>
      <c r="D97" s="3367">
        <f t="shared" si="31"/>
        <v>0</v>
      </c>
      <c r="E97" s="3384"/>
      <c r="F97" s="1814"/>
      <c r="G97" s="3374"/>
      <c r="H97" s="3422" t="str">
        <f t="shared" si="32"/>
        <v>——</v>
      </c>
      <c r="I97" s="3368">
        <v>0.05</v>
      </c>
      <c r="J97" s="3346">
        <f t="shared" si="28"/>
        <v>0</v>
      </c>
      <c r="K97" s="3346">
        <f t="shared" si="29"/>
        <v>0</v>
      </c>
      <c r="L97" s="3346">
        <v>0</v>
      </c>
      <c r="M97" s="3346">
        <f t="shared" si="30"/>
        <v>0</v>
      </c>
      <c r="N97" s="3346">
        <f t="shared" si="30"/>
        <v>0</v>
      </c>
    </row>
    <row r="98" spans="1:14" ht="24">
      <c r="A98" s="3380" t="s">
        <v>3285</v>
      </c>
      <c r="B98" s="3387" t="s">
        <v>3295</v>
      </c>
      <c r="C98" s="2044"/>
      <c r="D98" s="3367">
        <f t="shared" si="31"/>
        <v>0</v>
      </c>
      <c r="E98" s="3384"/>
      <c r="F98" s="1814"/>
      <c r="G98" s="3374"/>
      <c r="H98" s="3422" t="str">
        <f t="shared" si="32"/>
        <v>——</v>
      </c>
      <c r="I98" s="3368">
        <v>0.06</v>
      </c>
      <c r="J98" s="3346">
        <f t="shared" si="28"/>
        <v>0</v>
      </c>
      <c r="K98" s="3346">
        <f t="shared" si="29"/>
        <v>0</v>
      </c>
      <c r="L98" s="3346">
        <v>0</v>
      </c>
      <c r="M98" s="3346">
        <f t="shared" si="30"/>
        <v>0</v>
      </c>
      <c r="N98" s="3346">
        <f t="shared" si="30"/>
        <v>0</v>
      </c>
    </row>
    <row r="99" spans="1:14" ht="25.5">
      <c r="A99" s="3380" t="s">
        <v>3286</v>
      </c>
      <c r="B99" s="3371" t="str">
        <f>估价对象房地状况!C21</f>
        <v>估价对象所在区域公共配套设施齐备情况</v>
      </c>
      <c r="C99" s="2044"/>
      <c r="D99" s="3367">
        <f t="shared" si="31"/>
        <v>0</v>
      </c>
      <c r="E99" s="3384"/>
      <c r="F99" s="1814"/>
      <c r="G99" s="3374"/>
      <c r="H99" s="3422" t="str">
        <f t="shared" si="32"/>
        <v>——</v>
      </c>
      <c r="I99" s="3368">
        <v>0.06</v>
      </c>
      <c r="J99" s="3346">
        <f t="shared" si="28"/>
        <v>0</v>
      </c>
      <c r="K99" s="3346">
        <f t="shared" si="29"/>
        <v>0</v>
      </c>
      <c r="L99" s="3346">
        <v>0</v>
      </c>
      <c r="M99" s="3346">
        <f t="shared" si="30"/>
        <v>0</v>
      </c>
      <c r="N99" s="3346">
        <f t="shared" si="30"/>
        <v>0</v>
      </c>
    </row>
    <row r="100" spans="1:14" ht="25.5">
      <c r="A100" s="3380" t="s">
        <v>3287</v>
      </c>
      <c r="B100" s="3371" t="str">
        <f>估价对象房地状况!C22</f>
        <v>估价对象所在区域基础设施水平</v>
      </c>
      <c r="C100" s="2044"/>
      <c r="D100" s="3367">
        <f t="shared" si="31"/>
        <v>0</v>
      </c>
      <c r="E100" s="3384"/>
      <c r="F100" s="1814"/>
      <c r="G100" s="3374"/>
      <c r="H100" s="3422" t="str">
        <f t="shared" si="32"/>
        <v>——</v>
      </c>
      <c r="I100" s="3368">
        <v>0.09</v>
      </c>
      <c r="J100" s="3346">
        <f t="shared" si="28"/>
        <v>0</v>
      </c>
      <c r="K100" s="3346">
        <f t="shared" si="29"/>
        <v>0</v>
      </c>
      <c r="L100" s="3346">
        <v>0</v>
      </c>
      <c r="M100" s="3346">
        <f t="shared" si="30"/>
        <v>0</v>
      </c>
      <c r="N100" s="3346">
        <f t="shared" si="30"/>
        <v>0</v>
      </c>
    </row>
    <row r="101" spans="1:14" ht="26.25" thickBot="1">
      <c r="A101" s="3381" t="s">
        <v>3288</v>
      </c>
      <c r="B101" s="3388" t="str">
        <f>估价对象房地状况!C20</f>
        <v>区域自然环境：；人文环境；综合评价环境状况一般</v>
      </c>
      <c r="C101" s="2044"/>
      <c r="D101" s="3367">
        <f t="shared" si="31"/>
        <v>0</v>
      </c>
      <c r="E101" s="3385"/>
      <c r="F101" s="1814"/>
      <c r="G101" s="3374"/>
      <c r="H101" s="3422" t="str">
        <f t="shared" si="32"/>
        <v>——</v>
      </c>
      <c r="I101" s="3369">
        <v>7.0000000000000007E-2</v>
      </c>
      <c r="J101" s="3346">
        <f t="shared" si="28"/>
        <v>0</v>
      </c>
      <c r="K101" s="3346">
        <f t="shared" si="29"/>
        <v>0</v>
      </c>
      <c r="L101" s="3346">
        <v>0</v>
      </c>
      <c r="M101" s="3346">
        <f t="shared" si="30"/>
        <v>0</v>
      </c>
      <c r="N101" s="3346">
        <f t="shared" si="30"/>
        <v>0</v>
      </c>
    </row>
    <row r="103" spans="1:14">
      <c r="A103" s="3696" t="s">
        <v>3303</v>
      </c>
      <c r="B103" s="3696"/>
      <c r="C103" s="3696"/>
      <c r="D103" s="3696"/>
      <c r="E103" s="3696"/>
      <c r="F103" s="3696"/>
      <c r="G103" s="3696"/>
      <c r="H103" s="3696"/>
      <c r="I103" s="3696"/>
      <c r="J103" s="3696"/>
      <c r="K103" s="3391"/>
      <c r="L103" s="3391"/>
      <c r="M103" s="3391"/>
      <c r="N103" s="3391"/>
    </row>
    <row r="104" spans="1:14">
      <c r="A104" s="3697" t="s">
        <v>3304</v>
      </c>
      <c r="B104" s="3697" t="s">
        <v>3305</v>
      </c>
      <c r="C104" s="3392" t="s">
        <v>3306</v>
      </c>
      <c r="D104" s="3393"/>
      <c r="E104" s="3393"/>
      <c r="F104" s="3393"/>
      <c r="G104" s="3393"/>
      <c r="H104" s="3393"/>
      <c r="I104" s="3393"/>
      <c r="J104" s="3394"/>
      <c r="K104" s="3395"/>
      <c r="L104" s="3395"/>
      <c r="M104" s="3395"/>
      <c r="N104" s="3395"/>
    </row>
    <row r="105" spans="1:14">
      <c r="A105" s="3697"/>
      <c r="B105" s="3697"/>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683"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684"/>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684"/>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684"/>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684"/>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684"/>
      <c r="B111" s="3396" t="s">
        <v>3277</v>
      </c>
      <c r="C111" s="3397">
        <f>$I$3</f>
        <v>0</v>
      </c>
      <c r="D111" s="3397">
        <f t="shared" ref="D111:M111" si="33">$I$3</f>
        <v>0</v>
      </c>
      <c r="E111" s="3397">
        <f t="shared" si="33"/>
        <v>0</v>
      </c>
      <c r="F111" s="3397">
        <f t="shared" si="33"/>
        <v>0</v>
      </c>
      <c r="G111" s="3397">
        <f t="shared" si="33"/>
        <v>0</v>
      </c>
      <c r="H111" s="3397">
        <f t="shared" si="33"/>
        <v>0</v>
      </c>
      <c r="I111" s="3397">
        <f t="shared" si="33"/>
        <v>0</v>
      </c>
      <c r="J111" s="3397">
        <f t="shared" si="33"/>
        <v>0</v>
      </c>
      <c r="K111" s="3397">
        <f t="shared" si="33"/>
        <v>0</v>
      </c>
      <c r="L111" s="3397">
        <f t="shared" si="33"/>
        <v>0</v>
      </c>
      <c r="M111" s="3397">
        <f t="shared" si="33"/>
        <v>0</v>
      </c>
      <c r="N111" s="3397">
        <f>$I$3</f>
        <v>0</v>
      </c>
    </row>
    <row r="112" spans="1:14">
      <c r="A112" s="3685"/>
      <c r="B112" s="3396">
        <v>6</v>
      </c>
      <c r="C112" s="3389">
        <f>(-0.5556*(C111^2)-0.2719*C111+8944)*(10^(-4))</f>
        <v>0.89440000000000008</v>
      </c>
      <c r="D112" s="3389">
        <f>(-0.5556*(D111^2)-0.2719*D111+8944)*(10^(-4))</f>
        <v>0.89440000000000008</v>
      </c>
      <c r="E112" s="3389">
        <f>(-0.7912*(E111^2)-11.3794*E111+8482)*(10^(-4))</f>
        <v>0.84820000000000007</v>
      </c>
      <c r="F112" s="3389">
        <f t="shared" ref="F112:I112" si="34">(-0.7912*(F111^2)-11.3794*F111+8482)*(10^(-4))</f>
        <v>0.84820000000000007</v>
      </c>
      <c r="G112" s="3389">
        <f t="shared" si="34"/>
        <v>0.84820000000000007</v>
      </c>
      <c r="H112" s="3389">
        <f t="shared" si="34"/>
        <v>0.84820000000000007</v>
      </c>
      <c r="I112" s="3389">
        <f t="shared" si="34"/>
        <v>0.84820000000000007</v>
      </c>
      <c r="J112" s="3389">
        <f>(-0.989*(J111^2)-63.78*J111+7771)*(10^(-4))</f>
        <v>0.77710000000000001</v>
      </c>
      <c r="K112" s="3389">
        <f t="shared" ref="K112:N112" si="35">(-0.989*(K111^2)-63.78*K111+7771)*(10^(-4))</f>
        <v>0.77710000000000001</v>
      </c>
      <c r="L112" s="3389">
        <f t="shared" si="35"/>
        <v>0.77710000000000001</v>
      </c>
      <c r="M112" s="3389">
        <f t="shared" si="35"/>
        <v>0.77710000000000001</v>
      </c>
      <c r="N112" s="3389">
        <f t="shared" si="35"/>
        <v>0.77710000000000001</v>
      </c>
    </row>
    <row r="113" spans="1:14">
      <c r="A113" s="3686" t="s">
        <v>3320</v>
      </c>
      <c r="B113" s="3686"/>
      <c r="C113" s="3686"/>
      <c r="D113" s="3686"/>
      <c r="E113" s="3686"/>
      <c r="F113" s="3686"/>
      <c r="G113" s="3686"/>
      <c r="H113" s="3686"/>
      <c r="I113" s="3686"/>
      <c r="J113" s="3686"/>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2.5</v>
      </c>
      <c r="C116" s="3401" t="s">
        <v>3322</v>
      </c>
      <c r="D116" s="3402">
        <f>SUMPRODUCT((A118:A122=F116)*(B117:M117=H116)*B118:M122)</f>
        <v>0.90600000000000003</v>
      </c>
      <c r="E116" s="2000" t="s">
        <v>3323</v>
      </c>
      <c r="F116" s="3403" t="str">
        <f>E2</f>
        <v>办公</v>
      </c>
      <c r="G116" s="2000" t="s">
        <v>3324</v>
      </c>
      <c r="H116" s="3403" t="str">
        <f>G2</f>
        <v>六级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0.96930000000000005</v>
      </c>
      <c r="C118" s="3389">
        <f>B118</f>
        <v>0.96930000000000005</v>
      </c>
      <c r="D118" s="3389">
        <f>ROUND(0.949-0.014*B116,4)</f>
        <v>0.91400000000000003</v>
      </c>
      <c r="E118" s="3389">
        <f>D118</f>
        <v>0.91400000000000003</v>
      </c>
      <c r="F118" s="3389">
        <f>E118</f>
        <v>0.91400000000000003</v>
      </c>
      <c r="G118" s="3389">
        <f>F118</f>
        <v>0.91400000000000003</v>
      </c>
      <c r="H118" s="3389">
        <f>G118</f>
        <v>0.91400000000000003</v>
      </c>
      <c r="I118" s="3389">
        <f>ROUND(0.8486-0.018*B116,4)</f>
        <v>0.80359999999999998</v>
      </c>
      <c r="J118" s="3389">
        <f t="shared" ref="J118:M122" si="36">I118</f>
        <v>0.80359999999999998</v>
      </c>
      <c r="K118" s="3389">
        <f t="shared" si="36"/>
        <v>0.80359999999999998</v>
      </c>
      <c r="L118" s="3389">
        <f t="shared" si="36"/>
        <v>0.80359999999999998</v>
      </c>
      <c r="M118" s="3412">
        <f t="shared" si="36"/>
        <v>0.80359999999999998</v>
      </c>
      <c r="N118" s="3399"/>
    </row>
    <row r="119" spans="1:14">
      <c r="A119" s="3411" t="s">
        <v>3338</v>
      </c>
      <c r="B119" s="3389">
        <f>ROUND(0.993-0.0112*B116,4)</f>
        <v>0.96499999999999997</v>
      </c>
      <c r="C119" s="3389">
        <f>B119</f>
        <v>0.96499999999999997</v>
      </c>
      <c r="D119" s="3389">
        <f>ROUND(0.9415-0.0142*B116,4)</f>
        <v>0.90600000000000003</v>
      </c>
      <c r="E119" s="3389">
        <f t="shared" ref="E119:H120" si="37">D119</f>
        <v>0.90600000000000003</v>
      </c>
      <c r="F119" s="3389">
        <f t="shared" si="37"/>
        <v>0.90600000000000003</v>
      </c>
      <c r="G119" s="3389">
        <f t="shared" si="37"/>
        <v>0.90600000000000003</v>
      </c>
      <c r="H119" s="3389">
        <f t="shared" si="37"/>
        <v>0.90600000000000003</v>
      </c>
      <c r="I119" s="3389">
        <f>ROUND(0.838-0.0182*B116,4)</f>
        <v>0.79249999999999998</v>
      </c>
      <c r="J119" s="3389">
        <f t="shared" si="36"/>
        <v>0.79249999999999998</v>
      </c>
      <c r="K119" s="3389">
        <f t="shared" si="36"/>
        <v>0.79249999999999998</v>
      </c>
      <c r="L119" s="3389">
        <f t="shared" si="36"/>
        <v>0.79249999999999998</v>
      </c>
      <c r="M119" s="3412">
        <f t="shared" si="36"/>
        <v>0.79249999999999998</v>
      </c>
      <c r="N119" s="3399"/>
    </row>
    <row r="120" spans="1:14">
      <c r="A120" s="3411" t="s">
        <v>3339</v>
      </c>
      <c r="B120" s="3389">
        <f>ROUND(0.9448-0.0115*B116,4)</f>
        <v>0.91610000000000003</v>
      </c>
      <c r="C120" s="3389">
        <f>B120</f>
        <v>0.91610000000000003</v>
      </c>
      <c r="D120" s="3389">
        <f>ROUND(0.937-0.0145*B116,4)</f>
        <v>0.90080000000000005</v>
      </c>
      <c r="E120" s="3389">
        <f t="shared" si="37"/>
        <v>0.90080000000000005</v>
      </c>
      <c r="F120" s="3389">
        <f t="shared" si="37"/>
        <v>0.90080000000000005</v>
      </c>
      <c r="G120" s="3389">
        <f t="shared" si="37"/>
        <v>0.90080000000000005</v>
      </c>
      <c r="H120" s="3389">
        <f t="shared" si="37"/>
        <v>0.90080000000000005</v>
      </c>
      <c r="I120" s="3389">
        <f>ROUND(0.7965-0.0185*B116,4)</f>
        <v>0.75029999999999997</v>
      </c>
      <c r="J120" s="3389">
        <f t="shared" si="36"/>
        <v>0.75029999999999997</v>
      </c>
      <c r="K120" s="3389">
        <f t="shared" si="36"/>
        <v>0.75029999999999997</v>
      </c>
      <c r="L120" s="3389">
        <f t="shared" si="36"/>
        <v>0.75029999999999997</v>
      </c>
      <c r="M120" s="3412">
        <f t="shared" si="36"/>
        <v>0.75029999999999997</v>
      </c>
      <c r="N120" s="3399"/>
    </row>
    <row r="121" spans="1:14" ht="13.5" thickBot="1">
      <c r="A121" s="3413" t="s">
        <v>3340</v>
      </c>
      <c r="B121" s="3414">
        <f>ROUND(0.7836-0.012*B116,4)</f>
        <v>0.75360000000000005</v>
      </c>
      <c r="C121" s="3414">
        <f>B121</f>
        <v>0.75360000000000005</v>
      </c>
      <c r="D121" s="3414">
        <f>ROUND(0.753-0.015*B116,4)</f>
        <v>0.71550000000000002</v>
      </c>
      <c r="E121" s="3414">
        <f>D121</f>
        <v>0.71550000000000002</v>
      </c>
      <c r="F121" s="3414">
        <f>E121</f>
        <v>0.71550000000000002</v>
      </c>
      <c r="G121" s="3414">
        <f>ROUND(0.6612-0.018*B116,4)</f>
        <v>0.61619999999999997</v>
      </c>
      <c r="H121" s="3414">
        <f>G121</f>
        <v>0.61619999999999997</v>
      </c>
      <c r="I121" s="3414">
        <f>ROUND(0.5905-0.019*B116,4)</f>
        <v>0.54300000000000004</v>
      </c>
      <c r="J121" s="3414">
        <f t="shared" si="36"/>
        <v>0.54300000000000004</v>
      </c>
      <c r="K121" s="3414">
        <f t="shared" si="36"/>
        <v>0.54300000000000004</v>
      </c>
      <c r="L121" s="3414">
        <f t="shared" si="36"/>
        <v>0.54300000000000004</v>
      </c>
      <c r="M121" s="3415">
        <f t="shared" si="36"/>
        <v>0.54300000000000004</v>
      </c>
      <c r="N121" s="3399"/>
    </row>
    <row r="122" spans="1:14">
      <c r="A122" s="3416" t="s">
        <v>2615</v>
      </c>
      <c r="B122" s="3389">
        <f>ROUND(0.9404-0.0106*B116,4)</f>
        <v>0.91390000000000005</v>
      </c>
      <c r="C122" s="3389">
        <f>B122</f>
        <v>0.91390000000000005</v>
      </c>
      <c r="D122" s="3389">
        <f>ROUND(0.8955-0.0135*B116,4)</f>
        <v>0.86180000000000001</v>
      </c>
      <c r="E122" s="3389">
        <f t="shared" ref="E122:H122" si="38">D122</f>
        <v>0.86180000000000001</v>
      </c>
      <c r="F122" s="3389">
        <f t="shared" si="38"/>
        <v>0.86180000000000001</v>
      </c>
      <c r="G122" s="3389">
        <f t="shared" si="38"/>
        <v>0.86180000000000001</v>
      </c>
      <c r="H122" s="3389">
        <f t="shared" si="38"/>
        <v>0.86180000000000001</v>
      </c>
      <c r="I122" s="3389">
        <f>ROUND(0.7632-0.0166*B116,4)</f>
        <v>0.72170000000000001</v>
      </c>
      <c r="J122" s="3389">
        <f t="shared" si="36"/>
        <v>0.72170000000000001</v>
      </c>
      <c r="K122" s="3389">
        <f t="shared" si="36"/>
        <v>0.72170000000000001</v>
      </c>
      <c r="L122" s="3389">
        <f t="shared" si="36"/>
        <v>0.72170000000000001</v>
      </c>
      <c r="M122" s="3412">
        <f t="shared" si="36"/>
        <v>0.72170000000000001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7" priority="6" stopIfTrue="1" operator="notEqual">
      <formula>"——"</formula>
    </cfRule>
  </conditionalFormatting>
  <conditionalFormatting sqref="F61">
    <cfRule type="cellIs" dxfId="196" priority="5" stopIfTrue="1" operator="notEqual">
      <formula>"——"</formula>
    </cfRule>
  </conditionalFormatting>
  <conditionalFormatting sqref="F72">
    <cfRule type="cellIs" dxfId="195" priority="4" stopIfTrue="1" operator="notEqual">
      <formula>"——"</formula>
    </cfRule>
  </conditionalFormatting>
  <conditionalFormatting sqref="F83">
    <cfRule type="cellIs" dxfId="194" priority="3" stopIfTrue="1" operator="notEqual">
      <formula>"——"</formula>
    </cfRule>
  </conditionalFormatting>
  <conditionalFormatting sqref="H50:H58 H61:H69 H72:H80 H83:H91">
    <cfRule type="cellIs" dxfId="193" priority="2" operator="notEqual">
      <formula>"——"</formula>
    </cfRule>
  </conditionalFormatting>
  <conditionalFormatting sqref="H93:H101">
    <cfRule type="cellIs" dxfId="19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sqref="V2:V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57573.479999999974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16964</v>
      </c>
      <c r="C2" s="1999" t="s">
        <v>1935</v>
      </c>
      <c r="D2" s="2000" t="s">
        <v>1936</v>
      </c>
      <c r="E2" s="3423"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19624</v>
      </c>
      <c r="U2" s="1213">
        <f>抵押物清单!K3</f>
        <v>4009.37</v>
      </c>
      <c r="V2" s="3362">
        <f>ROUND(T2*U2/10000,0)</f>
        <v>7868</v>
      </c>
      <c r="W2" s="1216"/>
      <c r="X2" s="1216"/>
      <c r="Y2" s="1216"/>
      <c r="Z2" s="1216"/>
      <c r="AA2" s="1216"/>
      <c r="AB2" s="1216"/>
      <c r="AC2" s="1217"/>
      <c r="AD2" s="1218"/>
      <c r="AE2" s="1218"/>
      <c r="AF2" s="1218"/>
      <c r="AG2" s="1218"/>
      <c r="AH2" s="1218"/>
      <c r="AI2" s="1218"/>
      <c r="AJ2" s="1219"/>
    </row>
    <row r="3" spans="1:36" ht="15.75">
      <c r="A3" s="203" t="s">
        <v>1940</v>
      </c>
      <c r="B3" s="204">
        <f>ROUND(B2*10000/D1,0)</f>
        <v>2946</v>
      </c>
      <c r="C3" s="1999" t="s">
        <v>1941</v>
      </c>
      <c r="D3" s="2000" t="s">
        <v>1942</v>
      </c>
      <c r="E3" s="3421" t="s">
        <v>2442</v>
      </c>
      <c r="F3" s="2004" t="s">
        <v>3548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15467</v>
      </c>
      <c r="U3" s="1213">
        <f>抵押物清单!K4</f>
        <v>5880.75</v>
      </c>
      <c r="V3" s="3362">
        <f t="shared" ref="V3:V16" si="1">ROUND(T3*U3/10000,0)</f>
        <v>9096</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13072</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13180</v>
      </c>
      <c r="D5" s="1339">
        <f>ROUND(C6*C17+C20,0)</f>
        <v>13180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f t="shared" si="0"/>
        <v>11529</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13180</v>
      </c>
      <c r="D6" s="2017"/>
      <c r="E6" s="2018"/>
      <c r="F6" s="2018"/>
      <c r="G6" s="2019"/>
      <c r="H6" s="2019"/>
      <c r="I6" s="2019"/>
      <c r="J6" s="2020"/>
      <c r="K6" s="1384"/>
      <c r="L6" s="2003" t="s">
        <v>1951</v>
      </c>
      <c r="M6" s="864">
        <f>SUMPRODUCT((区片价!B127:B189=I2)*(区片价!C3:G3=E2)*(区片价!C127:G189))</f>
        <v>13180</v>
      </c>
      <c r="N6" s="866">
        <f>SUMPRODUCT((因素修正幅度!B127:B189=I2)*(因素修正幅度!C3:G3=E2)*(因素修正幅度!C127:G189))</f>
        <v>0.11600000000000001</v>
      </c>
      <c r="O6" s="1119"/>
      <c r="P6" s="1119"/>
      <c r="Q6" s="1119"/>
      <c r="R6" s="1212">
        <v>5</v>
      </c>
      <c r="S6" s="3362">
        <f>ROUND(SUMPRODUCT((B106:B110=R6)*(C105:N105=G2)*(C106:N110)),4)</f>
        <v>0.84799999999999998</v>
      </c>
      <c r="T6" s="3362">
        <f t="shared" si="0"/>
        <v>11080</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3459"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3476" t="s">
        <v>1955</v>
      </c>
      <c r="X7" s="1214" t="str">
        <f>G2</f>
        <v>六级</v>
      </c>
      <c r="Y7" s="1214" t="s">
        <v>1956</v>
      </c>
      <c r="Z7" s="1215">
        <f>G3</f>
        <v>2.5</v>
      </c>
      <c r="AA7" s="1216"/>
      <c r="AB7" s="1216"/>
      <c r="AC7" s="1217"/>
      <c r="AD7" s="1218"/>
      <c r="AE7" s="1218"/>
      <c r="AF7" s="1218"/>
      <c r="AG7" s="1218"/>
      <c r="AH7" s="1218"/>
      <c r="AI7" s="1218"/>
      <c r="AJ7" s="1219"/>
    </row>
    <row r="8" spans="1:36" ht="25.5">
      <c r="A8" s="3300"/>
      <c r="B8" s="170" t="s">
        <v>1957</v>
      </c>
      <c r="C8" s="2026" t="s">
        <v>3549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689"/>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689"/>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v>1</v>
      </c>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3466"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3467"/>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465"/>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94" t="s">
        <v>3263</v>
      </c>
      <c r="B20" s="167" t="s">
        <v>1994</v>
      </c>
      <c r="C20" s="3326">
        <f>ROUND(IF(F21="与级别开发程度一致",0,(G21-E21)/C21),0)</f>
        <v>0</v>
      </c>
      <c r="D20" s="3342" t="s">
        <v>1998</v>
      </c>
      <c r="E20" s="3343"/>
      <c r="F20" s="3700" t="s">
        <v>1995</v>
      </c>
      <c r="G20" s="3701"/>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9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3550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44936</v>
      </c>
      <c r="H23" s="3344" t="s">
        <v>3265</v>
      </c>
      <c r="I23" s="3345" t="str">
        <f>IF(H23="季度增幅（自定义）",SUMIF(N25:N28,E2,O25:O28),"")</f>
        <v/>
      </c>
      <c r="J23" s="3447" t="s">
        <v>3264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0.92989999999999995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3556</v>
      </c>
      <c r="C25" s="3472">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3471">
        <f>IF(E26=G26,F26,IF(G3&lt;10,ROUND(F26+(H26-F26)*(G3-E26)/(G26-E26),4),"——"))</f>
        <v>1</v>
      </c>
      <c r="E26" s="752">
        <f>ROUNDDOWN(G3,1)</f>
        <v>2.5</v>
      </c>
      <c r="F26" s="34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4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16964</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'数据-汇总表'!F19+'数据-汇总表'!F21</f>
        <v>57573.479999999974</v>
      </c>
      <c r="E33" s="773">
        <f>ROUND(C33*D33/10000,0)</f>
        <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80">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2036</v>
      </c>
      <c r="C37" s="175">
        <f>ROUND(D5*C22*C23*C24*C28*F37,0)</f>
        <v>7839</v>
      </c>
      <c r="D37" s="2098"/>
      <c r="E37" s="171">
        <f>ROUND(C37*D37/10000,0)</f>
        <v>0</v>
      </c>
      <c r="F37" s="171">
        <f>SUMIF(修正!A57:A68,G2,修正!B57:B68)</f>
        <v>0.6</v>
      </c>
      <c r="G37" s="171">
        <f>ROUND(IF(E2="工业",C37*$M$42,C37*$M$41),0)</f>
        <v>1960</v>
      </c>
      <c r="H37" s="171">
        <f>D37</f>
        <v>0</v>
      </c>
      <c r="I37" s="171">
        <f>ROUND(G37*H37/10000,0)</f>
        <v>0</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2037</v>
      </c>
      <c r="C38" s="175">
        <f>ROUND(D5*C22*C23*C24*C28*F38,0)</f>
        <v>3920</v>
      </c>
      <c r="D38" s="2098"/>
      <c r="E38" s="171">
        <f t="shared" ref="E38:E42" si="4">ROUND(C38*D38/10000,0)</f>
        <v>0</v>
      </c>
      <c r="F38" s="171">
        <f>SUMIF(修正!A57:A68,G2,修正!C57:C68)</f>
        <v>0.3</v>
      </c>
      <c r="G38" s="171">
        <f>ROUND(IF(E2="工业",C38*$M$42,C38*$M$41),0)</f>
        <v>980</v>
      </c>
      <c r="H38" s="171">
        <f t="shared" ref="H38:H42" si="5">D38</f>
        <v>0</v>
      </c>
      <c r="I38" s="171">
        <f t="shared" ref="I38:I42" si="6">ROUND(G38*H38/10000,0)</f>
        <v>0</v>
      </c>
      <c r="J38" s="3479"/>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699"/>
      <c r="B39" s="2041" t="s">
        <v>3268</v>
      </c>
      <c r="C39" s="175">
        <f>ROUND(D5*C22*C23*C24*C28*F39,0)</f>
        <v>3266</v>
      </c>
      <c r="D39" s="2098"/>
      <c r="E39" s="171">
        <f t="shared" si="4"/>
        <v>0</v>
      </c>
      <c r="F39" s="171">
        <f>SUMIF(修正!A57:A68,G2,修正!D57:D68)</f>
        <v>0.25</v>
      </c>
      <c r="G39" s="171">
        <f>ROUND(IF(E2="工业",C39*$M$42,C39*$M$41),0)</f>
        <v>817</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3266</v>
      </c>
      <c r="D40" s="2098"/>
      <c r="E40" s="171">
        <f t="shared" si="4"/>
        <v>0</v>
      </c>
      <c r="F40" s="175">
        <f>SUMIF(修正!A57:A68,G2,修正!E57:E68)</f>
        <v>0.25</v>
      </c>
      <c r="G40" s="171">
        <f>ROUND(IF(E2="工业",C40*$M$42,C40*$M$41),0)</f>
        <v>817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3552</v>
      </c>
      <c r="D50" s="1065">
        <f t="shared" ref="D50:D58" si="7">SUMIF($J$49:$N$49,C50,J50:N50)</f>
        <v>0</v>
      </c>
      <c r="E50" s="744">
        <f>ROUND(SUM(D50:D58),4)</f>
        <v>4.2099999999999999E-2</v>
      </c>
      <c r="F50" s="1814">
        <f>IF(E2="商业",SUMIF(L1:L12,G2,N1:N12),"——")</f>
        <v>0.11600000000000001</v>
      </c>
      <c r="G50" s="1063">
        <f>H50</f>
        <v>1.7399999999999999E-2</v>
      </c>
      <c r="H50" s="1066">
        <f t="shared" ref="H50:H58" si="8">IFERROR(ROUNDDOWN($F$50*I50/2,4),"——")</f>
        <v>1.7399999999999999E-2</v>
      </c>
      <c r="I50" s="3368">
        <v>0.3</v>
      </c>
      <c r="J50" s="1064">
        <f t="shared" ref="J50:J58" si="9">K50+$G50</f>
        <v>3.4799999999999998E-2</v>
      </c>
      <c r="K50" s="1064">
        <f t="shared" ref="K50:K58" si="10">$L50+$G50</f>
        <v>1.7399999999999999E-2</v>
      </c>
      <c r="L50" s="1064">
        <v>0</v>
      </c>
      <c r="M50" s="1064">
        <f t="shared" ref="M50:N58" si="11">L50-$G50</f>
        <v>-1.7399999999999999E-2</v>
      </c>
      <c r="N50" s="1064">
        <f t="shared" si="11"/>
        <v>-3.4799999999999998E-2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3551</v>
      </c>
      <c r="D51" s="1065">
        <f t="shared" si="7"/>
        <v>1.2699999999999999E-2</v>
      </c>
      <c r="E51" s="745"/>
      <c r="F51" s="1814"/>
      <c r="G51" s="1063">
        <f t="shared" ref="G51:G58" si="12">H51</f>
        <v>1.2699999999999999E-2</v>
      </c>
      <c r="H51" s="1066">
        <f t="shared" si="8"/>
        <v>1.2699999999999999E-2</v>
      </c>
      <c r="I51" s="3368">
        <v>0.22</v>
      </c>
      <c r="J51" s="1064">
        <f t="shared" si="9"/>
        <v>2.5399999999999999E-2</v>
      </c>
      <c r="K51" s="1064">
        <f t="shared" si="10"/>
        <v>1.2699999999999999E-2</v>
      </c>
      <c r="L51" s="1064">
        <v>0</v>
      </c>
      <c r="M51" s="1064">
        <f t="shared" si="11"/>
        <v>-1.2699999999999999E-2</v>
      </c>
      <c r="N51" s="1064">
        <f t="shared" si="11"/>
        <v>-2.5399999999999999E-2</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t="s">
        <v>3551</v>
      </c>
      <c r="D52" s="1065">
        <f t="shared" si="7"/>
        <v>6.8999999999999999E-3</v>
      </c>
      <c r="E52" s="745"/>
      <c r="F52" s="1814"/>
      <c r="G52" s="1063">
        <f t="shared" si="12"/>
        <v>6.8999999999999999E-3</v>
      </c>
      <c r="H52" s="1066">
        <f t="shared" si="8"/>
        <v>6.8999999999999999E-3</v>
      </c>
      <c r="I52" s="3368">
        <v>0.12</v>
      </c>
      <c r="J52" s="1064">
        <f t="shared" si="9"/>
        <v>1.38E-2</v>
      </c>
      <c r="K52" s="1064">
        <f t="shared" si="10"/>
        <v>6.8999999999999999E-3</v>
      </c>
      <c r="L52" s="1064">
        <v>0</v>
      </c>
      <c r="M52" s="1064">
        <f t="shared" si="11"/>
        <v>-6.8999999999999999E-3</v>
      </c>
      <c r="N52" s="1064">
        <f t="shared" si="11"/>
        <v>-1.38E-2</v>
      </c>
      <c r="AA52" s="1120"/>
      <c r="AB52" s="1120"/>
      <c r="AC52" s="1120"/>
      <c r="AD52" s="1120"/>
      <c r="AE52" s="1120"/>
      <c r="AF52" s="1120"/>
      <c r="AG52" s="1120"/>
      <c r="AH52" s="1120"/>
      <c r="AI52" s="1120"/>
      <c r="AJ52" s="1120"/>
      <c r="AK52" s="1120"/>
    </row>
    <row r="53" spans="1:37" s="1119" customFormat="1" ht="36.75">
      <c r="A53" s="2130" t="s">
        <v>2054</v>
      </c>
      <c r="B53" s="2135" t="s">
        <v>2055</v>
      </c>
      <c r="C53" s="2044" t="s">
        <v>3551</v>
      </c>
      <c r="D53" s="1065">
        <f t="shared" si="7"/>
        <v>2.8999999999999998E-3</v>
      </c>
      <c r="E53" s="745"/>
      <c r="F53" s="1814"/>
      <c r="G53" s="1063">
        <f t="shared" si="12"/>
        <v>2.8999999999999998E-3</v>
      </c>
      <c r="H53" s="1066">
        <f t="shared" si="8"/>
        <v>2.8999999999999998E-3</v>
      </c>
      <c r="I53" s="3368">
        <v>0.05</v>
      </c>
      <c r="J53" s="1064">
        <f t="shared" si="9"/>
        <v>5.7999999999999996E-3</v>
      </c>
      <c r="K53" s="1064">
        <f t="shared" si="10"/>
        <v>2.8999999999999998E-3</v>
      </c>
      <c r="L53" s="1064">
        <v>0</v>
      </c>
      <c r="M53" s="1064">
        <f t="shared" si="11"/>
        <v>-2.8999999999999998E-3</v>
      </c>
      <c r="N53" s="1064">
        <f t="shared" si="11"/>
        <v>-5.7999999999999996E-3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3551</v>
      </c>
      <c r="D54" s="1065">
        <f t="shared" si="7"/>
        <v>4.5999999999999999E-3</v>
      </c>
      <c r="E54" s="745"/>
      <c r="F54" s="1814"/>
      <c r="G54" s="1063">
        <f t="shared" si="12"/>
        <v>4.5999999999999999E-3</v>
      </c>
      <c r="H54" s="1066">
        <f t="shared" si="8"/>
        <v>4.5999999999999999E-3</v>
      </c>
      <c r="I54" s="3368">
        <v>0.08</v>
      </c>
      <c r="J54" s="1064">
        <f t="shared" si="9"/>
        <v>9.1999999999999998E-3</v>
      </c>
      <c r="K54" s="1064">
        <f t="shared" si="10"/>
        <v>4.5999999999999999E-3</v>
      </c>
      <c r="L54" s="1064">
        <v>0</v>
      </c>
      <c r="M54" s="1064">
        <f t="shared" si="11"/>
        <v>-4.5999999999999999E-3</v>
      </c>
      <c r="N54" s="1064">
        <f t="shared" si="11"/>
        <v>-9.1999999999999998E-3</v>
      </c>
      <c r="AA54" s="1120"/>
      <c r="AB54" s="1120"/>
      <c r="AC54" s="1120"/>
      <c r="AD54" s="1120"/>
      <c r="AE54" s="1120"/>
      <c r="AF54" s="1120"/>
      <c r="AG54" s="1120"/>
      <c r="AH54" s="1120"/>
      <c r="AI54" s="1120"/>
      <c r="AJ54" s="1120"/>
      <c r="AK54" s="1120"/>
    </row>
    <row r="55" spans="1:37" s="1119" customFormat="1" ht="24">
      <c r="A55" s="2130" t="s">
        <v>2057</v>
      </c>
      <c r="B55" s="2136" t="s">
        <v>2058</v>
      </c>
      <c r="C55" s="2044" t="s">
        <v>3551</v>
      </c>
      <c r="D55" s="1065">
        <f t="shared" si="7"/>
        <v>2.8999999999999998E-3</v>
      </c>
      <c r="E55" s="745"/>
      <c r="F55" s="1814"/>
      <c r="G55" s="1063">
        <f t="shared" si="12"/>
        <v>2.8999999999999998E-3</v>
      </c>
      <c r="H55" s="1066">
        <f t="shared" si="8"/>
        <v>2.8999999999999998E-3</v>
      </c>
      <c r="I55" s="3368">
        <v>0.05</v>
      </c>
      <c r="J55" s="1064">
        <f t="shared" si="9"/>
        <v>5.7999999999999996E-3</v>
      </c>
      <c r="K55" s="1064">
        <f t="shared" si="10"/>
        <v>2.8999999999999998E-3</v>
      </c>
      <c r="L55" s="1064">
        <v>0</v>
      </c>
      <c r="M55" s="1064">
        <f t="shared" si="11"/>
        <v>-2.8999999999999998E-3</v>
      </c>
      <c r="N55" s="1064">
        <f t="shared" si="11"/>
        <v>-5.7999999999999996E-3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3552</v>
      </c>
      <c r="D56" s="1065">
        <f t="shared" si="7"/>
        <v>0</v>
      </c>
      <c r="E56" s="745"/>
      <c r="F56" s="1814"/>
      <c r="G56" s="1063">
        <f t="shared" si="12"/>
        <v>2.8999999999999998E-3</v>
      </c>
      <c r="H56" s="1066">
        <f t="shared" si="8"/>
        <v>2.8999999999999998E-3</v>
      </c>
      <c r="I56" s="3368">
        <v>0.05</v>
      </c>
      <c r="J56" s="1064">
        <f t="shared" si="9"/>
        <v>5.7999999999999996E-3</v>
      </c>
      <c r="K56" s="1064">
        <f t="shared" si="10"/>
        <v>2.8999999999999998E-3</v>
      </c>
      <c r="L56" s="1064">
        <v>0</v>
      </c>
      <c r="M56" s="1064">
        <f t="shared" si="11"/>
        <v>-2.8999999999999998E-3</v>
      </c>
      <c r="N56" s="1064">
        <f t="shared" si="11"/>
        <v>-5.7999999999999996E-3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3553</v>
      </c>
      <c r="D57" s="1065">
        <f t="shared" si="7"/>
        <v>9.1999999999999998E-3</v>
      </c>
      <c r="E57" s="745"/>
      <c r="F57" s="1814"/>
      <c r="G57" s="1063">
        <f t="shared" si="12"/>
        <v>4.5999999999999999E-3</v>
      </c>
      <c r="H57" s="1066">
        <f t="shared" si="8"/>
        <v>4.5999999999999999E-3</v>
      </c>
      <c r="I57" s="3368">
        <v>0.08</v>
      </c>
      <c r="J57" s="1064">
        <f t="shared" si="9"/>
        <v>9.1999999999999998E-3</v>
      </c>
      <c r="K57" s="1064">
        <f t="shared" si="10"/>
        <v>4.5999999999999999E-3</v>
      </c>
      <c r="L57" s="1064">
        <v>0</v>
      </c>
      <c r="M57" s="1064">
        <f t="shared" si="11"/>
        <v>-4.5999999999999999E-3</v>
      </c>
      <c r="N57" s="1064">
        <f t="shared" si="11"/>
        <v>-9.1999999999999998E-3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3551</v>
      </c>
      <c r="D58" s="1065">
        <f t="shared" si="7"/>
        <v>2.8999999999999998E-3</v>
      </c>
      <c r="E58" s="746"/>
      <c r="F58" s="1814"/>
      <c r="G58" s="1063">
        <f t="shared" si="12"/>
        <v>2.8999999999999998E-3</v>
      </c>
      <c r="H58" s="1066">
        <f t="shared" si="8"/>
        <v>2.8999999999999998E-3</v>
      </c>
      <c r="I58" s="3369">
        <v>0.05</v>
      </c>
      <c r="J58" s="1064">
        <f t="shared" si="9"/>
        <v>5.7999999999999996E-3</v>
      </c>
      <c r="K58" s="1064">
        <f t="shared" si="10"/>
        <v>2.8999999999999998E-3</v>
      </c>
      <c r="L58" s="1064">
        <v>0</v>
      </c>
      <c r="M58" s="1064">
        <f t="shared" si="11"/>
        <v>-2.8999999999999998E-3</v>
      </c>
      <c r="N58" s="1064">
        <f t="shared" si="11"/>
        <v>-5.7999999999999996E-3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3551</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8">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3551</v>
      </c>
      <c r="D62" s="1065" t="e">
        <f t="shared" si="13"/>
        <v>#VALUE!</v>
      </c>
      <c r="E62" s="745"/>
      <c r="F62" s="1814"/>
      <c r="G62" s="1063" t="str">
        <f t="shared" ref="G62:G69" si="18">H62</f>
        <v>——</v>
      </c>
      <c r="H62" s="1066" t="str">
        <f t="shared" si="14"/>
        <v>——</v>
      </c>
      <c r="I62" s="3368">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t="s">
        <v>3551</v>
      </c>
      <c r="D63" s="1065" t="e">
        <f t="shared" si="13"/>
        <v>#VALUE!</v>
      </c>
      <c r="E63" s="745"/>
      <c r="F63" s="1814"/>
      <c r="G63" s="1063" t="str">
        <f t="shared" si="18"/>
        <v>——</v>
      </c>
      <c r="H63" s="1066" t="str">
        <f t="shared" si="14"/>
        <v>——</v>
      </c>
      <c r="I63" s="3368">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3551</v>
      </c>
      <c r="D64" s="1065" t="e">
        <f t="shared" si="13"/>
        <v>#VALUE!</v>
      </c>
      <c r="E64" s="745"/>
      <c r="F64" s="1814"/>
      <c r="G64" s="1063" t="str">
        <f t="shared" si="18"/>
        <v>——</v>
      </c>
      <c r="H64" s="1066" t="str">
        <f t="shared" si="14"/>
        <v>——</v>
      </c>
      <c r="I64" s="3368">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3551</v>
      </c>
      <c r="D65" s="1065" t="e">
        <f t="shared" si="13"/>
        <v>#VALUE!</v>
      </c>
      <c r="E65" s="745"/>
      <c r="F65" s="1814"/>
      <c r="G65" s="1063" t="str">
        <f t="shared" si="18"/>
        <v>——</v>
      </c>
      <c r="H65" s="1066" t="str">
        <f t="shared" si="14"/>
        <v>——</v>
      </c>
      <c r="I65" s="3368">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3551</v>
      </c>
      <c r="D66" s="1065" t="e">
        <f t="shared" si="13"/>
        <v>#VALUE!</v>
      </c>
      <c r="E66" s="745"/>
      <c r="F66" s="1814"/>
      <c r="G66" s="1063" t="str">
        <f t="shared" si="18"/>
        <v>——</v>
      </c>
      <c r="H66" s="1066" t="str">
        <f t="shared" si="14"/>
        <v>——</v>
      </c>
      <c r="I66" s="3368">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3552</v>
      </c>
      <c r="D67" s="1065">
        <f t="shared" si="13"/>
        <v>0</v>
      </c>
      <c r="E67" s="745"/>
      <c r="F67" s="1814"/>
      <c r="G67" s="1063" t="str">
        <f t="shared" si="18"/>
        <v>——</v>
      </c>
      <c r="H67" s="1066" t="str">
        <f t="shared" si="14"/>
        <v>——</v>
      </c>
      <c r="I67" s="3368">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3553</v>
      </c>
      <c r="D68" s="1065" t="e">
        <f t="shared" si="13"/>
        <v>#VALUE!</v>
      </c>
      <c r="E68" s="745"/>
      <c r="F68" s="1814"/>
      <c r="G68" s="1063" t="str">
        <f t="shared" si="18"/>
        <v>——</v>
      </c>
      <c r="H68" s="1066" t="str">
        <f t="shared" si="14"/>
        <v>——</v>
      </c>
      <c r="I68" s="3368">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3551</v>
      </c>
      <c r="D69" s="1065" t="e">
        <f t="shared" si="13"/>
        <v>#VALUE!</v>
      </c>
      <c r="E69" s="746"/>
      <c r="F69" s="1814"/>
      <c r="G69" s="1063" t="str">
        <f t="shared" si="18"/>
        <v>——</v>
      </c>
      <c r="H69" s="1066" t="str">
        <f t="shared" si="14"/>
        <v>——</v>
      </c>
      <c r="I69" s="3369">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8">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8">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9"/>
        <v>0</v>
      </c>
      <c r="E74" s="747"/>
      <c r="F74" s="1814"/>
      <c r="G74" s="1063"/>
      <c r="H74" s="1066" t="str">
        <f t="shared" si="20"/>
        <v>——</v>
      </c>
      <c r="I74" s="3368">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8">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8">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8">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8">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8">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9">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8">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8">
        <v>0.3</v>
      </c>
      <c r="J84" s="1064">
        <f t="shared" si="26"/>
        <v>0</v>
      </c>
      <c r="K84" s="1064">
        <f t="shared" si="27"/>
        <v>0</v>
      </c>
      <c r="L84" s="1064">
        <v>0</v>
      </c>
      <c r="M84" s="1064">
        <f t="shared" si="28"/>
        <v>0</v>
      </c>
      <c r="N84" s="1064">
        <f t="shared" si="28"/>
        <v>0</v>
      </c>
      <c r="Z84" s="1998"/>
      <c r="AA84" s="2053"/>
      <c r="AG84" s="1121"/>
      <c r="AK84" s="2053"/>
    </row>
    <row r="85" spans="1:37" ht="36">
      <c r="A85" s="3370" t="s">
        <v>3278</v>
      </c>
      <c r="B85" s="2134">
        <f>估价对象房地状况!G17</f>
        <v>0</v>
      </c>
      <c r="C85" s="2044"/>
      <c r="D85" s="1065">
        <f t="shared" si="24"/>
        <v>0</v>
      </c>
      <c r="E85" s="747"/>
      <c r="F85" s="1814"/>
      <c r="G85" s="1063"/>
      <c r="H85" s="1066" t="str">
        <f t="shared" si="25"/>
        <v>——</v>
      </c>
      <c r="I85" s="3368">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8">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8">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8">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8">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9">
        <v>0.05</v>
      </c>
      <c r="J90" s="1064">
        <f t="shared" si="26"/>
        <v>0</v>
      </c>
      <c r="K90" s="1064">
        <f t="shared" si="27"/>
        <v>0</v>
      </c>
      <c r="L90" s="1064">
        <v>0</v>
      </c>
      <c r="M90" s="1064">
        <f t="shared" si="28"/>
        <v>0</v>
      </c>
      <c r="N90" s="1064">
        <f t="shared" si="28"/>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2044</v>
      </c>
      <c r="B92" s="3367"/>
      <c r="C92" s="3367" t="s">
        <v>2046</v>
      </c>
      <c r="D92" s="3367" t="s">
        <v>2047</v>
      </c>
      <c r="E92" s="3349" t="s">
        <v>2048</v>
      </c>
      <c r="F92" s="3382" t="s">
        <v>3292</v>
      </c>
      <c r="G92" s="3367" t="s">
        <v>1989</v>
      </c>
      <c r="H92" s="3389" t="s">
        <v>3296</v>
      </c>
      <c r="I92" s="3367" t="s">
        <v>2051</v>
      </c>
      <c r="J92" s="3390" t="s">
        <v>1721</v>
      </c>
      <c r="K92" s="3390" t="s">
        <v>1722</v>
      </c>
      <c r="L92" s="3390" t="s">
        <v>1723</v>
      </c>
      <c r="M92" s="3390" t="s">
        <v>1724</v>
      </c>
      <c r="N92" s="3390" t="s">
        <v>1725</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9">K93+$G93</f>
        <v>0</v>
      </c>
      <c r="K93" s="3346">
        <f t="shared" ref="K93:K101" si="30">$L93+$G93</f>
        <v>0</v>
      </c>
      <c r="L93" s="3346">
        <v>0</v>
      </c>
      <c r="M93" s="3346">
        <f t="shared" ref="M93:N101" si="31">L93-$G93</f>
        <v>0</v>
      </c>
      <c r="N93" s="3346">
        <f t="shared" si="31"/>
        <v>0</v>
      </c>
    </row>
    <row r="94" spans="1:37" ht="38.25">
      <c r="A94" s="3380" t="s">
        <v>2053</v>
      </c>
      <c r="B94" s="3371" t="str">
        <f>估价对象房地状况!C18</f>
        <v>估价对象周边道路状况、公共交通通达情况、停车便捷程度，综合评价交通便捷度较好</v>
      </c>
      <c r="C94" s="2044"/>
      <c r="D94" s="3367">
        <f t="shared" ref="D94:D101" si="32">SUMIF($J$60:$N$60,C94,J94:N94)</f>
        <v>0</v>
      </c>
      <c r="E94" s="3384"/>
      <c r="F94" s="1814"/>
      <c r="G94" s="3374"/>
      <c r="H94" s="3422" t="str">
        <f>IFERROR(ROUNDDOWN($F$93*I94/2,4),"——")</f>
        <v>——</v>
      </c>
      <c r="I94" s="3368">
        <v>0.26</v>
      </c>
      <c r="J94" s="3346">
        <f t="shared" si="29"/>
        <v>0</v>
      </c>
      <c r="K94" s="3346">
        <f t="shared" si="30"/>
        <v>0</v>
      </c>
      <c r="L94" s="3346">
        <v>0</v>
      </c>
      <c r="M94" s="3346">
        <f t="shared" si="31"/>
        <v>0</v>
      </c>
      <c r="N94" s="3346">
        <f t="shared" si="31"/>
        <v>0</v>
      </c>
    </row>
    <row r="95" spans="1:37" ht="36">
      <c r="A95" s="3370" t="s">
        <v>3278</v>
      </c>
      <c r="B95" s="3371">
        <f>估价对象房地状况!C19</f>
        <v>0</v>
      </c>
      <c r="C95" s="2044"/>
      <c r="D95" s="3367">
        <f t="shared" si="32"/>
        <v>0</v>
      </c>
      <c r="E95" s="3384"/>
      <c r="F95" s="1814"/>
      <c r="G95" s="3374"/>
      <c r="H95" s="3422" t="str">
        <f t="shared" ref="H95:H101" si="33">IFERROR(ROUNDDOWN($F$93*I95/2,4),"——")</f>
        <v>——</v>
      </c>
      <c r="I95" s="3368">
        <v>0.11</v>
      </c>
      <c r="J95" s="3346">
        <f t="shared" si="29"/>
        <v>0</v>
      </c>
      <c r="K95" s="3346">
        <f t="shared" si="30"/>
        <v>0</v>
      </c>
      <c r="L95" s="3346">
        <v>0</v>
      </c>
      <c r="M95" s="3346">
        <f t="shared" si="31"/>
        <v>0</v>
      </c>
      <c r="N95" s="3346">
        <f t="shared" si="31"/>
        <v>0</v>
      </c>
    </row>
    <row r="96" spans="1:37" ht="36.75">
      <c r="A96" s="3380" t="s">
        <v>2054</v>
      </c>
      <c r="B96" s="3386" t="s">
        <v>3294</v>
      </c>
      <c r="C96" s="2044"/>
      <c r="D96" s="3367">
        <f t="shared" si="32"/>
        <v>0</v>
      </c>
      <c r="E96" s="3384"/>
      <c r="F96" s="1814"/>
      <c r="G96" s="3374"/>
      <c r="H96" s="3422" t="str">
        <f t="shared" si="33"/>
        <v>——</v>
      </c>
      <c r="I96" s="3368">
        <v>0.05</v>
      </c>
      <c r="J96" s="3346">
        <f t="shared" si="29"/>
        <v>0</v>
      </c>
      <c r="K96" s="3346">
        <f t="shared" si="30"/>
        <v>0</v>
      </c>
      <c r="L96" s="3346">
        <v>0</v>
      </c>
      <c r="M96" s="3346">
        <f t="shared" si="31"/>
        <v>0</v>
      </c>
      <c r="N96" s="3346">
        <f t="shared" si="31"/>
        <v>0</v>
      </c>
    </row>
    <row r="97" spans="1:14" ht="24">
      <c r="A97" s="3380" t="s">
        <v>2056</v>
      </c>
      <c r="B97" s="3371">
        <f>估价对象房地状况!C24</f>
        <v>0</v>
      </c>
      <c r="C97" s="2044"/>
      <c r="D97" s="3367">
        <f t="shared" si="32"/>
        <v>0</v>
      </c>
      <c r="E97" s="3384"/>
      <c r="F97" s="1814"/>
      <c r="G97" s="3374"/>
      <c r="H97" s="3422" t="str">
        <f t="shared" si="33"/>
        <v>——</v>
      </c>
      <c r="I97" s="3368">
        <v>0.05</v>
      </c>
      <c r="J97" s="3346">
        <f t="shared" si="29"/>
        <v>0</v>
      </c>
      <c r="K97" s="3346">
        <f t="shared" si="30"/>
        <v>0</v>
      </c>
      <c r="L97" s="3346">
        <v>0</v>
      </c>
      <c r="M97" s="3346">
        <f t="shared" si="31"/>
        <v>0</v>
      </c>
      <c r="N97" s="3346">
        <f t="shared" si="31"/>
        <v>0</v>
      </c>
    </row>
    <row r="98" spans="1:14" ht="24">
      <c r="A98" s="3380" t="s">
        <v>2057</v>
      </c>
      <c r="B98" s="3387" t="s">
        <v>3295</v>
      </c>
      <c r="C98" s="2044"/>
      <c r="D98" s="3367">
        <f t="shared" si="32"/>
        <v>0</v>
      </c>
      <c r="E98" s="3384"/>
      <c r="F98" s="1814"/>
      <c r="G98" s="3374"/>
      <c r="H98" s="3422" t="str">
        <f t="shared" si="33"/>
        <v>——</v>
      </c>
      <c r="I98" s="3368">
        <v>0.06</v>
      </c>
      <c r="J98" s="3346">
        <f t="shared" si="29"/>
        <v>0</v>
      </c>
      <c r="K98" s="3346">
        <f t="shared" si="30"/>
        <v>0</v>
      </c>
      <c r="L98" s="3346">
        <v>0</v>
      </c>
      <c r="M98" s="3346">
        <f t="shared" si="31"/>
        <v>0</v>
      </c>
      <c r="N98" s="3346">
        <f t="shared" si="31"/>
        <v>0</v>
      </c>
    </row>
    <row r="99" spans="1:14" ht="25.5">
      <c r="A99" s="3380" t="s">
        <v>2059</v>
      </c>
      <c r="B99" s="3371" t="str">
        <f>估价对象房地状况!C21</f>
        <v>估价对象所在区域公共配套设施齐备情况</v>
      </c>
      <c r="C99" s="2044"/>
      <c r="D99" s="3367">
        <f t="shared" si="32"/>
        <v>0</v>
      </c>
      <c r="E99" s="3384"/>
      <c r="F99" s="1814"/>
      <c r="G99" s="3374"/>
      <c r="H99" s="3422" t="str">
        <f t="shared" si="33"/>
        <v>——</v>
      </c>
      <c r="I99" s="3368">
        <v>0.06</v>
      </c>
      <c r="J99" s="3346">
        <f t="shared" si="29"/>
        <v>0</v>
      </c>
      <c r="K99" s="3346">
        <f t="shared" si="30"/>
        <v>0</v>
      </c>
      <c r="L99" s="3346">
        <v>0</v>
      </c>
      <c r="M99" s="3346">
        <f t="shared" si="31"/>
        <v>0</v>
      </c>
      <c r="N99" s="3346">
        <f t="shared" si="31"/>
        <v>0</v>
      </c>
    </row>
    <row r="100" spans="1:14" ht="25.5">
      <c r="A100" s="3380" t="s">
        <v>2060</v>
      </c>
      <c r="B100" s="3371" t="str">
        <f>估价对象房地状况!C22</f>
        <v>估价对象所在区域基础设施水平</v>
      </c>
      <c r="C100" s="2044"/>
      <c r="D100" s="3367">
        <f t="shared" si="32"/>
        <v>0</v>
      </c>
      <c r="E100" s="3384"/>
      <c r="F100" s="1814"/>
      <c r="G100" s="3374"/>
      <c r="H100" s="3422" t="str">
        <f t="shared" si="33"/>
        <v>——</v>
      </c>
      <c r="I100" s="3368">
        <v>0.09</v>
      </c>
      <c r="J100" s="3346">
        <f t="shared" si="29"/>
        <v>0</v>
      </c>
      <c r="K100" s="3346">
        <f t="shared" si="30"/>
        <v>0</v>
      </c>
      <c r="L100" s="3346">
        <v>0</v>
      </c>
      <c r="M100" s="3346">
        <f t="shared" si="31"/>
        <v>0</v>
      </c>
      <c r="N100" s="3346">
        <f t="shared" si="31"/>
        <v>0</v>
      </c>
    </row>
    <row r="101" spans="1:14" ht="26.25" thickBot="1">
      <c r="A101" s="3381" t="s">
        <v>2061</v>
      </c>
      <c r="B101" s="3388" t="str">
        <f>估价对象房地状况!C20</f>
        <v>区域自然环境：；人文环境；综合评价环境状况一般</v>
      </c>
      <c r="C101" s="2044"/>
      <c r="D101" s="3367">
        <f t="shared" si="32"/>
        <v>0</v>
      </c>
      <c r="E101" s="3385"/>
      <c r="F101" s="1814"/>
      <c r="G101" s="3374"/>
      <c r="H101" s="3422" t="str">
        <f t="shared" si="33"/>
        <v>——</v>
      </c>
      <c r="I101" s="3369">
        <v>7.0000000000000007E-2</v>
      </c>
      <c r="J101" s="3346">
        <f t="shared" si="29"/>
        <v>0</v>
      </c>
      <c r="K101" s="3346">
        <f t="shared" si="30"/>
        <v>0</v>
      </c>
      <c r="L101" s="3346">
        <v>0</v>
      </c>
      <c r="M101" s="3346">
        <f t="shared" si="31"/>
        <v>0</v>
      </c>
      <c r="N101" s="3346">
        <f t="shared" si="31"/>
        <v>0</v>
      </c>
    </row>
    <row r="103" spans="1:14">
      <c r="A103" s="3696" t="s">
        <v>3303</v>
      </c>
      <c r="B103" s="3696"/>
      <c r="C103" s="3696"/>
      <c r="D103" s="3696"/>
      <c r="E103" s="3696"/>
      <c r="F103" s="3696"/>
      <c r="G103" s="3696"/>
      <c r="H103" s="3696"/>
      <c r="I103" s="3696"/>
      <c r="J103" s="3696"/>
      <c r="K103" s="3477"/>
      <c r="L103" s="3477"/>
      <c r="M103" s="3477"/>
      <c r="N103" s="3477"/>
    </row>
    <row r="104" spans="1:14">
      <c r="A104" s="3697" t="s">
        <v>3304</v>
      </c>
      <c r="B104" s="3697" t="s">
        <v>3305</v>
      </c>
      <c r="C104" s="3392" t="s">
        <v>3306</v>
      </c>
      <c r="D104" s="3393"/>
      <c r="E104" s="3393"/>
      <c r="F104" s="3393"/>
      <c r="G104" s="3393"/>
      <c r="H104" s="3393"/>
      <c r="I104" s="3393"/>
      <c r="J104" s="3394"/>
      <c r="K104" s="3395"/>
      <c r="L104" s="3395"/>
      <c r="M104" s="3395"/>
      <c r="N104" s="3395"/>
    </row>
    <row r="105" spans="1:14">
      <c r="A105" s="3697"/>
      <c r="B105" s="3697"/>
      <c r="C105" s="3478" t="s">
        <v>1961</v>
      </c>
      <c r="D105" s="3478" t="s">
        <v>1962</v>
      </c>
      <c r="E105" s="3478" t="s">
        <v>1963</v>
      </c>
      <c r="F105" s="3478" t="s">
        <v>1964</v>
      </c>
      <c r="G105" s="3478" t="s">
        <v>1965</v>
      </c>
      <c r="H105" s="3478" t="s">
        <v>1966</v>
      </c>
      <c r="I105" s="3478" t="s">
        <v>1967</v>
      </c>
      <c r="J105" s="3478" t="s">
        <v>1968</v>
      </c>
      <c r="K105" s="3478" t="s">
        <v>1969</v>
      </c>
      <c r="L105" s="3478" t="s">
        <v>1970</v>
      </c>
      <c r="M105" s="3478" t="s">
        <v>1971</v>
      </c>
      <c r="N105" s="3478" t="s">
        <v>1972</v>
      </c>
    </row>
    <row r="106" spans="1:14">
      <c r="A106" s="3683" t="s">
        <v>3319</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684"/>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684"/>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684"/>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684"/>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684"/>
      <c r="B111" s="3478" t="s">
        <v>3277</v>
      </c>
      <c r="C111" s="3397">
        <f>$I$3</f>
        <v>0</v>
      </c>
      <c r="D111" s="3397">
        <f t="shared" ref="D111:M111" si="34">$I$3</f>
        <v>0</v>
      </c>
      <c r="E111" s="3397">
        <f t="shared" si="34"/>
        <v>0</v>
      </c>
      <c r="F111" s="3397">
        <f t="shared" si="34"/>
        <v>0</v>
      </c>
      <c r="G111" s="3397">
        <f t="shared" si="34"/>
        <v>0</v>
      </c>
      <c r="H111" s="3397">
        <f t="shared" si="34"/>
        <v>0</v>
      </c>
      <c r="I111" s="3397">
        <f t="shared" si="34"/>
        <v>0</v>
      </c>
      <c r="J111" s="3397">
        <f t="shared" si="34"/>
        <v>0</v>
      </c>
      <c r="K111" s="3397">
        <f t="shared" si="34"/>
        <v>0</v>
      </c>
      <c r="L111" s="3397">
        <f t="shared" si="34"/>
        <v>0</v>
      </c>
      <c r="M111" s="3397">
        <f t="shared" si="34"/>
        <v>0</v>
      </c>
      <c r="N111" s="3397">
        <f>$I$3</f>
        <v>0</v>
      </c>
    </row>
    <row r="112" spans="1:14">
      <c r="A112" s="3685"/>
      <c r="B112" s="3478">
        <v>6</v>
      </c>
      <c r="C112" s="3389">
        <f>(-0.5556*(C111^2)-0.2719*C111+8944)*(10^(-4))</f>
        <v>0.89440000000000008</v>
      </c>
      <c r="D112" s="3389">
        <f>(-0.5556*(D111^2)-0.2719*D111+8944)*(10^(-4))</f>
        <v>0.89440000000000008</v>
      </c>
      <c r="E112" s="3389">
        <f>(-0.7912*(E111^2)-11.3794*E111+8482)*(10^(-4))</f>
        <v>0.84820000000000007</v>
      </c>
      <c r="F112" s="3389">
        <f t="shared" ref="F112:I112" si="35">(-0.7912*(F111^2)-11.3794*F111+8482)*(10^(-4))</f>
        <v>0.84820000000000007</v>
      </c>
      <c r="G112" s="3389">
        <f t="shared" si="35"/>
        <v>0.84820000000000007</v>
      </c>
      <c r="H112" s="3389">
        <f t="shared" si="35"/>
        <v>0.84820000000000007</v>
      </c>
      <c r="I112" s="3389">
        <f t="shared" si="35"/>
        <v>0.84820000000000007</v>
      </c>
      <c r="J112" s="3389">
        <f>(-0.989*(J111^2)-63.78*J111+7771)*(10^(-4))</f>
        <v>0.77710000000000001</v>
      </c>
      <c r="K112" s="3389">
        <f t="shared" ref="K112:N112" si="36">(-0.989*(K111^2)-63.78*K111+7771)*(10^(-4))</f>
        <v>0.77710000000000001</v>
      </c>
      <c r="L112" s="3389">
        <f t="shared" si="36"/>
        <v>0.77710000000000001</v>
      </c>
      <c r="M112" s="3389">
        <f t="shared" si="36"/>
        <v>0.77710000000000001</v>
      </c>
      <c r="N112" s="3389">
        <f t="shared" si="36"/>
        <v>0.77710000000000001</v>
      </c>
    </row>
    <row r="113" spans="1:14">
      <c r="A113" s="3686" t="s">
        <v>3320</v>
      </c>
      <c r="B113" s="3686"/>
      <c r="C113" s="3686"/>
      <c r="D113" s="3686"/>
      <c r="E113" s="3686"/>
      <c r="F113" s="3686"/>
      <c r="G113" s="3686"/>
      <c r="H113" s="3686"/>
      <c r="I113" s="3686"/>
      <c r="J113" s="3686"/>
      <c r="K113" s="3475"/>
      <c r="L113" s="3475"/>
      <c r="M113" s="3475"/>
      <c r="N113" s="3475"/>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2.5</v>
      </c>
      <c r="C116" s="3401" t="s">
        <v>3322</v>
      </c>
      <c r="D116" s="3402">
        <f>SUMPRODUCT((A118:A122=F116)*(B117:M117=H116)*B118:M122)</f>
        <v>0.91400000000000003</v>
      </c>
      <c r="E116" s="2000" t="s">
        <v>1936</v>
      </c>
      <c r="F116" s="3403" t="str">
        <f>E2</f>
        <v>商业</v>
      </c>
      <c r="G116" s="2000" t="s">
        <v>1937</v>
      </c>
      <c r="H116" s="3403" t="str">
        <f>G2</f>
        <v>六级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1990</v>
      </c>
      <c r="B118" s="3389">
        <f>ROUND(0.9968-0.011*B116,4)</f>
        <v>0.96930000000000005</v>
      </c>
      <c r="C118" s="3389">
        <f>B118</f>
        <v>0.96930000000000005</v>
      </c>
      <c r="D118" s="3389">
        <f>ROUND(0.949-0.014*B116,4)</f>
        <v>0.91400000000000003</v>
      </c>
      <c r="E118" s="3389">
        <f>D118</f>
        <v>0.91400000000000003</v>
      </c>
      <c r="F118" s="3389">
        <f>E118</f>
        <v>0.91400000000000003</v>
      </c>
      <c r="G118" s="3389">
        <f>F118</f>
        <v>0.91400000000000003</v>
      </c>
      <c r="H118" s="3389">
        <f>G118</f>
        <v>0.91400000000000003</v>
      </c>
      <c r="I118" s="3389">
        <f>ROUND(0.8486-0.018*B116,4)</f>
        <v>0.80359999999999998</v>
      </c>
      <c r="J118" s="3389">
        <f t="shared" ref="J118:M122" si="37">I118</f>
        <v>0.80359999999999998</v>
      </c>
      <c r="K118" s="3389">
        <f t="shared" si="37"/>
        <v>0.80359999999999998</v>
      </c>
      <c r="L118" s="3389">
        <f t="shared" si="37"/>
        <v>0.80359999999999998</v>
      </c>
      <c r="M118" s="3412">
        <f t="shared" si="37"/>
        <v>0.80359999999999998</v>
      </c>
      <c r="N118" s="3399"/>
    </row>
    <row r="119" spans="1:14">
      <c r="A119" s="3411" t="s">
        <v>1991</v>
      </c>
      <c r="B119" s="3389">
        <f>ROUND(0.993-0.0112*B116,4)</f>
        <v>0.96499999999999997</v>
      </c>
      <c r="C119" s="3389">
        <f>B119</f>
        <v>0.96499999999999997</v>
      </c>
      <c r="D119" s="3389">
        <f>ROUND(0.9415-0.0142*B116,4)</f>
        <v>0.90600000000000003</v>
      </c>
      <c r="E119" s="3389">
        <f t="shared" ref="E119:H120" si="38">D119</f>
        <v>0.90600000000000003</v>
      </c>
      <c r="F119" s="3389">
        <f t="shared" si="38"/>
        <v>0.90600000000000003</v>
      </c>
      <c r="G119" s="3389">
        <f t="shared" si="38"/>
        <v>0.90600000000000003</v>
      </c>
      <c r="H119" s="3389">
        <f t="shared" si="38"/>
        <v>0.90600000000000003</v>
      </c>
      <c r="I119" s="3389">
        <f>ROUND(0.838-0.0182*B116,4)</f>
        <v>0.79249999999999998</v>
      </c>
      <c r="J119" s="3389">
        <f t="shared" si="37"/>
        <v>0.79249999999999998</v>
      </c>
      <c r="K119" s="3389">
        <f t="shared" si="37"/>
        <v>0.79249999999999998</v>
      </c>
      <c r="L119" s="3389">
        <f t="shared" si="37"/>
        <v>0.79249999999999998</v>
      </c>
      <c r="M119" s="3412">
        <f t="shared" si="37"/>
        <v>0.79249999999999998</v>
      </c>
      <c r="N119" s="3399"/>
    </row>
    <row r="120" spans="1:14">
      <c r="A120" s="3411" t="s">
        <v>1992</v>
      </c>
      <c r="B120" s="3389">
        <f>ROUND(0.9448-0.0115*B116,4)</f>
        <v>0.91610000000000003</v>
      </c>
      <c r="C120" s="3389">
        <f>B120</f>
        <v>0.91610000000000003</v>
      </c>
      <c r="D120" s="3389">
        <f>ROUND(0.937-0.0145*B116,4)</f>
        <v>0.90080000000000005</v>
      </c>
      <c r="E120" s="3389">
        <f t="shared" si="38"/>
        <v>0.90080000000000005</v>
      </c>
      <c r="F120" s="3389">
        <f t="shared" si="38"/>
        <v>0.90080000000000005</v>
      </c>
      <c r="G120" s="3389">
        <f t="shared" si="38"/>
        <v>0.90080000000000005</v>
      </c>
      <c r="H120" s="3389">
        <f t="shared" si="38"/>
        <v>0.90080000000000005</v>
      </c>
      <c r="I120" s="3389">
        <f>ROUND(0.7965-0.0185*B116,4)</f>
        <v>0.75029999999999997</v>
      </c>
      <c r="J120" s="3389">
        <f t="shared" si="37"/>
        <v>0.75029999999999997</v>
      </c>
      <c r="K120" s="3389">
        <f t="shared" si="37"/>
        <v>0.75029999999999997</v>
      </c>
      <c r="L120" s="3389">
        <f t="shared" si="37"/>
        <v>0.75029999999999997</v>
      </c>
      <c r="M120" s="3412">
        <f t="shared" si="37"/>
        <v>0.75029999999999997</v>
      </c>
      <c r="N120" s="3399"/>
    </row>
    <row r="121" spans="1:14" ht="13.5" thickBot="1">
      <c r="A121" s="3413" t="s">
        <v>1993</v>
      </c>
      <c r="B121" s="3414">
        <f>ROUND(0.7836-0.012*B116,4)</f>
        <v>0.75360000000000005</v>
      </c>
      <c r="C121" s="3414">
        <f>B121</f>
        <v>0.75360000000000005</v>
      </c>
      <c r="D121" s="3414">
        <f>ROUND(0.753-0.015*B116,4)</f>
        <v>0.71550000000000002</v>
      </c>
      <c r="E121" s="3414">
        <f>D121</f>
        <v>0.71550000000000002</v>
      </c>
      <c r="F121" s="3414">
        <f>E121</f>
        <v>0.71550000000000002</v>
      </c>
      <c r="G121" s="3414">
        <f>ROUND(0.6612-0.018*B116,4)</f>
        <v>0.61619999999999997</v>
      </c>
      <c r="H121" s="3414">
        <f>G121</f>
        <v>0.61619999999999997</v>
      </c>
      <c r="I121" s="3414">
        <f>ROUND(0.5905-0.019*B116,4)</f>
        <v>0.54300000000000004</v>
      </c>
      <c r="J121" s="3414">
        <f t="shared" si="37"/>
        <v>0.54300000000000004</v>
      </c>
      <c r="K121" s="3414">
        <f t="shared" si="37"/>
        <v>0.54300000000000004</v>
      </c>
      <c r="L121" s="3414">
        <f t="shared" si="37"/>
        <v>0.54300000000000004</v>
      </c>
      <c r="M121" s="3415">
        <f t="shared" si="37"/>
        <v>0.54300000000000004</v>
      </c>
      <c r="N121" s="3399"/>
    </row>
    <row r="122" spans="1:14">
      <c r="A122" s="3416" t="s">
        <v>2615</v>
      </c>
      <c r="B122" s="3389">
        <f>ROUND(0.9404-0.0106*B116,4)</f>
        <v>0.91390000000000005</v>
      </c>
      <c r="C122" s="3389">
        <f>B122</f>
        <v>0.91390000000000005</v>
      </c>
      <c r="D122" s="3389">
        <f>ROUND(0.8955-0.0135*B116,4)</f>
        <v>0.86180000000000001</v>
      </c>
      <c r="E122" s="3389">
        <f t="shared" ref="E122:H122" si="39">D122</f>
        <v>0.86180000000000001</v>
      </c>
      <c r="F122" s="3389">
        <f t="shared" si="39"/>
        <v>0.86180000000000001</v>
      </c>
      <c r="G122" s="3389">
        <f t="shared" si="39"/>
        <v>0.86180000000000001</v>
      </c>
      <c r="H122" s="3389">
        <f t="shared" si="39"/>
        <v>0.86180000000000001</v>
      </c>
      <c r="I122" s="3389">
        <f>ROUND(0.7632-0.0166*B116,4)</f>
        <v>0.72170000000000001</v>
      </c>
      <c r="J122" s="3389">
        <f t="shared" si="37"/>
        <v>0.72170000000000001</v>
      </c>
      <c r="K122" s="3389">
        <f t="shared" si="37"/>
        <v>0.72170000000000001</v>
      </c>
      <c r="L122" s="3389">
        <f t="shared" si="37"/>
        <v>0.72170000000000001</v>
      </c>
      <c r="M122" s="3412">
        <f t="shared" si="37"/>
        <v>0.72170000000000001</v>
      </c>
      <c r="N122" s="339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50:H58 H61:H69 H72:H80 H83:H91">
    <cfRule type="cellIs" dxfId="187" priority="2" operator="notEqual">
      <formula>"——"</formula>
    </cfRule>
  </conditionalFormatting>
  <conditionalFormatting sqref="H93:H101">
    <cfRule type="cellIs" dxfId="18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7" sqref="D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189475</v>
      </c>
      <c r="C2" s="1387" t="s">
        <v>805</v>
      </c>
      <c r="D2" s="1387"/>
      <c r="E2" s="1388"/>
      <c r="F2" s="1389"/>
      <c r="G2" s="2706"/>
      <c r="H2" s="2695"/>
      <c r="I2" s="2695"/>
      <c r="J2" s="2695"/>
      <c r="K2" s="2696"/>
      <c r="L2" s="2695"/>
      <c r="M2" s="2695"/>
    </row>
    <row r="3" spans="1:37" ht="18" customHeight="1" thickBot="1">
      <c r="A3" s="1390" t="s">
        <v>806</v>
      </c>
      <c r="B3" s="1391">
        <f ca="1">IF(ISERROR(B2*10000/F43),0,ROUND(B2*10000/F43,0))</f>
        <v>32910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9468</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9456</v>
      </c>
      <c r="D6" s="155" t="s">
        <v>2109</v>
      </c>
      <c r="E6" s="302" t="s">
        <v>696</v>
      </c>
      <c r="F6" s="303">
        <f ca="1">INDIRECT("'数据-取费表'!u"&amp;$G$1)</f>
        <v>5</v>
      </c>
      <c r="G6" s="1384"/>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57573.479999999974</v>
      </c>
      <c r="G7" s="1384"/>
      <c r="H7" s="304"/>
      <c r="I7" s="3705"/>
      <c r="J7" s="306"/>
      <c r="K7" s="307"/>
      <c r="L7" s="302" t="s">
        <v>697</v>
      </c>
      <c r="M7" s="303">
        <f ca="1">F7</f>
        <v>57573.479999999974</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2117</v>
      </c>
      <c r="E10" s="313" t="s">
        <v>701</v>
      </c>
      <c r="F10" s="1116" t="s">
        <v>3542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27447</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20151</v>
      </c>
      <c r="D14" s="1345" t="s">
        <v>708</v>
      </c>
      <c r="E14" s="1342"/>
      <c r="F14" s="319"/>
      <c r="G14" s="1384"/>
      <c r="H14" s="982" t="s">
        <v>398</v>
      </c>
      <c r="I14" s="302" t="s">
        <v>709</v>
      </c>
      <c r="J14" s="21">
        <f ca="1">C29</f>
        <v>29513</v>
      </c>
      <c r="K14" s="12"/>
      <c r="L14" s="807"/>
      <c r="M14" s="808"/>
    </row>
    <row r="15" spans="1:37" s="1397" customFormat="1" ht="18" customHeight="1" thickBot="1">
      <c r="A15" s="982" t="s">
        <v>399</v>
      </c>
      <c r="B15" s="302" t="s">
        <v>710</v>
      </c>
      <c r="C15" s="21">
        <f ca="1">ROUND(C14*F15,0)</f>
        <v>605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295</v>
      </c>
      <c r="K16" s="1087" t="s">
        <v>715</v>
      </c>
      <c r="L16" s="1088"/>
      <c r="M16" s="1072"/>
    </row>
    <row r="17" spans="1:37" s="1397" customFormat="1" ht="18" customHeight="1">
      <c r="A17" s="982" t="s">
        <v>681</v>
      </c>
      <c r="B17" s="302" t="s">
        <v>716</v>
      </c>
      <c r="C17" s="21">
        <f ca="1">ROUND(F17*(F43+INDIRECT("'数据-取费表'!S"&amp;$G$1))/10000,0)</f>
        <v>1151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22209</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444</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295.13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1181</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-295</v>
      </c>
      <c r="K25" s="1095" t="s">
        <v>753</v>
      </c>
      <c r="L25" s="1096"/>
      <c r="M25" s="1097"/>
    </row>
    <row r="26" spans="1:37">
      <c r="A26" s="982" t="s">
        <v>397</v>
      </c>
      <c r="B26" s="302" t="s">
        <v>754</v>
      </c>
      <c r="C26" s="21">
        <f ca="1">ROUND((C19+C20)*F26,0)</f>
        <v>3398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29513</v>
      </c>
      <c r="D29" s="1092"/>
      <c r="E29" s="1090"/>
      <c r="F29" s="1093"/>
      <c r="G29" s="1396"/>
      <c r="H29" s="334" t="s">
        <v>396</v>
      </c>
      <c r="I29" s="335" t="s">
        <v>768</v>
      </c>
      <c r="J29" s="336">
        <f ca="1">ROUND(J26/(1+F40)^F41,0)</f>
        <v>0</v>
      </c>
      <c r="K29" s="337" t="s">
        <v>769</v>
      </c>
      <c r="L29" s="338"/>
      <c r="M29" s="339">
        <f ca="1">INDIRECT("'数据-取费表'!k"&amp;$G$1)</f>
        <v>57573.479999999974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1585.01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504.32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1080.69</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295.13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41.17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94.68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7452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189475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32910</v>
      </c>
      <c r="D43" s="337" t="s">
        <v>777</v>
      </c>
      <c r="E43" s="338" t="s">
        <v>778</v>
      </c>
      <c r="F43" s="339">
        <f ca="1">INDIRECT("'数据-取费表'!k"&amp;$G$1)</f>
        <v>57573.479999999974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-194943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3543</v>
      </c>
      <c r="K47" s="1416" t="s">
        <v>816</v>
      </c>
      <c r="L47" s="1417">
        <f ca="1">INDIRECT("'数据-取费表'!d"&amp;$G$1)</f>
        <v>50</v>
      </c>
      <c r="M47" s="1380" t="str">
        <f>IF(ISNUMBER(FIND("住宅",C1)),"住宅","非住宅")</f>
        <v>非住宅</v>
      </c>
      <c r="O47" s="1418" t="s">
        <v>403</v>
      </c>
      <c r="P47" s="1419" t="s">
        <v>817</v>
      </c>
      <c r="Q47" s="1420">
        <f ca="1">C40+J29</f>
        <v>189475</v>
      </c>
      <c r="R47" s="1420" t="s">
        <v>818</v>
      </c>
    </row>
    <row r="48" spans="1:18" s="1384" customFormat="1" ht="28.5" thickBot="1">
      <c r="A48" s="1110" t="s">
        <v>438</v>
      </c>
      <c r="B48" s="300" t="s">
        <v>692</v>
      </c>
      <c r="C48" s="1359">
        <f ca="1">C49+C53+C55</f>
        <v>0</v>
      </c>
      <c r="D48" s="1112"/>
      <c r="E48" s="1113"/>
      <c r="F48" s="962"/>
      <c r="G48" s="722"/>
      <c r="H48" s="723"/>
      <c r="I48" s="1421" t="s">
        <v>819</v>
      </c>
      <c r="J48" s="1422" t="s">
        <v>3544</v>
      </c>
      <c r="K48" s="1423" t="s">
        <v>820</v>
      </c>
      <c r="L48" s="1424">
        <f ca="1">INDIRECT("'数据-取费表'!f"&amp;$G$1)</f>
        <v>42.1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2019</v>
      </c>
      <c r="K49" s="1423" t="s">
        <v>824</v>
      </c>
      <c r="L49" s="1427"/>
      <c r="O49" s="1428" t="s">
        <v>405</v>
      </c>
      <c r="P49" s="1419" t="s">
        <v>825</v>
      </c>
      <c r="Q49" s="1420">
        <f ca="1">C29</f>
        <v>29513</v>
      </c>
      <c r="R49" s="1420" t="s">
        <v>818</v>
      </c>
    </row>
    <row r="50" spans="1:18" s="1384" customFormat="1" ht="13.5" thickBot="1">
      <c r="A50" s="976"/>
      <c r="B50" s="979"/>
      <c r="C50" s="1118"/>
      <c r="D50" s="953"/>
      <c r="E50" s="1056" t="s">
        <v>697</v>
      </c>
      <c r="F50" s="1057">
        <f ca="1">F7</f>
        <v>57573.479999999974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100850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42.1</v>
      </c>
      <c r="K53" s="3702" t="s">
        <v>837</v>
      </c>
      <c r="L53" s="3703"/>
      <c r="O53" s="1418" t="s">
        <v>409</v>
      </c>
      <c r="P53" s="1419" t="s">
        <v>838</v>
      </c>
      <c r="Q53" s="1420">
        <f ca="1">Q47+Q48</f>
        <v>189475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27447</v>
      </c>
      <c r="D56" s="1447"/>
      <c r="E56" s="1448"/>
      <c r="F56" s="1440"/>
      <c r="I56" s="1449" t="s">
        <v>842</v>
      </c>
      <c r="J56" s="1450" t="s">
        <v>3535</v>
      </c>
      <c r="K56" s="1421" t="s">
        <v>843</v>
      </c>
      <c r="L56" s="1424" t="str">
        <f ca="1">IF(L48&lt;J51,"——",L48-J53)</f>
        <v>——</v>
      </c>
      <c r="O56" s="1418" t="s">
        <v>403</v>
      </c>
      <c r="P56" s="1419" t="s">
        <v>817</v>
      </c>
      <c r="Q56" s="1420">
        <f ca="1">C40+J29</f>
        <v>189475</v>
      </c>
      <c r="R56" s="1420" t="s">
        <v>818</v>
      </c>
    </row>
    <row r="57" spans="1:18" s="1384" customFormat="1" ht="24.75" thickBot="1">
      <c r="A57" s="1451"/>
      <c r="B57" s="950" t="s">
        <v>767</v>
      </c>
      <c r="C57" s="238">
        <f ca="1">C29</f>
        <v>29513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189475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295.13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41.17</v>
      </c>
      <c r="D65" s="964" t="s">
        <v>743</v>
      </c>
      <c r="E65" s="950" t="s">
        <v>744</v>
      </c>
      <c r="F65" s="330">
        <f t="shared" ca="1" si="0"/>
        <v>1.5E-3</v>
      </c>
      <c r="I65" s="1462" t="s">
        <v>867</v>
      </c>
      <c r="J65" s="1463">
        <v>40</v>
      </c>
      <c r="K65" s="1463">
        <v>30</v>
      </c>
      <c r="L65" s="1463">
        <v>50</v>
      </c>
      <c r="M65" s="1465">
        <v>0.02</v>
      </c>
      <c r="O65" s="1418" t="s">
        <v>403</v>
      </c>
      <c r="P65" s="1419" t="s">
        <v>868</v>
      </c>
      <c r="Q65" s="1420">
        <f ca="1">C40+J29</f>
        <v>189475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-336</v>
      </c>
      <c r="D67" s="963" t="s">
        <v>753</v>
      </c>
      <c r="E67" s="968"/>
      <c r="F67" s="969"/>
      <c r="O67" s="1428" t="s">
        <v>405</v>
      </c>
      <c r="P67" s="1419" t="s">
        <v>850</v>
      </c>
      <c r="Q67" s="1466">
        <f ca="1">L51</f>
        <v>100850</v>
      </c>
      <c r="R67" s="1420" t="s">
        <v>870</v>
      </c>
    </row>
    <row r="68" spans="1:18" s="1384" customFormat="1" ht="16.5" thickBot="1">
      <c r="A68" s="947" t="s">
        <v>395</v>
      </c>
      <c r="B68" s="948" t="s">
        <v>774</v>
      </c>
      <c r="C68" s="301">
        <f ca="1">ROUND(C67*(1-((1+F70)/(1+F68))^F69)/(F68-F70),0)</f>
        <v>-5468</v>
      </c>
      <c r="D68" s="965" t="s">
        <v>758</v>
      </c>
      <c r="E68" s="950" t="s">
        <v>759</v>
      </c>
      <c r="F68" s="312">
        <f ca="1">F40</f>
        <v>5.5E-2</v>
      </c>
      <c r="O68" s="1428" t="s">
        <v>406</v>
      </c>
      <c r="P68" s="1467" t="s">
        <v>871</v>
      </c>
      <c r="Q68" s="1420">
        <f ca="1">ROUND(Q69-Q70*Q71,0)</f>
        <v>5393</v>
      </c>
      <c r="R68" s="1420" t="s">
        <v>414</v>
      </c>
    </row>
    <row r="69" spans="1:18" s="1384" customFormat="1" ht="13.5" thickBot="1">
      <c r="A69" s="951"/>
      <c r="B69" s="952"/>
      <c r="C69" s="306"/>
      <c r="D69" s="970" t="s">
        <v>762</v>
      </c>
      <c r="E69" s="950" t="s">
        <v>763</v>
      </c>
      <c r="F69" s="333">
        <f ca="1">F41</f>
        <v>42.1</v>
      </c>
      <c r="O69" s="1428" t="s">
        <v>411</v>
      </c>
      <c r="P69" s="1467" t="s">
        <v>872</v>
      </c>
      <c r="Q69" s="1420">
        <f ca="1">C39</f>
        <v>7452</v>
      </c>
      <c r="R69" s="1420" t="s">
        <v>818</v>
      </c>
    </row>
    <row r="70" spans="1:18" s="1384" customFormat="1" ht="13.5" thickBot="1">
      <c r="A70" s="954"/>
      <c r="B70" s="955"/>
      <c r="C70" s="310"/>
      <c r="D70" s="966"/>
      <c r="E70" s="950" t="s">
        <v>766</v>
      </c>
      <c r="F70" s="1054"/>
      <c r="O70" s="1428" t="s">
        <v>412</v>
      </c>
      <c r="P70" s="1467" t="s">
        <v>873</v>
      </c>
      <c r="Q70" s="1420">
        <f ca="1">C13</f>
        <v>27447</v>
      </c>
      <c r="R70" s="1420" t="s">
        <v>818</v>
      </c>
    </row>
    <row r="71" spans="1:18" s="1384" customFormat="1" ht="13.5" thickBot="1">
      <c r="A71" s="971" t="s">
        <v>396</v>
      </c>
      <c r="B71" s="972" t="s">
        <v>776</v>
      </c>
      <c r="C71" s="336">
        <f ca="1">ROUND(C68*10000/F71,0)</f>
        <v>-950</v>
      </c>
      <c r="D71" s="973" t="s">
        <v>777</v>
      </c>
      <c r="E71" s="974" t="s">
        <v>778</v>
      </c>
      <c r="F71" s="339">
        <f ca="1">F43</f>
        <v>57573.479999999974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2059</v>
      </c>
      <c r="D75" s="1384"/>
      <c r="E75" s="1384"/>
      <c r="F75" s="1384"/>
      <c r="K75" s="1402"/>
      <c r="L75" s="1384"/>
      <c r="O75" s="1418" t="s">
        <v>409</v>
      </c>
      <c r="P75" s="1419" t="s">
        <v>838</v>
      </c>
      <c r="Q75" s="1420">
        <f ca="1">Q65+Q66</f>
        <v>189475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0.72399999999999998</v>
      </c>
    </row>
    <row r="80" spans="1:18">
      <c r="B80" s="340" t="s">
        <v>800</v>
      </c>
      <c r="C80" s="274">
        <f ca="1">ROUND(C75/C39,3)</f>
        <v>0.27600000000000002</v>
      </c>
    </row>
    <row r="81" spans="2:3">
      <c r="B81" s="270" t="s">
        <v>801</v>
      </c>
      <c r="C81" s="238"/>
    </row>
    <row r="82" spans="2:3">
      <c r="B82" s="273" t="s">
        <v>802</v>
      </c>
      <c r="C82" s="275">
        <f ca="1">1-C83</f>
        <v>0.85499999999999998</v>
      </c>
    </row>
    <row r="83" spans="2:3">
      <c r="B83" s="273" t="s">
        <v>803</v>
      </c>
      <c r="C83" s="274">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32.1</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36080</v>
      </c>
      <c r="C2" s="1387" t="s">
        <v>805</v>
      </c>
      <c r="D2" s="1387"/>
      <c r="E2" s="1388"/>
      <c r="F2" s="1389"/>
      <c r="G2" s="2706"/>
      <c r="H2" s="2695"/>
      <c r="I2" s="2695"/>
      <c r="J2" s="2695"/>
      <c r="K2" s="2696"/>
      <c r="L2" s="2695"/>
      <c r="M2" s="2695"/>
    </row>
    <row r="3" spans="1:37" ht="18" customHeight="1" thickBot="1">
      <c r="A3" s="1390" t="s">
        <v>806</v>
      </c>
      <c r="B3" s="1391">
        <f ca="1">IF(ISERROR(B2*10000/F43),0,ROUND(B2*10000/F43,0))</f>
        <v>36481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2115</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2112</v>
      </c>
      <c r="D6" s="155" t="s">
        <v>2109</v>
      </c>
      <c r="E6" s="302" t="s">
        <v>696</v>
      </c>
      <c r="F6" s="303">
        <f ca="1">INDIRECT("'数据-取费表'!u"&amp;$G$1)</f>
        <v>6.5</v>
      </c>
      <c r="G6" s="1384"/>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70" t="s">
        <v>697</v>
      </c>
      <c r="F7" s="303">
        <f ca="1">IF(INDIRECT("'数据-取费表'!ah"&amp;$G$1)="",INDIRECT("'数据-取费表'!k"&amp;$G$1),INDIRECT("'数据-取费表'!ah"&amp;$G$1))</f>
        <v>9890.119999999999</v>
      </c>
      <c r="G7" s="1384"/>
      <c r="H7" s="304"/>
      <c r="I7" s="3705"/>
      <c r="J7" s="306"/>
      <c r="K7" s="307"/>
      <c r="L7" s="302" t="s">
        <v>697</v>
      </c>
      <c r="M7" s="303">
        <f ca="1">F7</f>
        <v>9890.119999999999</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3542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4917</v>
      </c>
      <c r="D13" s="3448" t="s">
        <v>705</v>
      </c>
      <c r="E13" s="3448"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3462</v>
      </c>
      <c r="D14" s="3458" t="s">
        <v>708</v>
      </c>
      <c r="E14" s="3451"/>
      <c r="F14" s="319"/>
      <c r="G14" s="1384"/>
      <c r="H14" s="982" t="s">
        <v>398</v>
      </c>
      <c r="I14" s="302" t="s">
        <v>709</v>
      </c>
      <c r="J14" s="21">
        <f ca="1">C29</f>
        <v>5287</v>
      </c>
      <c r="K14" s="3468"/>
      <c r="L14" s="807"/>
      <c r="M14" s="808"/>
    </row>
    <row r="15" spans="1:37" s="1397" customFormat="1" ht="18" customHeight="1" thickBot="1">
      <c r="A15" s="982" t="s">
        <v>399</v>
      </c>
      <c r="B15" s="302" t="s">
        <v>710</v>
      </c>
      <c r="C15" s="21">
        <f ca="1">ROUND(C14*F15,0)</f>
        <v>104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53</v>
      </c>
      <c r="K16" s="1087" t="s">
        <v>715</v>
      </c>
      <c r="L16" s="3461"/>
      <c r="M16" s="1072"/>
    </row>
    <row r="17" spans="1:37" s="1397" customFormat="1" ht="18" customHeight="1">
      <c r="A17" s="982" t="s">
        <v>681</v>
      </c>
      <c r="B17" s="302" t="s">
        <v>716</v>
      </c>
      <c r="C17" s="21">
        <f ca="1">ROUND(F17*(F43+INDIRECT("'数据-取费表'!S"&amp;$G$1))/10000,0)</f>
        <v>198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58" t="s">
        <v>720</v>
      </c>
      <c r="L17" s="3456"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v>
      </c>
      <c r="D18" s="302" t="s">
        <v>711</v>
      </c>
      <c r="E18" s="302" t="s">
        <v>712</v>
      </c>
      <c r="F18" s="322">
        <f>'数据-取费表'!B36</f>
        <v>1.4999999999999999E-2</v>
      </c>
      <c r="G18" s="1396"/>
      <c r="H18" s="982" t="s">
        <v>397</v>
      </c>
      <c r="I18" s="302" t="s">
        <v>723</v>
      </c>
      <c r="J18" s="21">
        <f ca="1">ROUND(J6*M18/(1+'数据-取费表'!C42),2)</f>
        <v>0</v>
      </c>
      <c r="K18" s="345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3816</v>
      </c>
      <c r="D19" s="131" t="s">
        <v>726</v>
      </c>
      <c r="E19" s="3474"/>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76</v>
      </c>
      <c r="D20" s="2428"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52.87</v>
      </c>
      <c r="K22" s="3456"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203</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3456"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-53</v>
      </c>
      <c r="K25" s="1095" t="s">
        <v>753</v>
      </c>
      <c r="L25" s="1096"/>
      <c r="M25" s="1097"/>
    </row>
    <row r="26" spans="1:37">
      <c r="A26" s="982" t="s">
        <v>397</v>
      </c>
      <c r="B26" s="302" t="s">
        <v>754</v>
      </c>
      <c r="C26" s="21">
        <f ca="1">ROUND((C19+C20)*F26,0)</f>
        <v>778</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5287</v>
      </c>
      <c r="D29" s="1092"/>
      <c r="E29" s="1090"/>
      <c r="F29" s="1093"/>
      <c r="G29" s="1396"/>
      <c r="H29" s="334" t="s">
        <v>396</v>
      </c>
      <c r="I29" s="335" t="s">
        <v>768</v>
      </c>
      <c r="J29" s="336">
        <f ca="1">ROUND(J26/(1+F40)^F41,0)</f>
        <v>0</v>
      </c>
      <c r="K29" s="337" t="s">
        <v>769</v>
      </c>
      <c r="L29" s="338"/>
      <c r="M29" s="339">
        <f ca="1">INDIRECT("'数据-取费表'!k"&amp;$G$1)</f>
        <v>9890.119999999999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435</v>
      </c>
      <c r="D30" s="1087" t="s">
        <v>715</v>
      </c>
      <c r="E30" s="346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354.01</v>
      </c>
      <c r="D31" s="3458" t="s">
        <v>720</v>
      </c>
      <c r="E31" s="3456"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112.64</v>
      </c>
      <c r="D32" s="345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241.37</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52.87</v>
      </c>
      <c r="D36" s="3456"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7.38</v>
      </c>
      <c r="D37" s="3456" t="s">
        <v>743</v>
      </c>
      <c r="E37" s="302" t="s">
        <v>712</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21.15</v>
      </c>
      <c r="D38" s="1092" t="s">
        <v>748</v>
      </c>
      <c r="E38" s="1090" t="s">
        <v>712</v>
      </c>
      <c r="F38" s="1086">
        <f ca="1">INDIRECT("'数据-取费表'!Am"&amp;$G$1)</f>
        <v>0.01</v>
      </c>
      <c r="G38" s="1384"/>
      <c r="H38" s="2700"/>
      <c r="I38" s="1398"/>
      <c r="J38" s="1399"/>
      <c r="K38" s="2704"/>
      <c r="L38" s="2700"/>
      <c r="M38" s="2700"/>
    </row>
    <row r="39" spans="1:18" ht="24.6" customHeight="1" thickTop="1">
      <c r="A39" s="1079" t="s">
        <v>394</v>
      </c>
      <c r="B39" s="1094" t="s">
        <v>752</v>
      </c>
      <c r="C39" s="310">
        <f ca="1">C5-C30</f>
        <v>1680</v>
      </c>
      <c r="D39" s="1095" t="s">
        <v>753</v>
      </c>
      <c r="E39" s="1096"/>
      <c r="F39" s="1097"/>
      <c r="G39" s="1384"/>
      <c r="H39" s="2700"/>
      <c r="I39" s="1398"/>
      <c r="J39" s="1399"/>
      <c r="K39" s="2704"/>
      <c r="L39" s="2700"/>
      <c r="M39" s="2700"/>
    </row>
    <row r="40" spans="1:18" ht="18" customHeight="1">
      <c r="A40" s="299" t="s">
        <v>395</v>
      </c>
      <c r="B40" s="300" t="s">
        <v>774</v>
      </c>
      <c r="C40" s="301">
        <f ca="1">ROUND(C39*(1-((1+F42)/(1+F40))^F41)/(F40-F42),0)</f>
        <v>36080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36481</v>
      </c>
      <c r="D43" s="337" t="s">
        <v>777</v>
      </c>
      <c r="E43" s="338" t="s">
        <v>778</v>
      </c>
      <c r="F43" s="339">
        <f ca="1">INDIRECT("'数据-取费表'!k"&amp;$G$1)</f>
        <v>9890.119999999999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-36975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3543</v>
      </c>
      <c r="K47" s="1416" t="s">
        <v>816</v>
      </c>
      <c r="L47" s="1417">
        <f ca="1">INDIRECT("'数据-取费表'!d"&amp;$G$1)</f>
        <v>40</v>
      </c>
      <c r="M47" s="1380" t="str">
        <f>IF(ISNUMBER(FIND("住宅",C1)),"住宅","非住宅")</f>
        <v>非住宅</v>
      </c>
      <c r="O47" s="1418" t="s">
        <v>403</v>
      </c>
      <c r="P47" s="1419" t="s">
        <v>817</v>
      </c>
      <c r="Q47" s="1420">
        <f ca="1">C40+J29</f>
        <v>36080</v>
      </c>
      <c r="R47" s="1420" t="s">
        <v>818</v>
      </c>
    </row>
    <row r="48" spans="1:18" s="1384" customFormat="1" ht="28.5" thickBot="1">
      <c r="A48" s="1110" t="s">
        <v>438</v>
      </c>
      <c r="B48" s="300" t="s">
        <v>692</v>
      </c>
      <c r="C48" s="3473">
        <f ca="1">C49+C53+C55</f>
        <v>0</v>
      </c>
      <c r="D48" s="1112"/>
      <c r="E48" s="1113"/>
      <c r="F48" s="962"/>
      <c r="G48" s="722"/>
      <c r="H48" s="723"/>
      <c r="I48" s="1421" t="s">
        <v>819</v>
      </c>
      <c r="J48" s="1422" t="s">
        <v>3544</v>
      </c>
      <c r="K48" s="1423" t="s">
        <v>820</v>
      </c>
      <c r="L48" s="1424">
        <f ca="1">INDIRECT("'数据-取费表'!f"&amp;$G$1)</f>
        <v>32.1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2019</v>
      </c>
      <c r="K49" s="1423" t="s">
        <v>824</v>
      </c>
      <c r="L49" s="1427"/>
      <c r="O49" s="1428" t="s">
        <v>405</v>
      </c>
      <c r="P49" s="1419" t="s">
        <v>825</v>
      </c>
      <c r="Q49" s="1420">
        <f ca="1">C29</f>
        <v>5287</v>
      </c>
      <c r="R49" s="1420" t="s">
        <v>818</v>
      </c>
    </row>
    <row r="50" spans="1:18" s="1384" customFormat="1" ht="13.5" thickBot="1">
      <c r="A50" s="976"/>
      <c r="B50" s="979"/>
      <c r="C50" s="1118"/>
      <c r="D50" s="953"/>
      <c r="E50" s="1056" t="s">
        <v>697</v>
      </c>
      <c r="F50" s="1057">
        <f ca="1">F7</f>
        <v>9890.119999999999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24518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32.1</v>
      </c>
      <c r="K53" s="3702" t="s">
        <v>837</v>
      </c>
      <c r="L53" s="3703"/>
      <c r="O53" s="1418" t="s">
        <v>409</v>
      </c>
      <c r="P53" s="1419" t="s">
        <v>838</v>
      </c>
      <c r="Q53" s="1420">
        <f ca="1">Q47+Q48</f>
        <v>36080</v>
      </c>
      <c r="R53" s="1420" t="s">
        <v>410</v>
      </c>
    </row>
    <row r="54" spans="1:18" s="1384" customFormat="1" ht="13.5" thickBot="1">
      <c r="A54" s="1153"/>
      <c r="B54" s="1367" t="s">
        <v>679</v>
      </c>
      <c r="C54" s="959"/>
      <c r="D54" s="1366"/>
      <c r="E54" s="346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3"/>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4917</v>
      </c>
      <c r="D56" s="1447"/>
      <c r="E56" s="1448"/>
      <c r="F56" s="1440"/>
      <c r="I56" s="1449" t="s">
        <v>842</v>
      </c>
      <c r="J56" s="1450" t="s">
        <v>3535</v>
      </c>
      <c r="K56" s="1421" t="s">
        <v>843</v>
      </c>
      <c r="L56" s="1424" t="str">
        <f ca="1">IF(L48&lt;J51,"——",L48-J53)</f>
        <v>——</v>
      </c>
      <c r="O56" s="1418" t="s">
        <v>403</v>
      </c>
      <c r="P56" s="1419" t="s">
        <v>817</v>
      </c>
      <c r="Q56" s="1420">
        <f ca="1">C40+J29</f>
        <v>36080</v>
      </c>
      <c r="R56" s="1420" t="s">
        <v>818</v>
      </c>
    </row>
    <row r="57" spans="1:18" s="1384" customFormat="1" ht="24.75" thickBot="1">
      <c r="A57" s="1451"/>
      <c r="B57" s="950" t="s">
        <v>767</v>
      </c>
      <c r="C57" s="238">
        <f ca="1">C29</f>
        <v>5287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3345</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v>
      </c>
      <c r="D62" s="965" t="s">
        <v>731</v>
      </c>
      <c r="E62" s="950" t="s">
        <v>732</v>
      </c>
      <c r="F62" s="325">
        <f t="shared" si="0"/>
        <v>1.5</v>
      </c>
      <c r="I62" s="1462" t="s">
        <v>858</v>
      </c>
      <c r="J62" s="1463" t="s">
        <v>859</v>
      </c>
      <c r="K62" s="1463" t="s">
        <v>860</v>
      </c>
      <c r="L62" s="1463" t="s">
        <v>861</v>
      </c>
      <c r="M62" s="1464" t="s">
        <v>862</v>
      </c>
      <c r="O62" s="1418" t="s">
        <v>409</v>
      </c>
      <c r="P62" s="1419" t="s">
        <v>838</v>
      </c>
      <c r="Q62" s="1420">
        <f ca="1">Q56+Q57</f>
        <v>36080</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52.87</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7.38</v>
      </c>
      <c r="D65" s="964" t="s">
        <v>743</v>
      </c>
      <c r="E65" s="950" t="s">
        <v>712</v>
      </c>
      <c r="F65" s="330">
        <f t="shared" ca="1" si="0"/>
        <v>1.5E-3</v>
      </c>
      <c r="I65" s="1462" t="s">
        <v>867</v>
      </c>
      <c r="J65" s="1463">
        <v>40</v>
      </c>
      <c r="K65" s="1463">
        <v>30</v>
      </c>
      <c r="L65" s="1463">
        <v>50</v>
      </c>
      <c r="M65" s="1465">
        <v>0.02</v>
      </c>
      <c r="O65" s="1418" t="s">
        <v>403</v>
      </c>
      <c r="P65" s="1419" t="s">
        <v>817</v>
      </c>
      <c r="Q65" s="1420">
        <f ca="1">C40+J29</f>
        <v>36080</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v>
      </c>
      <c r="D67" s="963" t="s">
        <v>753</v>
      </c>
      <c r="E67" s="968"/>
      <c r="F67" s="969"/>
      <c r="O67" s="1428" t="s">
        <v>405</v>
      </c>
      <c r="P67" s="1419" t="s">
        <v>850</v>
      </c>
      <c r="Q67" s="1466">
        <f ca="1">L51</f>
        <v>24518</v>
      </c>
      <c r="R67" s="1420" t="s">
        <v>870</v>
      </c>
    </row>
    <row r="68" spans="1:18" s="1384" customFormat="1" ht="16.5" thickBot="1">
      <c r="A68" s="947" t="s">
        <v>395</v>
      </c>
      <c r="B68" s="948" t="s">
        <v>774</v>
      </c>
      <c r="C68" s="301">
        <f ca="1">ROUND(C67*(1-((1+F70)/(1+F68))^F69)/(F68-F70),0)</f>
        <v>-895</v>
      </c>
      <c r="D68" s="965" t="s">
        <v>758</v>
      </c>
      <c r="E68" s="950" t="s">
        <v>759</v>
      </c>
      <c r="F68" s="312">
        <f ca="1">F40</f>
        <v>5.5E-2</v>
      </c>
      <c r="O68" s="1428" t="s">
        <v>406</v>
      </c>
      <c r="P68" s="1467" t="s">
        <v>871</v>
      </c>
      <c r="Q68" s="1420">
        <f ca="1">ROUND(Q69-Q70*Q71,0)</f>
        <v>1311</v>
      </c>
      <c r="R68" s="1420" t="s">
        <v>414</v>
      </c>
    </row>
    <row r="69" spans="1:18" s="1384" customFormat="1" ht="13.5" thickBot="1">
      <c r="A69" s="951"/>
      <c r="B69" s="952"/>
      <c r="C69" s="306"/>
      <c r="D69" s="970" t="s">
        <v>762</v>
      </c>
      <c r="E69" s="950" t="s">
        <v>763</v>
      </c>
      <c r="F69" s="333">
        <f ca="1">F41</f>
        <v>32.1</v>
      </c>
      <c r="O69" s="1428" t="s">
        <v>411</v>
      </c>
      <c r="P69" s="1467" t="s">
        <v>872</v>
      </c>
      <c r="Q69" s="1420">
        <f ca="1">C39</f>
        <v>1680</v>
      </c>
      <c r="R69" s="1420" t="s">
        <v>818</v>
      </c>
    </row>
    <row r="70" spans="1:18" s="1384" customFormat="1" ht="13.5" thickBot="1">
      <c r="A70" s="954"/>
      <c r="B70" s="955"/>
      <c r="C70" s="310"/>
      <c r="D70" s="966"/>
      <c r="E70" s="950" t="s">
        <v>766</v>
      </c>
      <c r="F70" s="1054"/>
      <c r="O70" s="1428" t="s">
        <v>412</v>
      </c>
      <c r="P70" s="1467" t="s">
        <v>873</v>
      </c>
      <c r="Q70" s="1420">
        <f ca="1">C13</f>
        <v>4917</v>
      </c>
      <c r="R70" s="1420" t="s">
        <v>818</v>
      </c>
    </row>
    <row r="71" spans="1:18" s="1384" customFormat="1" ht="13.5" thickBot="1">
      <c r="A71" s="971" t="s">
        <v>396</v>
      </c>
      <c r="B71" s="972" t="s">
        <v>776</v>
      </c>
      <c r="C71" s="336">
        <f ca="1">ROUND(C68*10000/F71,0)</f>
        <v>-905</v>
      </c>
      <c r="D71" s="973" t="s">
        <v>777</v>
      </c>
      <c r="E71" s="974" t="s">
        <v>778</v>
      </c>
      <c r="F71" s="339">
        <f ca="1">F43</f>
        <v>9890.119999999999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369</v>
      </c>
      <c r="D75" s="1384"/>
      <c r="E75" s="1384"/>
      <c r="F75" s="1384"/>
      <c r="K75" s="1402"/>
      <c r="L75" s="1384"/>
      <c r="O75" s="1418" t="s">
        <v>409</v>
      </c>
      <c r="P75" s="1419" t="s">
        <v>838</v>
      </c>
      <c r="Q75" s="1420">
        <f ca="1">Q65+Q66</f>
        <v>36080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0</v>
      </c>
      <c r="D6" s="155" t="s">
        <v>2106</v>
      </c>
      <c r="E6" s="302" t="s">
        <v>696</v>
      </c>
      <c r="F6" s="303">
        <f ca="1">INDIRECT("'数据-取费表'!u"&amp;$G$1)</f>
        <v>0</v>
      </c>
      <c r="G6" s="1384"/>
      <c r="H6" s="1069" t="s">
        <v>398</v>
      </c>
      <c r="I6" s="3704" t="s">
        <v>694</v>
      </c>
      <c r="J6" s="301">
        <f ca="1">ROUND(M6*M8*M7*(1-M9),0)</f>
        <v>0</v>
      </c>
      <c r="K6" s="1376"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4"/>
      <c r="H7" s="304"/>
      <c r="I7" s="3705"/>
      <c r="J7" s="306"/>
      <c r="K7" s="307"/>
      <c r="L7" s="302" t="s">
        <v>697</v>
      </c>
      <c r="M7" s="303">
        <f ca="1">F7</f>
        <v>0</v>
      </c>
    </row>
    <row r="8" spans="1:37" ht="18" customHeight="1">
      <c r="A8" s="304"/>
      <c r="B8" s="3705"/>
      <c r="C8" s="306"/>
      <c r="D8" s="307"/>
      <c r="E8" s="302" t="s">
        <v>698</v>
      </c>
      <c r="F8" s="303">
        <f ca="1">INDIRECT("'数据-取费表'!ai"&amp;$G$1)</f>
        <v>0</v>
      </c>
      <c r="G8" s="1384"/>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t="e">
        <f ca="1">ROUND((C68-C40)/10000,4)</f>
        <v>#DIV/0!</v>
      </c>
      <c r="D45" s="3433" t="s">
        <v>3362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2" t="s">
        <v>837</v>
      </c>
      <c r="L53" s="370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3370</v>
      </c>
      <c r="E2" s="3445"/>
      <c r="F2" s="2846"/>
      <c r="G2" s="2847"/>
      <c r="H2" s="2848"/>
      <c r="I2" s="2849"/>
      <c r="J2" s="3713" t="s">
        <v>2320</v>
      </c>
      <c r="K2" s="371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5" t="s">
        <v>2330</v>
      </c>
      <c r="K3" s="371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5" t="s">
        <v>2332</v>
      </c>
      <c r="K4" s="371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1" t="s">
        <v>2336</v>
      </c>
      <c r="B6" s="3722"/>
      <c r="C6" s="3723"/>
      <c r="D6" s="2870"/>
      <c r="E6" s="2871"/>
      <c r="F6" s="2872"/>
      <c r="G6" s="2873"/>
      <c r="H6" s="2848"/>
      <c r="I6" s="2849"/>
      <c r="J6" s="3707">
        <v>1</v>
      </c>
      <c r="K6" s="370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7"/>
      <c r="K7" s="370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4" t="s">
        <v>2350</v>
      </c>
      <c r="C8" s="3725"/>
      <c r="D8" s="2889" t="s">
        <v>2351</v>
      </c>
      <c r="E8" s="2890" t="s">
        <v>2352</v>
      </c>
      <c r="F8" s="2891" t="s">
        <v>2353</v>
      </c>
      <c r="G8" s="2892"/>
      <c r="H8" s="2848"/>
      <c r="I8" s="2849"/>
      <c r="J8" s="3707"/>
      <c r="K8" s="370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4" t="s">
        <v>2356</v>
      </c>
      <c r="C9" s="3725"/>
      <c r="D9" s="2889">
        <f>ROUND(D6*E9,0)</f>
        <v>0</v>
      </c>
      <c r="E9" s="2893"/>
      <c r="F9" s="2894" t="s">
        <v>2357</v>
      </c>
      <c r="G9" s="2873"/>
      <c r="H9" s="2848"/>
      <c r="I9" s="2849"/>
      <c r="J9" s="3707"/>
      <c r="K9" s="3709"/>
      <c r="L9" s="2883" t="s">
        <v>2358</v>
      </c>
      <c r="M9" s="2884"/>
      <c r="N9" s="2860"/>
      <c r="O9" s="2885"/>
      <c r="P9" s="2885"/>
      <c r="Q9" s="2886">
        <v>365</v>
      </c>
      <c r="R9" s="2887">
        <f t="shared" si="0"/>
        <v>0</v>
      </c>
      <c r="S9" s="2841"/>
      <c r="T9" s="2841"/>
      <c r="U9" s="2841"/>
      <c r="V9" s="2849"/>
    </row>
    <row r="10" spans="1:22" s="2853" customFormat="1" ht="13.15" customHeight="1">
      <c r="A10" s="2888">
        <v>2</v>
      </c>
      <c r="B10" s="3724" t="s">
        <v>2359</v>
      </c>
      <c r="C10" s="3725"/>
      <c r="D10" s="2889">
        <f>ROUND(D6*E10,0)</f>
        <v>0</v>
      </c>
      <c r="E10" s="2893"/>
      <c r="F10" s="2894" t="s">
        <v>2360</v>
      </c>
      <c r="G10" s="2873"/>
      <c r="H10" s="2848"/>
      <c r="I10" s="2849"/>
      <c r="J10" s="3707"/>
      <c r="K10" s="3709"/>
      <c r="L10" s="2883" t="s">
        <v>2361</v>
      </c>
      <c r="M10" s="2884"/>
      <c r="N10" s="2860"/>
      <c r="O10" s="2885"/>
      <c r="P10" s="2885"/>
      <c r="Q10" s="2886">
        <v>365</v>
      </c>
      <c r="R10" s="2887">
        <f t="shared" si="0"/>
        <v>0</v>
      </c>
      <c r="S10" s="2841"/>
      <c r="T10" s="2841"/>
      <c r="U10" s="2841"/>
      <c r="V10" s="2849"/>
    </row>
    <row r="11" spans="1:22" s="2853" customFormat="1" ht="13.15" customHeight="1">
      <c r="A11" s="2888">
        <v>3</v>
      </c>
      <c r="B11" s="3724" t="s">
        <v>2362</v>
      </c>
      <c r="C11" s="3725"/>
      <c r="D11" s="2889">
        <f>D12+D14+D15+D16</f>
        <v>0</v>
      </c>
      <c r="E11" s="2895" t="e">
        <f>D11/D6</f>
        <v>#DIV/0!</v>
      </c>
      <c r="F11" s="2891"/>
      <c r="G11" s="2892"/>
      <c r="H11" s="2848"/>
      <c r="I11" s="2849"/>
      <c r="J11" s="3707"/>
      <c r="K11" s="370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7" t="s">
        <v>2365</v>
      </c>
      <c r="C12" s="3718"/>
      <c r="D12" s="2897">
        <f>ROUND(D13*1.2%*(1-30%),0)</f>
        <v>0</v>
      </c>
      <c r="E12" s="2898">
        <v>1.2E-2</v>
      </c>
      <c r="F12" s="2891" t="s">
        <v>2366</v>
      </c>
      <c r="G12" s="2892"/>
      <c r="H12" s="2848"/>
      <c r="I12" s="2849"/>
      <c r="J12" s="3707"/>
      <c r="K12" s="370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7"/>
      <c r="K13" s="370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7" t="s">
        <v>2371</v>
      </c>
      <c r="C14" s="3718"/>
      <c r="D14" s="2897">
        <f>ROUND(E14*B5/10000,0)</f>
        <v>0</v>
      </c>
      <c r="E14" s="2886"/>
      <c r="F14" s="2891" t="s">
        <v>2372</v>
      </c>
      <c r="G14" s="2892"/>
      <c r="H14" s="2848"/>
      <c r="I14" s="2849"/>
      <c r="J14" s="3707"/>
      <c r="K14" s="371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7" t="s">
        <v>2375</v>
      </c>
      <c r="C15" s="3718"/>
      <c r="D15" s="2897">
        <f>ROUND(D6*E15,0)</f>
        <v>0</v>
      </c>
      <c r="E15" s="2898">
        <v>5.5E-2</v>
      </c>
      <c r="F15" s="2891" t="s">
        <v>2376</v>
      </c>
      <c r="G15" s="2873"/>
      <c r="H15" s="2848"/>
      <c r="I15" s="2849"/>
      <c r="J15" s="3707">
        <v>2</v>
      </c>
      <c r="K15" s="370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7" t="s">
        <v>2384</v>
      </c>
      <c r="C16" s="3718"/>
      <c r="D16" s="2908">
        <f>D6*E16</f>
        <v>0</v>
      </c>
      <c r="E16" s="2909"/>
      <c r="F16" s="2894" t="s">
        <v>2385</v>
      </c>
      <c r="G16" s="2873"/>
      <c r="H16" s="2848"/>
      <c r="I16" s="2849"/>
      <c r="J16" s="3707"/>
      <c r="K16" s="370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9" t="s">
        <v>2387</v>
      </c>
      <c r="C17" s="3720"/>
      <c r="D17" s="2911">
        <f>ROUND(D6*E17,0)</f>
        <v>0</v>
      </c>
      <c r="E17" s="2912"/>
      <c r="F17" s="2913" t="s">
        <v>2388</v>
      </c>
      <c r="G17" s="2873"/>
      <c r="H17" s="2848"/>
      <c r="I17" s="2849"/>
      <c r="J17" s="3707"/>
      <c r="K17" s="370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7"/>
      <c r="K18" s="370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7"/>
      <c r="K19" s="371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7">
        <v>3</v>
      </c>
      <c r="K20" s="370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7"/>
      <c r="K21" s="370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7"/>
      <c r="K22" s="370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7"/>
      <c r="K23" s="370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7"/>
      <c r="K24" s="371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3" t="s">
        <v>2320</v>
      </c>
      <c r="K32" s="371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5" t="s">
        <v>2330</v>
      </c>
      <c r="K33" s="371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5" t="s">
        <v>2332</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7">
        <v>1</v>
      </c>
      <c r="K36" s="370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7"/>
      <c r="K37" s="370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7"/>
      <c r="K38" s="370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7"/>
      <c r="K39" s="370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7"/>
      <c r="K40" s="371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估价对象为北京市房地产，为所有。根据《国有土地使用证》[]，估价对象（分摊）出让国有建设用地使用权面积为0平方米，建筑面积为67463.6平方米。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估价对象为北京市房地产,属开发建设的，该项目尚在开发建设中。根据《国有土地使用证》[]，估价对象（分摊）出让国有建设用地使用权面积为0平方米，规划建筑面积为67463.6平方米。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6" sqref="I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225555</v>
      </c>
      <c r="C2" s="1872" t="s">
        <v>1651</v>
      </c>
      <c r="D2" s="1873" t="s">
        <v>1652</v>
      </c>
      <c r="E2" s="2607">
        <f>SUM(E6:E13)</f>
        <v>67463.599999999977</v>
      </c>
      <c r="F2" s="2707"/>
      <c r="G2" s="1489"/>
      <c r="H2" s="1489"/>
      <c r="I2" s="1489"/>
      <c r="J2" s="1489"/>
      <c r="K2" s="1489"/>
      <c r="L2" s="1489"/>
      <c r="M2" s="1489"/>
      <c r="N2" s="1489"/>
      <c r="O2" s="1489"/>
      <c r="P2" s="1489"/>
      <c r="Q2" s="1489"/>
      <c r="R2" s="1489"/>
      <c r="S2" s="1489"/>
    </row>
    <row r="3" spans="1:22" ht="15.75">
      <c r="A3" s="1870" t="s">
        <v>686</v>
      </c>
      <c r="B3" s="2601">
        <f ca="1">ROUND(B2*10000/E2,0)</f>
        <v>33434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6" t="s">
        <v>1654</v>
      </c>
      <c r="C5" s="372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189475</v>
      </c>
      <c r="C6" s="1872" t="s">
        <v>1651</v>
      </c>
      <c r="D6" s="2709"/>
      <c r="E6" s="2606">
        <f>IF(OR(A6=0,F6="否"),0,'数据-取费表'!K6+'数据-取费表'!S6)</f>
        <v>57573.479999999974</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36080</v>
      </c>
      <c r="C7" s="1872" t="s">
        <v>1651</v>
      </c>
      <c r="D7" s="2709"/>
      <c r="E7" s="2606">
        <f>IF(OR(A7=0,F7="否"),0,'数据-取费表'!K7+'数据-取费表'!S7)</f>
        <v>9890.119999999999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67463.599999999977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46" t="s">
        <v>1667</v>
      </c>
      <c r="D4" s="3747"/>
      <c r="E4" s="3748" t="s">
        <v>1668</v>
      </c>
      <c r="F4" s="3749"/>
      <c r="G4" s="3746" t="s">
        <v>1669</v>
      </c>
      <c r="H4" s="3747"/>
      <c r="I4" s="3746" t="s">
        <v>1670</v>
      </c>
      <c r="J4" s="3747"/>
      <c r="K4" s="1889" t="s">
        <v>1671</v>
      </c>
      <c r="L4" s="2715"/>
      <c r="M4" s="2716"/>
      <c r="N4" s="2716"/>
      <c r="O4" s="2716"/>
      <c r="P4" s="3750" t="s">
        <v>1672</v>
      </c>
      <c r="Q4" s="3751"/>
      <c r="R4" s="3756" t="s">
        <v>1668</v>
      </c>
      <c r="S4" s="3757"/>
      <c r="T4" s="3756" t="s">
        <v>1669</v>
      </c>
      <c r="U4" s="3757"/>
      <c r="V4" s="3762" t="s">
        <v>1670</v>
      </c>
      <c r="W4" s="3762"/>
      <c r="X4" s="1355"/>
      <c r="Y4" s="3756" t="s">
        <v>1672</v>
      </c>
      <c r="Z4" s="3757"/>
      <c r="AA4" s="3743" t="s">
        <v>1668</v>
      </c>
      <c r="AB4" s="3743" t="s">
        <v>1669</v>
      </c>
      <c r="AC4" s="3743" t="s">
        <v>1670</v>
      </c>
    </row>
    <row r="5" spans="1:29" ht="15">
      <c r="A5" s="358"/>
      <c r="B5" s="359"/>
      <c r="C5" s="3765" t="s">
        <v>1673</v>
      </c>
      <c r="D5" s="3766"/>
      <c r="E5" s="3772" t="s">
        <v>1674</v>
      </c>
      <c r="F5" s="3773"/>
      <c r="G5" s="3765" t="s">
        <v>1675</v>
      </c>
      <c r="H5" s="3766"/>
      <c r="I5" s="3765" t="s">
        <v>1676</v>
      </c>
      <c r="J5" s="3766"/>
      <c r="K5" s="1890"/>
      <c r="L5" s="2715"/>
      <c r="M5" s="2716"/>
      <c r="N5" s="2716"/>
      <c r="O5" s="2716"/>
      <c r="P5" s="3752"/>
      <c r="Q5" s="3753"/>
      <c r="R5" s="3758"/>
      <c r="S5" s="3759"/>
      <c r="T5" s="3758"/>
      <c r="U5" s="3759"/>
      <c r="V5" s="3762"/>
      <c r="W5" s="3762"/>
      <c r="X5" s="1355"/>
      <c r="Y5" s="3758"/>
      <c r="Z5" s="3759"/>
      <c r="AA5" s="3744"/>
      <c r="AB5" s="3744"/>
      <c r="AC5" s="3744"/>
    </row>
    <row r="6" spans="1:29" ht="15.75" thickBot="1">
      <c r="A6" s="360"/>
      <c r="B6" s="361"/>
      <c r="C6" s="3763" t="s">
        <v>1677</v>
      </c>
      <c r="D6" s="3764"/>
      <c r="E6" s="3770" t="s">
        <v>1677</v>
      </c>
      <c r="F6" s="3771"/>
      <c r="G6" s="3763" t="s">
        <v>1677</v>
      </c>
      <c r="H6" s="3764"/>
      <c r="I6" s="3763" t="s">
        <v>1677</v>
      </c>
      <c r="J6" s="3764"/>
      <c r="K6" s="1890" t="s">
        <v>1678</v>
      </c>
      <c r="L6" s="2715"/>
      <c r="M6" s="2716"/>
      <c r="N6" s="2716"/>
      <c r="O6" s="2716"/>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44936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67" t="s">
        <v>1680</v>
      </c>
      <c r="Q7" s="3769"/>
      <c r="R7" s="701" t="s">
        <v>20</v>
      </c>
      <c r="S7" s="702">
        <f t="shared" ref="S7:S15" si="0">F7</f>
        <v>0</v>
      </c>
      <c r="T7" s="701" t="s">
        <v>20</v>
      </c>
      <c r="U7" s="702">
        <f t="shared" ref="U7:U15" si="1">H7</f>
        <v>0</v>
      </c>
      <c r="V7" s="701" t="s">
        <v>20</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67" t="s">
        <v>1683</v>
      </c>
      <c r="Q8" s="3768"/>
      <c r="R8" s="701" t="s">
        <v>20</v>
      </c>
      <c r="S8" s="702">
        <f t="shared" si="0"/>
        <v>100</v>
      </c>
      <c r="T8" s="701" t="s">
        <v>20</v>
      </c>
      <c r="U8" s="702">
        <f t="shared" si="1"/>
        <v>100</v>
      </c>
      <c r="V8" s="701" t="s">
        <v>20</v>
      </c>
      <c r="W8" s="702">
        <f t="shared" si="2"/>
        <v>100</v>
      </c>
      <c r="X8" s="703"/>
      <c r="Y8" s="3767" t="s">
        <v>1683</v>
      </c>
      <c r="Z8" s="37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2"/>
      <c r="Q11" s="1343" t="str">
        <f t="shared" si="6"/>
        <v>容积率</v>
      </c>
      <c r="R11" s="701" t="s">
        <v>18</v>
      </c>
      <c r="S11" s="702" t="e">
        <f t="shared" si="0"/>
        <v>#N/A</v>
      </c>
      <c r="T11" s="701" t="s">
        <v>18</v>
      </c>
      <c r="U11" s="702" t="e">
        <f t="shared" si="1"/>
        <v>#N/A</v>
      </c>
      <c r="V11" s="701" t="s">
        <v>18</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2"/>
      <c r="Q12" s="1343">
        <f t="shared" si="6"/>
        <v>111</v>
      </c>
      <c r="R12" s="701" t="s">
        <v>18</v>
      </c>
      <c r="S12" s="702">
        <f t="shared" si="0"/>
        <v>100</v>
      </c>
      <c r="T12" s="701" t="s">
        <v>18</v>
      </c>
      <c r="U12" s="702">
        <f t="shared" si="1"/>
        <v>100</v>
      </c>
      <c r="V12" s="701" t="s">
        <v>18</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2"/>
      <c r="Q13" s="1343">
        <f t="shared" si="6"/>
        <v>111</v>
      </c>
      <c r="R13" s="701" t="s">
        <v>18</v>
      </c>
      <c r="S13" s="702">
        <f t="shared" si="0"/>
        <v>100</v>
      </c>
      <c r="T13" s="701" t="s">
        <v>18</v>
      </c>
      <c r="U13" s="702">
        <f t="shared" si="1"/>
        <v>100</v>
      </c>
      <c r="V13" s="701" t="s">
        <v>18</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2"/>
      <c r="Q14" s="1343">
        <f t="shared" si="6"/>
        <v>111</v>
      </c>
      <c r="R14" s="701" t="s">
        <v>18</v>
      </c>
      <c r="S14" s="702">
        <f t="shared" si="0"/>
        <v>100</v>
      </c>
      <c r="T14" s="701" t="s">
        <v>18</v>
      </c>
      <c r="U14" s="702">
        <f t="shared" si="1"/>
        <v>100</v>
      </c>
      <c r="V14" s="701" t="s">
        <v>18</v>
      </c>
      <c r="W14" s="702">
        <f t="shared" si="2"/>
        <v>100</v>
      </c>
      <c r="X14" s="703"/>
      <c r="Y14" s="358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1"/>
      <c r="Q16" s="1352"/>
      <c r="R16" s="705"/>
      <c r="S16" s="706"/>
      <c r="T16" s="705"/>
      <c r="U16" s="706"/>
      <c r="V16" s="705"/>
      <c r="W16" s="706"/>
      <c r="X16" s="1355"/>
      <c r="Y16" s="373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1"/>
      <c r="Q18" s="1352"/>
      <c r="R18" s="705"/>
      <c r="S18" s="706"/>
      <c r="T18" s="705"/>
      <c r="U18" s="706"/>
      <c r="V18" s="705"/>
      <c r="W18" s="706"/>
      <c r="X18" s="1355"/>
      <c r="Y18" s="373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1"/>
      <c r="Q20" s="1352"/>
      <c r="R20" s="705"/>
      <c r="S20" s="706"/>
      <c r="T20" s="705"/>
      <c r="U20" s="706"/>
      <c r="V20" s="705"/>
      <c r="W20" s="706"/>
      <c r="X20" s="1355"/>
      <c r="Y20" s="373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1"/>
      <c r="Q22" s="1352"/>
      <c r="R22" s="705"/>
      <c r="S22" s="706"/>
      <c r="T22" s="705"/>
      <c r="U22" s="706"/>
      <c r="V22" s="705"/>
      <c r="W22" s="706"/>
      <c r="X22" s="1355"/>
      <c r="Y22" s="373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1"/>
      <c r="Q26" s="1352" t="str">
        <f t="shared" si="11"/>
        <v>朝向</v>
      </c>
      <c r="R26" s="705" t="s">
        <v>18</v>
      </c>
      <c r="S26" s="706">
        <f t="shared" si="12"/>
        <v>100</v>
      </c>
      <c r="T26" s="705" t="s">
        <v>18</v>
      </c>
      <c r="U26" s="706">
        <f t="shared" si="13"/>
        <v>100</v>
      </c>
      <c r="V26" s="705" t="s">
        <v>18</v>
      </c>
      <c r="W26" s="706">
        <f t="shared" si="14"/>
        <v>100</v>
      </c>
      <c r="X26" s="1355"/>
      <c r="Y26" s="373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1"/>
      <c r="Q27" s="1343">
        <f t="shared" si="11"/>
        <v>111</v>
      </c>
      <c r="R27" s="701" t="s">
        <v>18</v>
      </c>
      <c r="S27" s="702">
        <f t="shared" si="12"/>
        <v>100</v>
      </c>
      <c r="T27" s="701" t="s">
        <v>18</v>
      </c>
      <c r="U27" s="702">
        <f t="shared" si="13"/>
        <v>100</v>
      </c>
      <c r="V27" s="701" t="s">
        <v>18</v>
      </c>
      <c r="W27" s="702">
        <f t="shared" si="14"/>
        <v>100</v>
      </c>
      <c r="X27" s="703"/>
      <c r="Y27" s="373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5" t="s">
        <v>1696</v>
      </c>
      <c r="Q32" s="1352" t="str">
        <f t="shared" si="11"/>
        <v>建筑类型</v>
      </c>
      <c r="R32" s="705" t="s">
        <v>18</v>
      </c>
      <c r="S32" s="706">
        <f t="shared" si="12"/>
        <v>100</v>
      </c>
      <c r="T32" s="705" t="s">
        <v>18</v>
      </c>
      <c r="U32" s="706">
        <f t="shared" si="13"/>
        <v>100</v>
      </c>
      <c r="V32" s="705" t="s">
        <v>18</v>
      </c>
      <c r="W32" s="706">
        <f t="shared" si="14"/>
        <v>100</v>
      </c>
      <c r="X32" s="1355"/>
      <c r="Y32" s="373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6"/>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6"/>
      <c r="Q37" s="1343"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6" t="s">
        <v>1696</v>
      </c>
      <c r="Q38" s="1352" t="str">
        <f t="shared" si="11"/>
        <v>物业管理</v>
      </c>
      <c r="R38" s="705" t="s">
        <v>18</v>
      </c>
      <c r="S38" s="706">
        <f t="shared" si="12"/>
        <v>100</v>
      </c>
      <c r="T38" s="705" t="s">
        <v>18</v>
      </c>
      <c r="U38" s="706">
        <f t="shared" si="13"/>
        <v>100</v>
      </c>
      <c r="V38" s="705" t="s">
        <v>18</v>
      </c>
      <c r="W38" s="706">
        <f t="shared" si="14"/>
        <v>100</v>
      </c>
      <c r="X38" s="1355"/>
      <c r="Y38" s="373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6"/>
      <c r="Q44" s="1343">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3567</v>
      </c>
      <c r="D4" s="1756" t="s">
        <v>3545</v>
      </c>
      <c r="E4" s="3626" t="s">
        <v>1267</v>
      </c>
      <c r="F4" s="3627"/>
      <c r="G4" s="3627"/>
      <c r="H4" s="3627"/>
      <c r="I4" s="3628"/>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00" t="s">
        <v>1268</v>
      </c>
      <c r="B5" s="3587">
        <v>25</v>
      </c>
      <c r="C5" s="3603"/>
      <c r="D5" s="3623"/>
      <c r="E5" s="131" t="s">
        <v>1269</v>
      </c>
      <c r="F5" s="1757"/>
      <c r="G5" s="1757"/>
      <c r="H5" s="1757"/>
      <c r="I5" s="1373"/>
    </row>
    <row r="6" spans="1:12" ht="12.75">
      <c r="A6" s="3600"/>
      <c r="B6" s="3587"/>
      <c r="C6" s="3604"/>
      <c r="D6" s="3623"/>
      <c r="E6" s="131" t="s">
        <v>1270</v>
      </c>
      <c r="F6" s="1757"/>
      <c r="G6" s="1757"/>
      <c r="H6" s="1757"/>
      <c r="I6" s="1373"/>
    </row>
    <row r="7" spans="1:12" ht="12.75">
      <c r="A7" s="3600"/>
      <c r="B7" s="3587"/>
      <c r="C7" s="3605"/>
      <c r="D7" s="3623"/>
      <c r="E7" s="131" t="s">
        <v>1271</v>
      </c>
      <c r="F7" s="1757"/>
      <c r="G7" s="1757"/>
      <c r="H7" s="1757"/>
      <c r="I7" s="1373"/>
    </row>
    <row r="8" spans="1:12" ht="12.75">
      <c r="A8" s="3600" t="s">
        <v>1272</v>
      </c>
      <c r="B8" s="3587">
        <v>15</v>
      </c>
      <c r="C8" s="3603"/>
      <c r="D8" s="3623"/>
      <c r="E8" s="131" t="s">
        <v>1273</v>
      </c>
      <c r="F8" s="1757"/>
      <c r="G8" s="1757"/>
      <c r="H8" s="1757"/>
      <c r="I8" s="1373"/>
    </row>
    <row r="9" spans="1:12" ht="12.75">
      <c r="A9" s="3600"/>
      <c r="B9" s="3587"/>
      <c r="C9" s="3605"/>
      <c r="D9" s="3623"/>
      <c r="E9" s="131" t="s">
        <v>1274</v>
      </c>
      <c r="F9" s="1757"/>
      <c r="G9" s="1757"/>
      <c r="H9" s="1757"/>
      <c r="I9" s="1373"/>
    </row>
    <row r="10" spans="1:12" ht="12.75">
      <c r="A10" s="3600" t="s">
        <v>1275</v>
      </c>
      <c r="B10" s="3587">
        <v>15</v>
      </c>
      <c r="C10" s="3603"/>
      <c r="D10" s="3623"/>
      <c r="E10" s="131" t="s">
        <v>1276</v>
      </c>
      <c r="F10" s="1757"/>
      <c r="G10" s="1757"/>
      <c r="H10" s="1757"/>
      <c r="I10" s="1373"/>
    </row>
    <row r="11" spans="1:12" ht="12.75">
      <c r="A11" s="3600"/>
      <c r="B11" s="3587"/>
      <c r="C11" s="3605"/>
      <c r="D11" s="3623"/>
      <c r="E11" s="131" t="s">
        <v>1277</v>
      </c>
      <c r="F11" s="1757"/>
      <c r="G11" s="1757"/>
      <c r="H11" s="1757"/>
      <c r="I11" s="1373"/>
    </row>
    <row r="12" spans="1:12" ht="12.75">
      <c r="A12" s="3600" t="s">
        <v>1278</v>
      </c>
      <c r="B12" s="3587">
        <v>15</v>
      </c>
      <c r="C12" s="3603"/>
      <c r="D12" s="3623"/>
      <c r="E12" s="131" t="s">
        <v>1279</v>
      </c>
      <c r="F12" s="1757"/>
      <c r="G12" s="1757"/>
      <c r="H12" s="1757"/>
      <c r="I12" s="1373"/>
    </row>
    <row r="13" spans="1:12" ht="12.75">
      <c r="A13" s="3600"/>
      <c r="B13" s="3587"/>
      <c r="C13" s="3605"/>
      <c r="D13" s="3623"/>
      <c r="E13" s="131" t="s">
        <v>1280</v>
      </c>
      <c r="F13" s="1757"/>
      <c r="G13" s="1757"/>
      <c r="H13" s="1757"/>
      <c r="I13" s="1373"/>
    </row>
    <row r="14" spans="1:12" ht="12.75">
      <c r="A14" s="3600" t="s">
        <v>1281</v>
      </c>
      <c r="B14" s="3587">
        <v>30</v>
      </c>
      <c r="C14" s="3603">
        <v>6</v>
      </c>
      <c r="D14" s="3623">
        <v>4</v>
      </c>
      <c r="E14" s="131" t="s">
        <v>1282</v>
      </c>
      <c r="F14" s="1757"/>
      <c r="G14" s="1757"/>
      <c r="H14" s="1757"/>
      <c r="I14" s="1373"/>
    </row>
    <row r="15" spans="1:12" ht="12.75">
      <c r="A15" s="3600"/>
      <c r="B15" s="3587"/>
      <c r="C15" s="3604"/>
      <c r="D15" s="3623"/>
      <c r="E15" s="131" t="s">
        <v>1283</v>
      </c>
      <c r="F15" s="1757"/>
      <c r="G15" s="1757"/>
      <c r="H15" s="1757"/>
      <c r="I15" s="1373"/>
    </row>
    <row r="16" spans="1:12" ht="12.75">
      <c r="A16" s="3600"/>
      <c r="B16" s="3587"/>
      <c r="C16" s="3605"/>
      <c r="D16" s="362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10" t="s">
        <v>2131</v>
      </c>
      <c r="F18" s="3611"/>
      <c r="G18" s="3611"/>
      <c r="H18" s="3611"/>
      <c r="I18" s="3611"/>
      <c r="K18" s="302" t="s">
        <v>1289</v>
      </c>
      <c r="L18" s="302">
        <f>IF(C1="",'数据-汇总表'!E3,SUMIF(项目类型,C1,'数据-汇总表'!E17:E26)+SUMIF(项目类型,C1,'数据-汇总表'!I17:I26))</f>
        <v>9890.119999999999</v>
      </c>
      <c r="M18" s="302">
        <f>IF(C1="",'数据-汇总表'!E3,SUMIF(项目类型,C1,'数据-汇总表'!E17:E26))</f>
        <v>9890.119999999999</v>
      </c>
    </row>
    <row r="19" spans="1:36" ht="15">
      <c r="A19" s="1761" t="s">
        <v>1290</v>
      </c>
      <c r="B19" s="1762" t="s">
        <v>1291</v>
      </c>
      <c r="C19" s="134">
        <f ca="1">SUMIF(INDIRECT("'"&amp;C4&amp;"'"&amp;"!A:A"),'结果表(商业)'!B19,INDIRECT("'"&amp;C4&amp;"'"&amp;"!B:B"))</f>
        <v>49451</v>
      </c>
      <c r="D19" s="135">
        <f ca="1">SUMIF(INDIRECT("'"&amp;D4&amp;"'"&amp;"!A:A"),'结果表(商业)'!B19,INDIRECT("'"&amp;D4&amp;"'"&amp;"!B:B"))</f>
        <v>36080</v>
      </c>
      <c r="E19" s="1761" t="s">
        <v>1292</v>
      </c>
      <c r="F19" s="1762" t="s">
        <v>1291</v>
      </c>
      <c r="G19" s="136">
        <f ca="1">ROUND(C19*$C$18+D19*$D$18,0)</f>
        <v>44103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50000</v>
      </c>
      <c r="D20" s="138">
        <f ca="1">SUMIF(INDIRECT("'"&amp;D4&amp;"'"&amp;"!A:A"),'结果表(商业)'!B20,INDIRECT("'"&amp;D4&amp;"'"&amp;"!B:B"))</f>
        <v>36481</v>
      </c>
      <c r="E20" s="1764"/>
      <c r="F20" s="1026" t="s">
        <v>1295</v>
      </c>
      <c r="G20" s="139">
        <f ca="1">ROUND(C20*$C$18+D20*$D$18,0)</f>
        <v>44592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0.37059312638580932</v>
      </c>
      <c r="E22" s="129"/>
      <c r="F22" s="129"/>
      <c r="G22" s="129"/>
      <c r="H22" s="129"/>
      <c r="I22" s="129"/>
    </row>
    <row r="23" spans="1:36" ht="13.5" thickBot="1">
      <c r="A23" s="1747"/>
      <c r="B23" s="1747"/>
      <c r="C23" s="1747"/>
      <c r="D23" s="1747"/>
      <c r="E23" s="129"/>
      <c r="F23" s="129"/>
      <c r="G23" s="129"/>
      <c r="H23" s="129"/>
      <c r="I23" s="129"/>
    </row>
    <row r="24" spans="1:36" ht="14.25">
      <c r="A24" s="3594" t="s">
        <v>1299</v>
      </c>
      <c r="B24" s="1762" t="s">
        <v>1291</v>
      </c>
      <c r="C24" s="136">
        <f>IF(B30=0,0,D30)</f>
        <v>0</v>
      </c>
      <c r="D24" s="1769"/>
      <c r="E24" s="129"/>
      <c r="F24" s="129"/>
      <c r="G24" s="129"/>
      <c r="H24" s="129"/>
      <c r="I24" s="129"/>
    </row>
    <row r="25" spans="1:36" ht="14.25">
      <c r="A25" s="359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44103</v>
      </c>
      <c r="D32" s="1775" t="s">
        <v>3568</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1" t="s">
        <v>1326</v>
      </c>
      <c r="B45" s="3592"/>
      <c r="C45" s="3593"/>
      <c r="D45" s="155">
        <f ca="1">ROUND(H101*F45,0)</f>
        <v>44103</v>
      </c>
      <c r="E45" s="156" t="s">
        <v>1327</v>
      </c>
      <c r="F45" s="157">
        <v>1</v>
      </c>
      <c r="G45" s="158" t="s">
        <v>1328</v>
      </c>
      <c r="H45" s="129"/>
      <c r="I45" s="129"/>
      <c r="J45" s="3669" t="s">
        <v>1329</v>
      </c>
      <c r="K45" s="3669"/>
      <c r="L45" s="3669"/>
      <c r="M45" s="3669"/>
      <c r="N45" s="3669"/>
      <c r="O45" s="3669"/>
    </row>
    <row r="46" spans="1:15" ht="14.25" customHeight="1">
      <c r="A46" s="3588" t="s">
        <v>1330</v>
      </c>
      <c r="B46" s="3589"/>
      <c r="C46" s="3589"/>
      <c r="D46" s="3589"/>
      <c r="E46" s="3589"/>
      <c r="F46" s="3589"/>
      <c r="G46" s="3590"/>
      <c r="H46" s="1806"/>
      <c r="I46" s="159"/>
      <c r="J46" s="3465">
        <v>1</v>
      </c>
      <c r="K46" s="3650" t="s">
        <v>1331</v>
      </c>
      <c r="L46" s="3650"/>
      <c r="M46" s="3670"/>
      <c r="N46" s="3670"/>
      <c r="O46" s="3670"/>
    </row>
    <row r="47" spans="1:15" ht="12" customHeight="1">
      <c r="A47" s="160" t="s">
        <v>1332</v>
      </c>
      <c r="B47" s="161"/>
      <c r="C47" s="162"/>
      <c r="D47" s="1087" t="s">
        <v>1333</v>
      </c>
      <c r="E47" s="302" t="s">
        <v>1334</v>
      </c>
      <c r="F47" s="163" t="s">
        <v>1335</v>
      </c>
      <c r="G47" s="2546" t="s">
        <v>1336</v>
      </c>
      <c r="H47" s="2547"/>
      <c r="I47" s="159"/>
      <c r="J47" s="3465">
        <v>2</v>
      </c>
      <c r="K47" s="3650" t="s">
        <v>1337</v>
      </c>
      <c r="L47" s="3650"/>
      <c r="M47" s="3671">
        <f>'数据-取费表'!B2</f>
        <v>44936</v>
      </c>
      <c r="N47" s="3671"/>
      <c r="O47" s="3671"/>
    </row>
    <row r="48" spans="1:15" ht="25.5">
      <c r="A48" s="3619" t="s">
        <v>1338</v>
      </c>
      <c r="B48" s="3602"/>
      <c r="C48" s="3602"/>
      <c r="D48" s="3468" t="b">
        <f>IF(H48="情况1",0,IF(H48="情况2",D52,IF(H48="情况3",D53,IF(H48="情况4",D54))))</f>
        <v>0</v>
      </c>
      <c r="E48" s="3456" t="str">
        <f>IF(H48="情况4","(销售额-原购置价)×税（费）率","销售额×税（费）率")</f>
        <v>销售额×税（费）率</v>
      </c>
      <c r="F48" s="2548">
        <f>IF(H48="情况1","免征",'数据-取费表'!B41)</f>
        <v>5.6000000000000001E-2</v>
      </c>
      <c r="G48" s="2549" t="s">
        <v>1339</v>
      </c>
      <c r="H48" s="2550"/>
      <c r="I48" s="1806"/>
      <c r="J48" s="3465">
        <v>3</v>
      </c>
      <c r="K48" s="3650" t="s">
        <v>1340</v>
      </c>
      <c r="L48" s="3650"/>
      <c r="M48" s="3672">
        <f ca="1">H101</f>
        <v>44103</v>
      </c>
      <c r="N48" s="3672"/>
      <c r="O48" s="3672"/>
    </row>
    <row r="49" spans="1:35" ht="25.5" customHeight="1">
      <c r="A49" s="3460" t="s">
        <v>1341</v>
      </c>
      <c r="B49" s="3586" t="s">
        <v>1342</v>
      </c>
      <c r="C49" s="3586"/>
      <c r="D49" s="1590">
        <v>0</v>
      </c>
      <c r="E49" s="324" t="s">
        <v>1343</v>
      </c>
      <c r="F49" s="3450" t="s">
        <v>28</v>
      </c>
      <c r="G49" s="3656"/>
      <c r="H49" s="2310" t="s">
        <v>2134</v>
      </c>
      <c r="I49" s="2311"/>
      <c r="J49" s="3465">
        <v>4</v>
      </c>
      <c r="K49" s="3650" t="str">
        <f>IF(项目基本情况!E8="房地产抵押价值","房地产抵押价值","抵押担保权已注销时的房地产抵押价值")</f>
        <v>房地产抵押价值</v>
      </c>
      <c r="L49" s="3650"/>
      <c r="M49" s="3672">
        <f ca="1">IF(项目基本情况!E8="房地产抵押价值",H107,H109)</f>
        <v>44103</v>
      </c>
      <c r="N49" s="3672"/>
      <c r="O49" s="3672"/>
    </row>
    <row r="50" spans="1:35" ht="25.5" customHeight="1">
      <c r="A50" s="2551"/>
      <c r="B50" s="3586" t="s">
        <v>1344</v>
      </c>
      <c r="C50" s="3586"/>
      <c r="D50" s="2552"/>
      <c r="E50" s="332"/>
      <c r="F50" s="3450"/>
      <c r="G50" s="3657"/>
      <c r="H50" s="2312" t="s">
        <v>2135</v>
      </c>
      <c r="I50" s="2311"/>
      <c r="J50" s="3669" t="s">
        <v>1345</v>
      </c>
      <c r="K50" s="3669"/>
      <c r="L50" s="3669"/>
      <c r="M50" s="3669"/>
      <c r="N50" s="3669"/>
      <c r="O50" s="3669"/>
    </row>
    <row r="51" spans="1:35" ht="20.45" customHeight="1">
      <c r="A51" s="2553"/>
      <c r="B51" s="3586" t="s">
        <v>1346</v>
      </c>
      <c r="C51" s="3586"/>
      <c r="D51" s="1087"/>
      <c r="E51" s="327"/>
      <c r="F51" s="3450"/>
      <c r="G51" s="3658"/>
      <c r="H51" s="2312" t="s">
        <v>2136</v>
      </c>
      <c r="I51" s="2311"/>
      <c r="J51" s="3464" t="s">
        <v>1347</v>
      </c>
      <c r="K51" s="3650" t="s">
        <v>1348</v>
      </c>
      <c r="L51" s="3650"/>
      <c r="M51" s="3464" t="s">
        <v>1349</v>
      </c>
      <c r="N51" s="3464" t="s">
        <v>1350</v>
      </c>
      <c r="O51" s="3464" t="s">
        <v>1351</v>
      </c>
    </row>
    <row r="52" spans="1:35" ht="24" customHeight="1">
      <c r="A52" s="3455" t="s">
        <v>1352</v>
      </c>
      <c r="B52" s="3586" t="s">
        <v>1353</v>
      </c>
      <c r="C52" s="3586"/>
      <c r="D52" s="1087">
        <f ca="1">ROUND(D45*'数据-取费表'!B41/(1+'数据-取费表'!C42),0)</f>
        <v>2352</v>
      </c>
      <c r="E52" s="3456" t="s">
        <v>1354</v>
      </c>
      <c r="F52" s="2554">
        <f>'数据-取费表'!B41</f>
        <v>5.6000000000000001E-2</v>
      </c>
      <c r="G52" s="2555"/>
      <c r="H52" s="2544"/>
      <c r="I52" s="1807"/>
      <c r="J52" s="3465">
        <v>1</v>
      </c>
      <c r="K52" s="3651" t="s">
        <v>1355</v>
      </c>
      <c r="L52" s="3651"/>
      <c r="M52" s="2525" t="b">
        <f>D48</f>
        <v>0</v>
      </c>
      <c r="N52" s="3465" t="str">
        <f>E48</f>
        <v>销售额×税（费）率</v>
      </c>
      <c r="O52" s="2526">
        <f>F48</f>
        <v>5.6000000000000001E-2</v>
      </c>
    </row>
    <row r="53" spans="1:35" ht="12" customHeight="1">
      <c r="A53" s="3455" t="s">
        <v>1356</v>
      </c>
      <c r="B53" s="3612" t="s">
        <v>2291</v>
      </c>
      <c r="C53" s="3613"/>
      <c r="D53" s="1087">
        <f ca="1">ROUND(D45*'数据-取费表'!B41/(1+'数据-取费表'!C42),0)</f>
        <v>2352</v>
      </c>
      <c r="E53" s="3456" t="s">
        <v>1354</v>
      </c>
      <c r="F53" s="2554">
        <f>'数据-取费表'!B41</f>
        <v>5.6000000000000001E-2</v>
      </c>
      <c r="G53" s="2555"/>
      <c r="H53" s="2544"/>
      <c r="I53" s="1807"/>
      <c r="J53" s="3465">
        <v>2</v>
      </c>
      <c r="K53" s="3651" t="s">
        <v>1357</v>
      </c>
      <c r="L53" s="3651"/>
      <c r="M53" s="2525">
        <f t="shared" ref="M53:O54" ca="1" si="0">D55</f>
        <v>22</v>
      </c>
      <c r="N53" s="3465" t="str">
        <f t="shared" si="0"/>
        <v>销售额×税（费）率</v>
      </c>
      <c r="O53" s="2526" t="str">
        <f t="shared" si="0"/>
        <v>免征</v>
      </c>
    </row>
    <row r="54" spans="1:35" ht="12" customHeight="1">
      <c r="A54" s="3455" t="s">
        <v>1358</v>
      </c>
      <c r="B54" s="3612" t="s">
        <v>2292</v>
      </c>
      <c r="C54" s="3613"/>
      <c r="D54" s="1087">
        <f ca="1">C68</f>
        <v>2352</v>
      </c>
      <c r="E54" s="327" t="s">
        <v>1359</v>
      </c>
      <c r="F54" s="2554">
        <f>'数据-取费表'!B41</f>
        <v>5.6000000000000001E-2</v>
      </c>
      <c r="G54" s="2555"/>
      <c r="H54" s="2556"/>
      <c r="I54" s="1807"/>
      <c r="J54" s="3465">
        <v>3</v>
      </c>
      <c r="K54" s="3651" t="s">
        <v>1360</v>
      </c>
      <c r="L54" s="3651"/>
      <c r="M54" s="2525">
        <f t="shared" ca="1" si="0"/>
        <v>24962</v>
      </c>
      <c r="N54" s="3465" t="str">
        <f t="shared" si="0"/>
        <v>增值额×税（费）率</v>
      </c>
      <c r="O54" s="2527" t="str">
        <f t="shared" si="0"/>
        <v>免征</v>
      </c>
    </row>
    <row r="55" spans="1:35" ht="24" customHeight="1">
      <c r="A55" s="3601" t="s">
        <v>1361</v>
      </c>
      <c r="B55" s="3602"/>
      <c r="C55" s="3602"/>
      <c r="D55" s="3468">
        <f ca="1">IF(H55="个人住宅",0,ROUND(D45*I55,0))</f>
        <v>22</v>
      </c>
      <c r="E55" s="3456" t="s">
        <v>1362</v>
      </c>
      <c r="F55" s="2554" t="str">
        <f>IF(H55="正常",I55,"免征")</f>
        <v>免征</v>
      </c>
      <c r="G55" s="2555"/>
      <c r="H55" s="2550"/>
      <c r="I55" s="165">
        <f>'数据-取费表'!B49</f>
        <v>5.0000000000000001E-4</v>
      </c>
      <c r="J55" s="3465">
        <f>IF(H59="非个人房产","",4)</f>
        <v>4</v>
      </c>
      <c r="K55" s="3651" t="str">
        <f>IF(H59="非个人房产","——","个人所得税")</f>
        <v>个人所得税</v>
      </c>
      <c r="L55" s="3651"/>
      <c r="M55" s="2528">
        <f ca="1">D59</f>
        <v>420</v>
      </c>
      <c r="N55" s="3466" t="str">
        <f>E59</f>
        <v>差额计税</v>
      </c>
      <c r="O55" s="2529">
        <f>F59</f>
        <v>0.01</v>
      </c>
    </row>
    <row r="56" spans="1:35" ht="24.75">
      <c r="A56" s="3601" t="s">
        <v>1363</v>
      </c>
      <c r="B56" s="3602"/>
      <c r="C56" s="3602"/>
      <c r="D56" s="3468">
        <f ca="1">IF(H56="个人住宅",D57,D58)</f>
        <v>24962</v>
      </c>
      <c r="E56" s="3456" t="s">
        <v>1364</v>
      </c>
      <c r="F56" s="2554" t="str">
        <f>IF(H56="正常",F58,"免征")</f>
        <v>免征</v>
      </c>
      <c r="G56" s="2557" t="s">
        <v>1365</v>
      </c>
      <c r="H56" s="2558"/>
      <c r="I56" s="1808"/>
      <c r="J56" s="3465" t="str">
        <f>IF(项目基本情况!K6="上海银行",IF(J55="",4,J55+1),"")</f>
        <v/>
      </c>
      <c r="K56" s="3674" t="str">
        <f>IF(项目基本情况!K6="上海银行","其他处置费用","")</f>
        <v/>
      </c>
      <c r="L56" s="3675"/>
      <c r="M56" s="2525" t="str">
        <f>IF(项目基本情况!K6="上海银行",M69,"")</f>
        <v/>
      </c>
      <c r="N56" s="3674" t="str">
        <f>IF(项目基本情况!K6="上海银行","包含处置中涉及的律师、诉讼、拍卖、评估等费用","")</f>
        <v/>
      </c>
      <c r="O56" s="3677"/>
    </row>
    <row r="57" spans="1:35" ht="12.75">
      <c r="A57" s="3455" t="s">
        <v>1341</v>
      </c>
      <c r="B57" s="3612" t="s">
        <v>1366</v>
      </c>
      <c r="C57" s="3613"/>
      <c r="D57" s="1590">
        <v>0</v>
      </c>
      <c r="E57" s="324" t="s">
        <v>1343</v>
      </c>
      <c r="F57" s="302"/>
      <c r="G57" s="2555"/>
      <c r="H57" s="2559"/>
      <c r="I57" s="1808"/>
      <c r="J57" s="3651">
        <f>IF(AND(J55="",J56=""),4,IF(项目基本情况!K6="上海银行",'结果表(商业)'!J56+1,'结果表(商业)'!J55+1))</f>
        <v>5</v>
      </c>
      <c r="K57" s="3651" t="s">
        <v>1367</v>
      </c>
      <c r="L57" s="2530" t="s">
        <v>1368</v>
      </c>
      <c r="M57" s="2531"/>
      <c r="N57" s="2532">
        <f ca="1">SUMIF(M52:M56,"&lt;9e307")</f>
        <v>25404</v>
      </c>
      <c r="O57" s="2533"/>
      <c r="P57" s="2690">
        <f ca="1">N57/M49</f>
        <v>0.5760152370587035</v>
      </c>
    </row>
    <row r="58" spans="1:35" ht="24.75">
      <c r="A58" s="3455" t="s">
        <v>1352</v>
      </c>
      <c r="B58" s="3612" t="s">
        <v>1369</v>
      </c>
      <c r="C58" s="3586"/>
      <c r="D58" s="3468">
        <f ca="1">IF(H58="转让取得",C81,C97)</f>
        <v>24962</v>
      </c>
      <c r="E58" s="3456" t="s">
        <v>1364</v>
      </c>
      <c r="F58" s="302" t="s">
        <v>28</v>
      </c>
      <c r="G58" s="2555"/>
      <c r="H58" s="2558"/>
      <c r="I58" s="1808"/>
      <c r="J58" s="3651"/>
      <c r="K58" s="3651"/>
      <c r="L58" s="2530" t="s">
        <v>1370</v>
      </c>
      <c r="M58" s="2534"/>
      <c r="N58" s="2535" t="str">
        <f ca="1">NUMBERSTRING(INT(N57*10000),2)&amp;"元整"</f>
        <v>贰亿伍仟肆佰零肆万元整</v>
      </c>
      <c r="O58" s="2536"/>
    </row>
    <row r="59" spans="1:35" ht="24.75" thickBot="1">
      <c r="A59" s="3654" t="s">
        <v>1371</v>
      </c>
      <c r="B59" s="3655"/>
      <c r="C59" s="3655"/>
      <c r="D59" s="2560">
        <f ca="1">IF(H59="非个人房产","——",IF(H59="个人住宅（满五唯一有凭证）",0,IF(H59="个人其他（无凭证）",ROUND(D45*F59,0),ROUND(C67*F59,0))))</f>
        <v>420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2">
        <f>J57+1</f>
        <v>6</v>
      </c>
      <c r="K59" s="3651" t="s">
        <v>1372</v>
      </c>
      <c r="L59" s="3465" t="s">
        <v>1368</v>
      </c>
      <c r="M59" s="2537"/>
      <c r="N59" s="2538">
        <f ca="1">M49-N57</f>
        <v>18699</v>
      </c>
      <c r="O59" s="2539"/>
    </row>
    <row r="60" spans="1:35" ht="12" customHeight="1">
      <c r="A60" s="1809"/>
      <c r="B60" s="1747"/>
      <c r="C60" s="1747"/>
      <c r="D60" s="1747"/>
      <c r="E60" s="1578"/>
      <c r="F60" s="1808"/>
      <c r="G60" s="1808"/>
      <c r="H60" s="1810"/>
      <c r="I60" s="129"/>
      <c r="J60" s="3653"/>
      <c r="K60" s="3651"/>
      <c r="L60" s="2530" t="s">
        <v>1370</v>
      </c>
      <c r="M60" s="2534"/>
      <c r="N60" s="2535" t="str">
        <f ca="1">NUMBERSTRING(INT(N59*10000),2)&amp;"元整"</f>
        <v>壹亿捌仟陆佰玖拾玖万元整</v>
      </c>
      <c r="O60" s="2536"/>
    </row>
    <row r="61" spans="1:35" ht="13.5" thickBot="1">
      <c r="A61" s="3599" t="s">
        <v>1373</v>
      </c>
      <c r="B61" s="3599"/>
      <c r="C61" s="3599"/>
      <c r="D61" s="3599"/>
      <c r="E61" s="3599"/>
      <c r="F61" s="1808"/>
      <c r="G61" s="1808"/>
      <c r="H61" s="1810"/>
      <c r="I61" s="129"/>
      <c r="J61" s="3465">
        <f>J59+1</f>
        <v>7</v>
      </c>
      <c r="K61" s="3651" t="s">
        <v>1374</v>
      </c>
      <c r="L61" s="3651"/>
      <c r="M61" s="2540"/>
      <c r="N61" s="2541">
        <f ca="1">ROUND(N59*10000/'数据-汇总表'!E3,0)</f>
        <v>2772</v>
      </c>
      <c r="O61" s="2542"/>
    </row>
    <row r="62" spans="1:35" ht="12.75">
      <c r="A62" s="3617" t="s">
        <v>1375</v>
      </c>
      <c r="B62" s="3618"/>
      <c r="C62" s="3459"/>
      <c r="D62" s="3459" t="s">
        <v>1376</v>
      </c>
      <c r="E62" s="166" t="s">
        <v>1377</v>
      </c>
      <c r="F62" s="1808"/>
      <c r="G62" s="1808"/>
      <c r="H62" s="1810"/>
      <c r="I62" s="129"/>
    </row>
    <row r="63" spans="1:35" ht="12.75">
      <c r="A63" s="173" t="s">
        <v>330</v>
      </c>
      <c r="B63" s="167" t="s">
        <v>1378</v>
      </c>
      <c r="C63" s="2564">
        <f ca="1">ROUND((C64+C65)/(1+'数据-取费表'!C42),0)</f>
        <v>42003</v>
      </c>
      <c r="D63" s="167"/>
      <c r="E63" s="168"/>
      <c r="F63" s="1808"/>
      <c r="G63" s="1808"/>
      <c r="H63" s="1810"/>
      <c r="I63" s="129"/>
      <c r="J63" s="3676" t="s">
        <v>1379</v>
      </c>
      <c r="K63" s="3469" t="s">
        <v>1380</v>
      </c>
      <c r="L63" s="3469">
        <f ca="1">IF(M49&gt;10000,M49*0.5%,IF(AND(M49&gt;1000,M49&lt;=10000),M49*1%,IF(AND(M49&gt;100,M49&lt;=1000),M49*3%,IF(AND(M49&gt;10,M49&lt;=100),M49*5%,M49*8%))))</f>
        <v>220.51500000000001</v>
      </c>
      <c r="M63" s="302">
        <f ca="1">ROUND(L63,1)</f>
        <v>220.5</v>
      </c>
      <c r="N63" s="2543"/>
      <c r="Z63" s="1752"/>
      <c r="AI63" s="1753"/>
    </row>
    <row r="64" spans="1:35" ht="14.25" customHeight="1">
      <c r="A64" s="169" t="s">
        <v>325</v>
      </c>
      <c r="B64" s="170" t="s">
        <v>1381</v>
      </c>
      <c r="C64" s="2565">
        <f ca="1">D45</f>
        <v>44103</v>
      </c>
      <c r="D64" s="170" t="s">
        <v>26</v>
      </c>
      <c r="E64" s="172"/>
      <c r="F64" s="1808"/>
      <c r="G64" s="1808"/>
      <c r="H64" s="1810"/>
      <c r="I64" s="129"/>
      <c r="J64" s="3676"/>
      <c r="K64" s="3469" t="s">
        <v>1382</v>
      </c>
      <c r="L64" s="3469">
        <f ca="1">IF(M49&gt;2000,M49*0.5%,IF(AND(M49&gt;1000,M49&lt;=2000),M49*0.6%,IF(AND(M49&gt;500,M49&lt;=1000),M49*0.7%,IF(AND(M49&gt;200,M49&lt;=500),M49*0.8%,IF(AND(M49&gt;100,M49&lt;=200),M49*0.9%,IF(AND(M49&gt;50,M49&lt;=100),M49*1%,IF(AND(M49&gt;20,M49&lt;=50),M49*1.5%,IF(AND(M49&gt;10,M49&lt;=20),M49*2%,IF(AND(M49&gt;1,M49&lt;=10),M49*2.5%)))))))))</f>
        <v>220.51500000000001</v>
      </c>
      <c r="M64" s="302">
        <f t="shared" ref="M64:M65" ca="1" si="1">ROUND(L64,1)</f>
        <v>220.5</v>
      </c>
      <c r="N64" s="2544" t="s">
        <v>1383</v>
      </c>
      <c r="Z64" s="1752"/>
      <c r="AI64" s="1753"/>
    </row>
    <row r="65" spans="1:35" ht="14.25" customHeight="1">
      <c r="A65" s="169" t="s">
        <v>326</v>
      </c>
      <c r="B65" s="170" t="s">
        <v>1384</v>
      </c>
      <c r="C65" s="2566"/>
      <c r="D65" s="170"/>
      <c r="E65" s="172"/>
      <c r="F65" s="1808"/>
      <c r="G65" s="1808"/>
      <c r="H65" s="1810"/>
      <c r="I65" s="129"/>
      <c r="J65" s="3676"/>
      <c r="K65" s="3469" t="s">
        <v>1385</v>
      </c>
      <c r="L65" s="3469">
        <f ca="1">IF(M49&gt;1000,M49*0.1%,IF(AND(M49&gt;500,M49&lt;=1000),M49*0.5%,IF(AND(M49&gt;50,M49&lt;=500),M49*1%,IF(AND(M49&gt;1,M49&lt;=50),M49*1.5%))))</f>
        <v>44.103000000000002</v>
      </c>
      <c r="M65" s="302">
        <f t="shared" ca="1" si="1"/>
        <v>44.1</v>
      </c>
      <c r="N65" s="2544" t="s">
        <v>1383</v>
      </c>
      <c r="Z65" s="1752"/>
      <c r="AI65" s="1753"/>
    </row>
    <row r="66" spans="1:35" ht="14.25" customHeight="1">
      <c r="A66" s="173" t="s">
        <v>327</v>
      </c>
      <c r="B66" s="174" t="s">
        <v>1386</v>
      </c>
      <c r="C66" s="2567"/>
      <c r="D66" s="174" t="s">
        <v>26</v>
      </c>
      <c r="E66" s="1338" t="s">
        <v>671</v>
      </c>
      <c r="F66" s="1808"/>
      <c r="G66" s="1808"/>
      <c r="H66" s="1810"/>
      <c r="I66" s="129"/>
      <c r="J66" s="3676"/>
      <c r="K66" s="3469" t="s">
        <v>1387</v>
      </c>
      <c r="L66" s="3469">
        <f ca="1">M49*0.5%</f>
        <v>220.51500000000001</v>
      </c>
      <c r="M66" s="302">
        <f ca="1">IF(L66&gt;0.5,0.5,ROUND(L66,0))</f>
        <v>0.5</v>
      </c>
      <c r="N66" s="2544" t="s">
        <v>1388</v>
      </c>
      <c r="Z66" s="1752"/>
      <c r="AI66" s="1753"/>
    </row>
    <row r="67" spans="1:35" ht="14.25" customHeight="1">
      <c r="A67" s="173" t="s">
        <v>328</v>
      </c>
      <c r="B67" s="174" t="s">
        <v>1389</v>
      </c>
      <c r="C67" s="2568">
        <f ca="1">C63-C66</f>
        <v>42003</v>
      </c>
      <c r="D67" s="170" t="s">
        <v>26</v>
      </c>
      <c r="E67" s="172"/>
      <c r="F67" s="1808"/>
      <c r="G67" s="1808"/>
      <c r="H67" s="1810"/>
      <c r="I67" s="129"/>
      <c r="J67" s="3676"/>
      <c r="K67" s="3469" t="s">
        <v>1390</v>
      </c>
      <c r="L67" s="3469">
        <f ca="1">IF(M49&gt;=10000,(8.25+(M49-10000)*0.01%),IF(AND(M49&gt;=8000,M49&lt;10000),(7.85+(M49-8000)*0.02%),IF(AND(M49&gt;=5000,M49&lt;8000),(6.65+(M49-5000)*0.04%),IF(AND(M49&gt;=2000,M49&lt;5000),(4.25+(PM49-2000)*0.08%),IF(AND(M49&gt;=1000,M49&lt;2000),(2.75+(M49-1000)*0.15%),IF(AND(M49&gt;=100,M49&lt;1000),(0.5+(M49-100)*0.25%),IF(AND(M49&gt;0,M49&lt;100),M49*0.5%)))))))</f>
        <v>11.660299999999999</v>
      </c>
      <c r="M67" s="302">
        <f ca="1">ROUND(L67*0.9,1)</f>
        <v>10.5</v>
      </c>
      <c r="N67" s="2543"/>
      <c r="Z67" s="1752"/>
      <c r="AI67" s="1753"/>
    </row>
    <row r="68" spans="1:35" ht="14.25" customHeight="1" thickBot="1">
      <c r="A68" s="176" t="s">
        <v>329</v>
      </c>
      <c r="B68" s="177" t="s">
        <v>1391</v>
      </c>
      <c r="C68" s="2569">
        <f ca="1">IF(C67&lt;=0,0,ROUND(C67*D68,0))</f>
        <v>2352</v>
      </c>
      <c r="D68" s="2570">
        <f>'数据-取费表'!B41</f>
        <v>5.6000000000000001E-2</v>
      </c>
      <c r="E68" s="178"/>
      <c r="F68" s="1808"/>
      <c r="G68" s="1808"/>
      <c r="H68" s="1810"/>
      <c r="I68" s="129"/>
      <c r="J68" s="3676"/>
      <c r="K68" s="3469" t="s">
        <v>1392</v>
      </c>
      <c r="L68" s="3469">
        <f ca="1">IF(M49&gt;10000,M49*0.5%,IF(AND(M49&gt;5000,M49&lt;=10000),M49*1%,IF(AND(M49&gt;1000,M49&lt;=5000),M49*2%,IF(AND(M49&gt;200,M49&lt;=1000),M49*3%,M49*5%))))</f>
        <v>220.51500000000001</v>
      </c>
      <c r="M68" s="302">
        <f ca="1">ROUND(L68,1)</f>
        <v>220.5</v>
      </c>
      <c r="N68" s="2543"/>
      <c r="Z68" s="1752"/>
      <c r="AI68" s="1753"/>
    </row>
    <row r="69" spans="1:35" s="1772" customFormat="1" ht="16.5" customHeight="1">
      <c r="A69" s="1811"/>
      <c r="B69" s="1812"/>
      <c r="C69" s="1813"/>
      <c r="D69" s="1814"/>
      <c r="E69" s="1815"/>
      <c r="F69" s="1578"/>
      <c r="G69" s="1578"/>
      <c r="H69" s="1577"/>
      <c r="I69" s="1747"/>
      <c r="J69" s="3676"/>
      <c r="K69" s="3469" t="s">
        <v>1393</v>
      </c>
      <c r="L69" s="3469"/>
      <c r="M69" s="302">
        <f ca="1">ROUND(SUM(M63:M68),0)</f>
        <v>717</v>
      </c>
      <c r="N69" s="2545">
        <f ca="1">M69/M49</f>
        <v>1.6257397455955377E-2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8" t="s">
        <v>1394</v>
      </c>
      <c r="B70" s="3639"/>
      <c r="C70" s="3639"/>
      <c r="D70" s="3639"/>
      <c r="E70" s="3639"/>
      <c r="F70" s="3639"/>
      <c r="G70" s="3639"/>
      <c r="H70" s="363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3459"/>
      <c r="D71" s="345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42003</v>
      </c>
      <c r="D72" s="170" t="s">
        <v>26</v>
      </c>
      <c r="E72" s="3458"/>
      <c r="F72" s="3451"/>
      <c r="G72" s="345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252</v>
      </c>
      <c r="D73" s="170" t="s">
        <v>26</v>
      </c>
      <c r="E73" s="3458"/>
      <c r="F73" s="3451"/>
      <c r="G73" s="345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8"/>
      <c r="F74" s="3451"/>
      <c r="G74" s="345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586"/>
      <c r="G76" s="3586"/>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8" t="s">
        <v>1404</v>
      </c>
      <c r="F77" s="186"/>
      <c r="G77" s="1822"/>
      <c r="H77" s="346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252</v>
      </c>
      <c r="D78" s="2577">
        <f>'数据-取费表'!B43</f>
        <v>6.000000000000001E-3</v>
      </c>
      <c r="E78" s="3596" t="s">
        <v>1406</v>
      </c>
      <c r="F78" s="3597"/>
      <c r="G78" s="3597"/>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f ca="1">C72-C73</f>
        <v>41751</v>
      </c>
      <c r="D79" s="170" t="s">
        <v>26</v>
      </c>
      <c r="E79" s="3458"/>
      <c r="F79" s="3451"/>
      <c r="G79" s="345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165.67857142857142</v>
      </c>
      <c r="D80" s="170" t="s">
        <v>26</v>
      </c>
      <c r="E80" s="3468"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24962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8" t="s">
        <v>1410</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3459"/>
      <c r="D84" s="345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42003</v>
      </c>
      <c r="D85" s="170" t="s">
        <v>26</v>
      </c>
      <c r="E85" s="3458"/>
      <c r="F85" s="3451"/>
      <c r="G85" s="345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252</v>
      </c>
      <c r="D86" s="2581"/>
      <c r="E86" s="3458"/>
      <c r="F86" s="3451"/>
      <c r="G86" s="345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2"/>
      <c r="F87" s="3453"/>
      <c r="G87" s="3453"/>
      <c r="H87" s="345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3"/>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3"/>
      <c r="G89" s="3453"/>
      <c r="H89" s="345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3"/>
      <c r="G90" s="3678" t="s">
        <v>2129</v>
      </c>
      <c r="H90" s="367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252</v>
      </c>
      <c r="D93" s="2577">
        <f>'数据-取费表'!B43</f>
        <v>6.000000000000001E-3</v>
      </c>
      <c r="E93" s="3596" t="s">
        <v>1406</v>
      </c>
      <c r="F93" s="3597"/>
      <c r="G93" s="3597"/>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7" t="s">
        <v>1426</v>
      </c>
      <c r="F94" s="3608"/>
      <c r="G94" s="3608"/>
      <c r="H94" s="36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f ca="1">ROUND(C85-C86,0)</f>
        <v>41751</v>
      </c>
      <c r="D95" s="170" t="s">
        <v>26</v>
      </c>
      <c r="E95" s="3458"/>
      <c r="F95" s="3451"/>
      <c r="G95" s="345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165.67857142857142</v>
      </c>
      <c r="D96" s="170" t="s">
        <v>26</v>
      </c>
      <c r="E96" s="3468"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24962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0" t="s">
        <v>1428</v>
      </c>
      <c r="B100" s="3581"/>
      <c r="C100" s="3581"/>
      <c r="D100" s="3598"/>
      <c r="E100" s="3581" t="s">
        <v>1429</v>
      </c>
      <c r="F100" s="3581"/>
      <c r="G100" s="3581"/>
      <c r="H100" s="3598"/>
      <c r="I100" s="129"/>
    </row>
    <row r="101" spans="1:35" ht="18.75" customHeight="1">
      <c r="A101" s="3659" t="s">
        <v>1430</v>
      </c>
      <c r="B101" s="3660"/>
      <c r="C101" s="2585" t="str">
        <f>C4</f>
        <v>比较法-商业</v>
      </c>
      <c r="D101" s="2586" t="str">
        <f>D4</f>
        <v>收益法(商业)</v>
      </c>
      <c r="E101" s="3673" t="s">
        <v>1431</v>
      </c>
      <c r="F101" s="3630"/>
      <c r="G101" s="1827" t="s">
        <v>1432</v>
      </c>
      <c r="H101" s="2595">
        <f ca="1">H118</f>
        <v>44103</v>
      </c>
      <c r="I101" s="129"/>
    </row>
    <row r="102" spans="1:35" ht="18.75" customHeight="1">
      <c r="A102" s="3632" t="s">
        <v>1433</v>
      </c>
      <c r="B102" s="2584" t="s">
        <v>1432</v>
      </c>
      <c r="C102" s="2585">
        <f ca="1">IF(D32="楼面单价",ROUND(C19,0),C19)</f>
        <v>49451</v>
      </c>
      <c r="D102" s="2586">
        <f ca="1">IF(D32="楼面单价",ROUND(D19,0),D19)</f>
        <v>36080</v>
      </c>
      <c r="E102" s="3673"/>
      <c r="F102" s="3630"/>
      <c r="G102" s="1827" t="s">
        <v>1434</v>
      </c>
      <c r="H102" s="2555">
        <f ca="1">I118</f>
        <v>44593</v>
      </c>
      <c r="I102" s="129"/>
    </row>
    <row r="103" spans="1:35" ht="42.75" customHeight="1">
      <c r="A103" s="3632"/>
      <c r="B103" s="2584" t="s">
        <v>1434</v>
      </c>
      <c r="C103" s="2587">
        <f ca="1">C20</f>
        <v>50000</v>
      </c>
      <c r="D103" s="2588">
        <f ca="1">D20</f>
        <v>36481</v>
      </c>
      <c r="E103" s="3667" t="s">
        <v>1435</v>
      </c>
      <c r="F103" s="3668"/>
      <c r="G103" s="1828" t="s">
        <v>1436</v>
      </c>
      <c r="H103" s="2595">
        <f>IF(D36="正常操作",H104+H105+H106,H105+H106)</f>
        <v>0</v>
      </c>
      <c r="I103" s="129"/>
    </row>
    <row r="104" spans="1:35" ht="18.75" customHeight="1">
      <c r="A104" s="3632" t="s">
        <v>1437</v>
      </c>
      <c r="B104" s="2589" t="s">
        <v>1432</v>
      </c>
      <c r="C104" s="2590">
        <f ca="1">H118</f>
        <v>44103</v>
      </c>
      <c r="D104" s="2591"/>
      <c r="E104" s="1674" t="s">
        <v>1438</v>
      </c>
      <c r="F104" s="1666"/>
      <c r="G104" s="1828" t="s">
        <v>1436</v>
      </c>
      <c r="H104" s="2596">
        <f>IF(D36="同一抵押权人同一抵押物续贷",C36&amp;"（续贷，未扣减，详见特别提示）",C36)</f>
        <v>0</v>
      </c>
      <c r="I104" s="129"/>
    </row>
    <row r="105" spans="1:35" ht="18.75" customHeight="1" thickBot="1">
      <c r="A105" s="3633"/>
      <c r="B105" s="2592" t="s">
        <v>1434</v>
      </c>
      <c r="C105" s="2593">
        <f ca="1">I118</f>
        <v>44593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9" t="str">
        <f>IF(项目基本情况!E8="已注销","——","3.房地产抵押价值")</f>
        <v>3.房地产抵押价值</v>
      </c>
      <c r="F107" s="3630"/>
      <c r="G107" s="1827" t="s">
        <v>1432</v>
      </c>
      <c r="H107" s="2595">
        <f ca="1">IF(E107="——","——",H101-H103)</f>
        <v>44103</v>
      </c>
      <c r="I107" s="129"/>
    </row>
    <row r="108" spans="1:35" ht="18.75" customHeight="1">
      <c r="A108" s="129"/>
      <c r="B108" s="129"/>
      <c r="C108" s="129"/>
      <c r="D108" s="129"/>
      <c r="E108" s="3629"/>
      <c r="F108" s="3630"/>
      <c r="G108" s="1827" t="s">
        <v>1434</v>
      </c>
      <c r="H108" s="2555">
        <f ca="1">IF(H107=H101,H102,ROUND(H107*10000/'数据-汇总表'!E3,0))</f>
        <v>44593</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7" t="s">
        <v>1432</v>
      </c>
      <c r="H109" s="2598" t="str">
        <f>IF(E109="——","——",H101-H105-H106)</f>
        <v>——</v>
      </c>
      <c r="I109" s="129"/>
    </row>
    <row r="110" spans="1:35" ht="18.75" customHeight="1">
      <c r="A110" s="129"/>
      <c r="B110" s="129"/>
      <c r="C110" s="129"/>
      <c r="D110" s="129"/>
      <c r="E110" s="3629"/>
      <c r="F110" s="3630"/>
      <c r="G110" s="1827" t="s">
        <v>1434</v>
      </c>
      <c r="H110" s="2555"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7" t="s">
        <v>1432</v>
      </c>
      <c r="H111" s="2595" t="str">
        <f>IF(E111="——","——",N59)</f>
        <v>——</v>
      </c>
      <c r="I111" s="129"/>
    </row>
    <row r="112" spans="1:35" ht="18.75" customHeight="1" thickBot="1">
      <c r="A112" s="129"/>
      <c r="B112" s="129"/>
      <c r="C112" s="129"/>
      <c r="D112" s="129"/>
      <c r="E112" s="3662"/>
      <c r="F112" s="3663"/>
      <c r="G112" s="1830" t="s">
        <v>1434</v>
      </c>
      <c r="H112" s="2599" t="str">
        <f>IF(E111="——","——",N61)</f>
        <v>——</v>
      </c>
      <c r="I112" s="129"/>
    </row>
    <row r="113" spans="1:27" ht="18.75" customHeight="1">
      <c r="A113" s="129"/>
      <c r="B113" s="129"/>
      <c r="C113" s="129"/>
      <c r="D113" s="129"/>
      <c r="E113" s="3634" t="s">
        <v>1440</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1447</v>
      </c>
      <c r="G116" s="3643"/>
      <c r="H116" s="3600" t="s">
        <v>1448</v>
      </c>
      <c r="I116" s="3600"/>
    </row>
    <row r="117" spans="1:27" ht="18.75" customHeight="1">
      <c r="A117" s="3600"/>
      <c r="B117" s="3636"/>
      <c r="C117" s="3636"/>
      <c r="D117" s="3454" t="s">
        <v>1449</v>
      </c>
      <c r="E117" s="3454" t="s">
        <v>1450</v>
      </c>
      <c r="F117" s="3454" t="s">
        <v>1449</v>
      </c>
      <c r="G117" s="3454" t="s">
        <v>1451</v>
      </c>
      <c r="H117" s="3454" t="s">
        <v>1449</v>
      </c>
      <c r="I117" s="3454" t="s">
        <v>1451</v>
      </c>
    </row>
    <row r="118" spans="1:27" ht="24.75" customHeight="1">
      <c r="A118" s="2600" t="str">
        <f>项目基本情况!S2</f>
        <v>北京市房地产</v>
      </c>
      <c r="B118" s="3454">
        <f>M18</f>
        <v>9890.119999999999</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44103</v>
      </c>
      <c r="I118" s="3454">
        <f ca="1">ROUND(IF(D32="楼面单价",C32,H118*10000/B118),0)</f>
        <v>44593</v>
      </c>
    </row>
    <row r="119" spans="1:27" ht="18.75" customHeight="1">
      <c r="A119" s="3600" t="s">
        <v>1452</v>
      </c>
      <c r="B119" s="3600"/>
      <c r="C119" s="3600"/>
      <c r="D119" s="3640" t="e">
        <f ca="1">NUMBERSTRING(INT(D118*10000),2)&amp;"元整"</f>
        <v>#REF!</v>
      </c>
      <c r="E119" s="3642"/>
      <c r="F119" s="3640" t="e">
        <f ca="1">NUMBERSTRING(INT(F118*10000),2)&amp;"元整"</f>
        <v>#REF!</v>
      </c>
      <c r="G119" s="3642"/>
      <c r="H119" s="3640" t="str">
        <f ca="1">NUMBERSTRING(INT(H118*10000),2)&amp;"元整"</f>
        <v>肆亿肆仟壹佰零叁万元整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0" t="s">
        <v>1452</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44103</v>
      </c>
      <c r="E122" s="3665"/>
      <c r="F122" s="3665"/>
      <c r="G122" s="3665"/>
      <c r="H122" s="3665"/>
      <c r="I122" s="3666"/>
      <c r="AA122" s="725"/>
    </row>
    <row r="123" spans="1:27" ht="18.75" customHeight="1">
      <c r="A123" s="3600" t="s">
        <v>1452</v>
      </c>
      <c r="B123" s="3600"/>
      <c r="C123" s="3600"/>
      <c r="D123" s="3640" t="str">
        <f ca="1">NUMBERSTRING(INT(D122*10000),2)&amp;"元整"</f>
        <v>肆亿肆仟壹佰零叁万元整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1452</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1452</v>
      </c>
      <c r="B127" s="3600"/>
      <c r="C127" s="3600"/>
      <c r="D127" s="3640" t="e">
        <f>NUMBERSTRING(INT(D126*10000),2)&amp;"元整"</f>
        <v>#VALUE!</v>
      </c>
      <c r="E127" s="3641"/>
      <c r="F127" s="3641"/>
      <c r="G127" s="3641"/>
      <c r="H127" s="3641"/>
      <c r="I127" s="3642"/>
      <c r="AA127" s="725"/>
    </row>
    <row r="128" spans="1:27" ht="21.75" customHeight="1">
      <c r="A128" s="3647" t="s">
        <v>1453</v>
      </c>
      <c r="B128" s="3647"/>
      <c r="C128" s="3647"/>
      <c r="D128" s="3647"/>
      <c r="E128" s="3647"/>
      <c r="F128" s="3647"/>
      <c r="G128" s="3647"/>
      <c r="H128" s="3647"/>
      <c r="I128" s="364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3566</v>
      </c>
      <c r="D4" s="1756" t="s">
        <v>3541</v>
      </c>
      <c r="E4" s="3626" t="s">
        <v>1267</v>
      </c>
      <c r="F4" s="3627"/>
      <c r="G4" s="3627"/>
      <c r="H4" s="3627"/>
      <c r="I4" s="3628"/>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00" t="s">
        <v>1268</v>
      </c>
      <c r="B5" s="3587">
        <v>25</v>
      </c>
      <c r="C5" s="3603"/>
      <c r="D5" s="3623"/>
      <c r="E5" s="131" t="s">
        <v>1269</v>
      </c>
      <c r="F5" s="1757"/>
      <c r="G5" s="1757"/>
      <c r="H5" s="1757"/>
      <c r="I5" s="1373"/>
    </row>
    <row r="6" spans="1:12" ht="12.75">
      <c r="A6" s="3600"/>
      <c r="B6" s="3587"/>
      <c r="C6" s="3604"/>
      <c r="D6" s="3623"/>
      <c r="E6" s="131" t="s">
        <v>1270</v>
      </c>
      <c r="F6" s="1757"/>
      <c r="G6" s="1757"/>
      <c r="H6" s="1757"/>
      <c r="I6" s="1373"/>
    </row>
    <row r="7" spans="1:12" ht="12.75">
      <c r="A7" s="3600"/>
      <c r="B7" s="3587"/>
      <c r="C7" s="3605"/>
      <c r="D7" s="3623"/>
      <c r="E7" s="131" t="s">
        <v>1271</v>
      </c>
      <c r="F7" s="1757"/>
      <c r="G7" s="1757"/>
      <c r="H7" s="1757"/>
      <c r="I7" s="1373"/>
    </row>
    <row r="8" spans="1:12" ht="12.75">
      <c r="A8" s="3600" t="s">
        <v>1272</v>
      </c>
      <c r="B8" s="3587">
        <v>15</v>
      </c>
      <c r="C8" s="3603"/>
      <c r="D8" s="3623"/>
      <c r="E8" s="131" t="s">
        <v>1273</v>
      </c>
      <c r="F8" s="1757"/>
      <c r="G8" s="1757"/>
      <c r="H8" s="1757"/>
      <c r="I8" s="1373"/>
    </row>
    <row r="9" spans="1:12" ht="12.75">
      <c r="A9" s="3600"/>
      <c r="B9" s="3587"/>
      <c r="C9" s="3605"/>
      <c r="D9" s="3623"/>
      <c r="E9" s="131" t="s">
        <v>1274</v>
      </c>
      <c r="F9" s="1757"/>
      <c r="G9" s="1757"/>
      <c r="H9" s="1757"/>
      <c r="I9" s="1373"/>
    </row>
    <row r="10" spans="1:12" ht="12.75">
      <c r="A10" s="3600" t="s">
        <v>1275</v>
      </c>
      <c r="B10" s="3587">
        <v>15</v>
      </c>
      <c r="C10" s="3603"/>
      <c r="D10" s="3623"/>
      <c r="E10" s="131" t="s">
        <v>1276</v>
      </c>
      <c r="F10" s="1757"/>
      <c r="G10" s="1757"/>
      <c r="H10" s="1757"/>
      <c r="I10" s="1373"/>
    </row>
    <row r="11" spans="1:12" ht="12.75">
      <c r="A11" s="3600"/>
      <c r="B11" s="3587"/>
      <c r="C11" s="3605"/>
      <c r="D11" s="3623"/>
      <c r="E11" s="131" t="s">
        <v>1277</v>
      </c>
      <c r="F11" s="1757"/>
      <c r="G11" s="1757"/>
      <c r="H11" s="1757"/>
      <c r="I11" s="1373"/>
    </row>
    <row r="12" spans="1:12" ht="12.75">
      <c r="A12" s="3600" t="s">
        <v>1278</v>
      </c>
      <c r="B12" s="3587">
        <v>15</v>
      </c>
      <c r="C12" s="3603"/>
      <c r="D12" s="3623"/>
      <c r="E12" s="131" t="s">
        <v>1279</v>
      </c>
      <c r="F12" s="1757"/>
      <c r="G12" s="1757"/>
      <c r="H12" s="1757"/>
      <c r="I12" s="1373"/>
    </row>
    <row r="13" spans="1:12" ht="12.75">
      <c r="A13" s="3600"/>
      <c r="B13" s="3587"/>
      <c r="C13" s="3605"/>
      <c r="D13" s="3623"/>
      <c r="E13" s="131" t="s">
        <v>1280</v>
      </c>
      <c r="F13" s="1757"/>
      <c r="G13" s="1757"/>
      <c r="H13" s="1757"/>
      <c r="I13" s="1373"/>
    </row>
    <row r="14" spans="1:12" ht="12.75">
      <c r="A14" s="3600" t="s">
        <v>1281</v>
      </c>
      <c r="B14" s="3587">
        <v>30</v>
      </c>
      <c r="C14" s="3603">
        <v>6</v>
      </c>
      <c r="D14" s="3623">
        <v>4</v>
      </c>
      <c r="E14" s="131" t="s">
        <v>1282</v>
      </c>
      <c r="F14" s="1757"/>
      <c r="G14" s="1757"/>
      <c r="H14" s="1757"/>
      <c r="I14" s="1373"/>
    </row>
    <row r="15" spans="1:12" ht="12.75">
      <c r="A15" s="3600"/>
      <c r="B15" s="3587"/>
      <c r="C15" s="3604"/>
      <c r="D15" s="3623"/>
      <c r="E15" s="131" t="s">
        <v>1283</v>
      </c>
      <c r="F15" s="1757"/>
      <c r="G15" s="1757"/>
      <c r="H15" s="1757"/>
      <c r="I15" s="1373"/>
    </row>
    <row r="16" spans="1:12" ht="12.75">
      <c r="A16" s="3600"/>
      <c r="B16" s="3587"/>
      <c r="C16" s="3605"/>
      <c r="D16" s="362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10" t="s">
        <v>2131</v>
      </c>
      <c r="F18" s="3611"/>
      <c r="G18" s="3611"/>
      <c r="H18" s="3611"/>
      <c r="I18" s="3611"/>
      <c r="K18" s="302" t="s">
        <v>1289</v>
      </c>
      <c r="L18" s="302">
        <f>IF(C1="",'数据-汇总表'!E3,SUMIF(项目类型,C1,'数据-汇总表'!E17:E26)+SUMIF(项目类型,C1,'数据-汇总表'!I17:I26))</f>
        <v>57573.479999999974</v>
      </c>
      <c r="M18" s="302">
        <f>IF(C1="",'数据-汇总表'!E3,SUMIF(项目类型,C1,'数据-汇总表'!E17:E26))</f>
        <v>57573.479999999974</v>
      </c>
    </row>
    <row r="19" spans="1:36" ht="15">
      <c r="A19" s="1761" t="s">
        <v>1290</v>
      </c>
      <c r="B19" s="1762" t="s">
        <v>1291</v>
      </c>
      <c r="C19" s="134">
        <f ca="1">SUMIF(INDIRECT("'"&amp;C4&amp;"'"&amp;"!A:A"),'结果表(办公)'!B19,INDIRECT("'"&amp;C4&amp;"'"&amp;"!B:B"))</f>
        <v>247566</v>
      </c>
      <c r="D19" s="135">
        <f ca="1">SUMIF(INDIRECT("'"&amp;D4&amp;"'"&amp;"!A:A"),'结果表(办公)'!B19,INDIRECT("'"&amp;D4&amp;"'"&amp;"!B:B"))</f>
        <v>189475</v>
      </c>
      <c r="E19" s="1761" t="s">
        <v>1292</v>
      </c>
      <c r="F19" s="1762" t="s">
        <v>1291</v>
      </c>
      <c r="G19" s="136">
        <f ca="1">ROUND(C19*$C$18+D19*$D$18,0)</f>
        <v>224330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SUMIF(INDIRECT("'"&amp;C4&amp;"'"&amp;"!A:A"),'结果表(办公)'!B20,INDIRECT("'"&amp;C4&amp;"'"&amp;"!B:B"))</f>
        <v>43000</v>
      </c>
      <c r="D20" s="138">
        <f ca="1">SUMIF(INDIRECT("'"&amp;D4&amp;"'"&amp;"!A:A"),'结果表(办公)'!B20,INDIRECT("'"&amp;D4&amp;"'"&amp;"!B:B"))</f>
        <v>32910</v>
      </c>
      <c r="E20" s="1764"/>
      <c r="F20" s="1026" t="s">
        <v>1295</v>
      </c>
      <c r="G20" s="139">
        <f ca="1">ROUND(C20*$C$18+D20*$D$18,0)</f>
        <v>38964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0.30658925979680696</v>
      </c>
      <c r="E22" s="129"/>
      <c r="F22" s="129"/>
      <c r="G22" s="129"/>
      <c r="H22" s="129"/>
      <c r="I22" s="129"/>
    </row>
    <row r="23" spans="1:36" ht="13.5" thickBot="1">
      <c r="A23" s="1747"/>
      <c r="B23" s="1747"/>
      <c r="C23" s="1747"/>
      <c r="D23" s="1747"/>
      <c r="E23" s="129"/>
      <c r="F23" s="129"/>
      <c r="G23" s="129"/>
      <c r="H23" s="129"/>
      <c r="I23" s="129"/>
    </row>
    <row r="24" spans="1:36" ht="14.25">
      <c r="A24" s="3594" t="s">
        <v>1299</v>
      </c>
      <c r="B24" s="1762" t="s">
        <v>1291</v>
      </c>
      <c r="C24" s="136">
        <f>IF(B30=0,0,D30)</f>
        <v>0</v>
      </c>
      <c r="D24" s="1769"/>
      <c r="E24" s="129"/>
      <c r="F24" s="129"/>
      <c r="G24" s="129"/>
      <c r="H24" s="129"/>
      <c r="I24" s="129"/>
    </row>
    <row r="25" spans="1:36" ht="14.25">
      <c r="A25" s="359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224330</v>
      </c>
      <c r="D32" s="1775" t="s">
        <v>3568</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1" t="s">
        <v>1326</v>
      </c>
      <c r="B45" s="3592"/>
      <c r="C45" s="3593"/>
      <c r="D45" s="155">
        <f ca="1">ROUND(H101*F45,0)</f>
        <v>224330</v>
      </c>
      <c r="E45" s="156" t="s">
        <v>1327</v>
      </c>
      <c r="F45" s="157">
        <v>1</v>
      </c>
      <c r="G45" s="158" t="s">
        <v>1328</v>
      </c>
      <c r="H45" s="129"/>
      <c r="I45" s="129"/>
      <c r="J45" s="3669" t="s">
        <v>1329</v>
      </c>
      <c r="K45" s="3669"/>
      <c r="L45" s="3669"/>
      <c r="M45" s="3669"/>
      <c r="N45" s="3669"/>
      <c r="O45" s="3669"/>
    </row>
    <row r="46" spans="1:15" ht="14.25" customHeight="1">
      <c r="A46" s="3588" t="s">
        <v>1330</v>
      </c>
      <c r="B46" s="3589"/>
      <c r="C46" s="3589"/>
      <c r="D46" s="3589"/>
      <c r="E46" s="3589"/>
      <c r="F46" s="3589"/>
      <c r="G46" s="3590"/>
      <c r="H46" s="1806"/>
      <c r="I46" s="159"/>
      <c r="J46" s="3465">
        <v>1</v>
      </c>
      <c r="K46" s="3650" t="s">
        <v>1331</v>
      </c>
      <c r="L46" s="3650"/>
      <c r="M46" s="3670"/>
      <c r="N46" s="3670"/>
      <c r="O46" s="3670"/>
    </row>
    <row r="47" spans="1:15" ht="12" customHeight="1">
      <c r="A47" s="160" t="s">
        <v>1332</v>
      </c>
      <c r="B47" s="161"/>
      <c r="C47" s="162"/>
      <c r="D47" s="1087" t="s">
        <v>1333</v>
      </c>
      <c r="E47" s="302" t="s">
        <v>1334</v>
      </c>
      <c r="F47" s="163" t="s">
        <v>1335</v>
      </c>
      <c r="G47" s="2546" t="s">
        <v>1336</v>
      </c>
      <c r="H47" s="2547"/>
      <c r="I47" s="159"/>
      <c r="J47" s="3465">
        <v>2</v>
      </c>
      <c r="K47" s="3650" t="s">
        <v>1337</v>
      </c>
      <c r="L47" s="3650"/>
      <c r="M47" s="3671">
        <f>'数据-取费表'!B2</f>
        <v>44936</v>
      </c>
      <c r="N47" s="3671"/>
      <c r="O47" s="3671"/>
    </row>
    <row r="48" spans="1:15" ht="25.5">
      <c r="A48" s="3619" t="s">
        <v>1338</v>
      </c>
      <c r="B48" s="3602"/>
      <c r="C48" s="3602"/>
      <c r="D48" s="3468" t="b">
        <f>IF(H48="情况1",0,IF(H48="情况2",D52,IF(H48="情况3",D53,IF(H48="情况4",D54))))</f>
        <v>0</v>
      </c>
      <c r="E48" s="3456" t="str">
        <f>IF(H48="情况4","(销售额-原购置价)×税（费）率","销售额×税（费）率")</f>
        <v>销售额×税（费）率</v>
      </c>
      <c r="F48" s="2548">
        <f>IF(H48="情况1","免征",'数据-取费表'!B41)</f>
        <v>5.6000000000000001E-2</v>
      </c>
      <c r="G48" s="2549" t="s">
        <v>1339</v>
      </c>
      <c r="H48" s="2550"/>
      <c r="I48" s="1806"/>
      <c r="J48" s="3465">
        <v>3</v>
      </c>
      <c r="K48" s="3650" t="s">
        <v>1340</v>
      </c>
      <c r="L48" s="3650"/>
      <c r="M48" s="3672">
        <f ca="1">H101</f>
        <v>224330</v>
      </c>
      <c r="N48" s="3672"/>
      <c r="O48" s="3672"/>
    </row>
    <row r="49" spans="1:35" ht="25.5" customHeight="1">
      <c r="A49" s="3460" t="s">
        <v>1341</v>
      </c>
      <c r="B49" s="3586" t="s">
        <v>1342</v>
      </c>
      <c r="C49" s="3586"/>
      <c r="D49" s="1590">
        <v>0</v>
      </c>
      <c r="E49" s="324" t="s">
        <v>1343</v>
      </c>
      <c r="F49" s="3450" t="s">
        <v>28</v>
      </c>
      <c r="G49" s="3656"/>
      <c r="H49" s="2310" t="s">
        <v>2134</v>
      </c>
      <c r="I49" s="2311"/>
      <c r="J49" s="3465">
        <v>4</v>
      </c>
      <c r="K49" s="3650" t="str">
        <f>IF(项目基本情况!E8="房地产抵押价值","房地产抵押价值","抵押担保权已注销时的房地产抵押价值")</f>
        <v>房地产抵押价值</v>
      </c>
      <c r="L49" s="3650"/>
      <c r="M49" s="3672">
        <f ca="1">IF(项目基本情况!E8="房地产抵押价值",H107,H109)</f>
        <v>224330</v>
      </c>
      <c r="N49" s="3672"/>
      <c r="O49" s="3672"/>
    </row>
    <row r="50" spans="1:35" ht="25.5" customHeight="1">
      <c r="A50" s="2551"/>
      <c r="B50" s="3586" t="s">
        <v>1344</v>
      </c>
      <c r="C50" s="3586"/>
      <c r="D50" s="2552"/>
      <c r="E50" s="332"/>
      <c r="F50" s="3450"/>
      <c r="G50" s="3657"/>
      <c r="H50" s="2312" t="s">
        <v>2135</v>
      </c>
      <c r="I50" s="2311"/>
      <c r="J50" s="3669" t="s">
        <v>1345</v>
      </c>
      <c r="K50" s="3669"/>
      <c r="L50" s="3669"/>
      <c r="M50" s="3669"/>
      <c r="N50" s="3669"/>
      <c r="O50" s="3669"/>
    </row>
    <row r="51" spans="1:35" ht="20.45" customHeight="1">
      <c r="A51" s="2553"/>
      <c r="B51" s="3586" t="s">
        <v>1346</v>
      </c>
      <c r="C51" s="3586"/>
      <c r="D51" s="1087"/>
      <c r="E51" s="327"/>
      <c r="F51" s="3450"/>
      <c r="G51" s="3658"/>
      <c r="H51" s="2312" t="s">
        <v>2136</v>
      </c>
      <c r="I51" s="2311"/>
      <c r="J51" s="3464" t="s">
        <v>1347</v>
      </c>
      <c r="K51" s="3650" t="s">
        <v>1348</v>
      </c>
      <c r="L51" s="3650"/>
      <c r="M51" s="3464" t="s">
        <v>1349</v>
      </c>
      <c r="N51" s="3464" t="s">
        <v>1350</v>
      </c>
      <c r="O51" s="3464" t="s">
        <v>1351</v>
      </c>
    </row>
    <row r="52" spans="1:35" ht="24" customHeight="1">
      <c r="A52" s="3455" t="s">
        <v>1352</v>
      </c>
      <c r="B52" s="3586" t="s">
        <v>1353</v>
      </c>
      <c r="C52" s="3586"/>
      <c r="D52" s="1087">
        <f ca="1">ROUND(D45*'数据-取费表'!B41/(1+'数据-取费表'!C42),0)</f>
        <v>11964</v>
      </c>
      <c r="E52" s="3456" t="s">
        <v>1354</v>
      </c>
      <c r="F52" s="2554">
        <f>'数据-取费表'!B41</f>
        <v>5.6000000000000001E-2</v>
      </c>
      <c r="G52" s="2555"/>
      <c r="H52" s="2544"/>
      <c r="I52" s="1807"/>
      <c r="J52" s="3465">
        <v>1</v>
      </c>
      <c r="K52" s="3651" t="s">
        <v>1355</v>
      </c>
      <c r="L52" s="3651"/>
      <c r="M52" s="2525" t="b">
        <f>D48</f>
        <v>0</v>
      </c>
      <c r="N52" s="3465" t="str">
        <f>E48</f>
        <v>销售额×税（费）率</v>
      </c>
      <c r="O52" s="2526">
        <f>F48</f>
        <v>5.6000000000000001E-2</v>
      </c>
    </row>
    <row r="53" spans="1:35" ht="12" customHeight="1">
      <c r="A53" s="3455" t="s">
        <v>1356</v>
      </c>
      <c r="B53" s="3612" t="s">
        <v>2291</v>
      </c>
      <c r="C53" s="3613"/>
      <c r="D53" s="1087">
        <f ca="1">ROUND(D45*'数据-取费表'!B41/(1+'数据-取费表'!C42),0)</f>
        <v>11964</v>
      </c>
      <c r="E53" s="3456" t="s">
        <v>1354</v>
      </c>
      <c r="F53" s="2554">
        <f>'数据-取费表'!B41</f>
        <v>5.6000000000000001E-2</v>
      </c>
      <c r="G53" s="2555"/>
      <c r="H53" s="2544"/>
      <c r="I53" s="1807"/>
      <c r="J53" s="3465">
        <v>2</v>
      </c>
      <c r="K53" s="3651" t="s">
        <v>1357</v>
      </c>
      <c r="L53" s="3651"/>
      <c r="M53" s="2525">
        <f t="shared" ref="M53:O54" ca="1" si="0">D55</f>
        <v>112</v>
      </c>
      <c r="N53" s="3465" t="str">
        <f t="shared" si="0"/>
        <v>销售额×税（费）率</v>
      </c>
      <c r="O53" s="2526" t="str">
        <f t="shared" si="0"/>
        <v>免征</v>
      </c>
    </row>
    <row r="54" spans="1:35" ht="12" customHeight="1">
      <c r="A54" s="3455" t="s">
        <v>1358</v>
      </c>
      <c r="B54" s="3612" t="s">
        <v>2292</v>
      </c>
      <c r="C54" s="3613"/>
      <c r="D54" s="1087">
        <f ca="1">C68</f>
        <v>11964</v>
      </c>
      <c r="E54" s="327" t="s">
        <v>1359</v>
      </c>
      <c r="F54" s="2554">
        <f>'数据-取费表'!B41</f>
        <v>5.6000000000000001E-2</v>
      </c>
      <c r="G54" s="2555"/>
      <c r="H54" s="2556"/>
      <c r="I54" s="1807"/>
      <c r="J54" s="3465">
        <v>3</v>
      </c>
      <c r="K54" s="3651" t="s">
        <v>1360</v>
      </c>
      <c r="L54" s="3651"/>
      <c r="M54" s="2525">
        <f t="shared" ca="1" si="0"/>
        <v>126971</v>
      </c>
      <c r="N54" s="3465" t="str">
        <f t="shared" si="0"/>
        <v>增值额×税（费）率</v>
      </c>
      <c r="O54" s="2527" t="str">
        <f t="shared" si="0"/>
        <v>免征</v>
      </c>
    </row>
    <row r="55" spans="1:35" ht="24" customHeight="1">
      <c r="A55" s="3601" t="s">
        <v>1361</v>
      </c>
      <c r="B55" s="3602"/>
      <c r="C55" s="3602"/>
      <c r="D55" s="3468">
        <f ca="1">IF(H55="个人住宅",0,ROUND(D45*I55,0))</f>
        <v>112</v>
      </c>
      <c r="E55" s="3456" t="s">
        <v>1362</v>
      </c>
      <c r="F55" s="2554" t="str">
        <f>IF(H55="正常",I55,"免征")</f>
        <v>免征</v>
      </c>
      <c r="G55" s="2555"/>
      <c r="H55" s="2550"/>
      <c r="I55" s="165">
        <f>'数据-取费表'!B49</f>
        <v>5.0000000000000001E-4</v>
      </c>
      <c r="J55" s="3465">
        <f>IF(H59="非个人房产","",4)</f>
        <v>4</v>
      </c>
      <c r="K55" s="3651" t="str">
        <f>IF(H59="非个人房产","——","个人所得税")</f>
        <v>个人所得税</v>
      </c>
      <c r="L55" s="3651"/>
      <c r="M55" s="2528">
        <f ca="1">D59</f>
        <v>2136</v>
      </c>
      <c r="N55" s="3466" t="str">
        <f>E59</f>
        <v>差额计税</v>
      </c>
      <c r="O55" s="2529">
        <f>F59</f>
        <v>0.01</v>
      </c>
    </row>
    <row r="56" spans="1:35" ht="24.75">
      <c r="A56" s="3601" t="s">
        <v>1363</v>
      </c>
      <c r="B56" s="3602"/>
      <c r="C56" s="3602"/>
      <c r="D56" s="3468">
        <f ca="1">IF(H56="个人住宅",D57,D58)</f>
        <v>126971</v>
      </c>
      <c r="E56" s="3456" t="s">
        <v>1364</v>
      </c>
      <c r="F56" s="2554" t="str">
        <f>IF(H56="正常",F58,"免征")</f>
        <v>免征</v>
      </c>
      <c r="G56" s="2557" t="s">
        <v>1365</v>
      </c>
      <c r="H56" s="2558"/>
      <c r="I56" s="1808"/>
      <c r="J56" s="3465" t="str">
        <f>IF(项目基本情况!K6="上海银行",IF(J55="",4,J55+1),"")</f>
        <v/>
      </c>
      <c r="K56" s="3674" t="str">
        <f>IF(项目基本情况!K6="上海银行","其他处置费用","")</f>
        <v/>
      </c>
      <c r="L56" s="3675"/>
      <c r="M56" s="2525" t="str">
        <f>IF(项目基本情况!K6="上海银行",M69,"")</f>
        <v/>
      </c>
      <c r="N56" s="3674" t="str">
        <f>IF(项目基本情况!K6="上海银行","包含处置中涉及的律师、诉讼、拍卖、评估等费用","")</f>
        <v/>
      </c>
      <c r="O56" s="3677"/>
    </row>
    <row r="57" spans="1:35" ht="12.75">
      <c r="A57" s="3455" t="s">
        <v>1341</v>
      </c>
      <c r="B57" s="3612" t="s">
        <v>1366</v>
      </c>
      <c r="C57" s="3613"/>
      <c r="D57" s="1590">
        <v>0</v>
      </c>
      <c r="E57" s="324" t="s">
        <v>1343</v>
      </c>
      <c r="F57" s="302"/>
      <c r="G57" s="2555"/>
      <c r="H57" s="2559"/>
      <c r="I57" s="1808"/>
      <c r="J57" s="3651">
        <f>IF(AND(J55="",J56=""),4,IF(项目基本情况!K6="上海银行",'结果表(办公)'!J56+1,'结果表(办公)'!J55+1))</f>
        <v>5</v>
      </c>
      <c r="K57" s="3651" t="s">
        <v>1367</v>
      </c>
      <c r="L57" s="2530" t="s">
        <v>1368</v>
      </c>
      <c r="M57" s="2531"/>
      <c r="N57" s="2532">
        <f ca="1">SUMIF(M52:M56,"&lt;9e307")</f>
        <v>129219</v>
      </c>
      <c r="O57" s="2533"/>
      <c r="P57" s="2690">
        <f ca="1">N57/M49</f>
        <v>0.57602193197521512</v>
      </c>
    </row>
    <row r="58" spans="1:35" ht="24.75">
      <c r="A58" s="3455" t="s">
        <v>1352</v>
      </c>
      <c r="B58" s="3612" t="s">
        <v>1369</v>
      </c>
      <c r="C58" s="3586"/>
      <c r="D58" s="3468">
        <f ca="1">IF(H58="转让取得",C81,C97)</f>
        <v>126971</v>
      </c>
      <c r="E58" s="3456" t="s">
        <v>1364</v>
      </c>
      <c r="F58" s="302" t="s">
        <v>28</v>
      </c>
      <c r="G58" s="2555"/>
      <c r="H58" s="2558"/>
      <c r="I58" s="1808"/>
      <c r="J58" s="3651"/>
      <c r="K58" s="3651"/>
      <c r="L58" s="2530" t="s">
        <v>1370</v>
      </c>
      <c r="M58" s="2534"/>
      <c r="N58" s="2535" t="str">
        <f ca="1">NUMBERSTRING(INT(N57*10000),2)&amp;"元整"</f>
        <v>壹拾贰亿玖仟贰佰壹拾玖万元整</v>
      </c>
      <c r="O58" s="2536"/>
    </row>
    <row r="59" spans="1:35" ht="24.75" thickBot="1">
      <c r="A59" s="3654" t="s">
        <v>1371</v>
      </c>
      <c r="B59" s="3655"/>
      <c r="C59" s="3655"/>
      <c r="D59" s="2560">
        <f ca="1">IF(H59="非个人房产","——",IF(H59="个人住宅（满五唯一有凭证）",0,IF(H59="个人其他（无凭证）",ROUND(D45*F59,0),ROUND(C67*F59,0))))</f>
        <v>2136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2">
        <f>J57+1</f>
        <v>6</v>
      </c>
      <c r="K59" s="3651" t="s">
        <v>1372</v>
      </c>
      <c r="L59" s="3465" t="s">
        <v>1368</v>
      </c>
      <c r="M59" s="2537"/>
      <c r="N59" s="2538">
        <f ca="1">M49-N57</f>
        <v>95111</v>
      </c>
      <c r="O59" s="2539"/>
    </row>
    <row r="60" spans="1:35" ht="12" customHeight="1">
      <c r="A60" s="1809"/>
      <c r="B60" s="1747"/>
      <c r="C60" s="1747"/>
      <c r="D60" s="1747"/>
      <c r="E60" s="1578"/>
      <c r="F60" s="1808"/>
      <c r="G60" s="1808"/>
      <c r="H60" s="1810"/>
      <c r="I60" s="129"/>
      <c r="J60" s="3653"/>
      <c r="K60" s="3651"/>
      <c r="L60" s="2530" t="s">
        <v>1370</v>
      </c>
      <c r="M60" s="2534"/>
      <c r="N60" s="2535" t="str">
        <f ca="1">NUMBERSTRING(INT(N59*10000),2)&amp;"元整"</f>
        <v>玖亿伍仟壹佰壹拾壹万元整</v>
      </c>
      <c r="O60" s="2536"/>
    </row>
    <row r="61" spans="1:35" ht="13.5" thickBot="1">
      <c r="A61" s="3599" t="s">
        <v>1373</v>
      </c>
      <c r="B61" s="3599"/>
      <c r="C61" s="3599"/>
      <c r="D61" s="3599"/>
      <c r="E61" s="3599"/>
      <c r="F61" s="1808"/>
      <c r="G61" s="1808"/>
      <c r="H61" s="1810"/>
      <c r="I61" s="129"/>
      <c r="J61" s="3465">
        <f>J59+1</f>
        <v>7</v>
      </c>
      <c r="K61" s="3651" t="s">
        <v>1374</v>
      </c>
      <c r="L61" s="3651"/>
      <c r="M61" s="2540"/>
      <c r="N61" s="2541">
        <f ca="1">ROUND(N59*10000/'数据-汇总表'!E3,0)</f>
        <v>14098</v>
      </c>
      <c r="O61" s="2542"/>
    </row>
    <row r="62" spans="1:35" ht="12.75">
      <c r="A62" s="3617" t="s">
        <v>1375</v>
      </c>
      <c r="B62" s="3618"/>
      <c r="C62" s="3459"/>
      <c r="D62" s="3459" t="s">
        <v>1376</v>
      </c>
      <c r="E62" s="166" t="s">
        <v>1377</v>
      </c>
      <c r="F62" s="1808"/>
      <c r="G62" s="1808"/>
      <c r="H62" s="1810"/>
      <c r="I62" s="129"/>
    </row>
    <row r="63" spans="1:35" ht="12.75">
      <c r="A63" s="173" t="s">
        <v>330</v>
      </c>
      <c r="B63" s="167" t="s">
        <v>1378</v>
      </c>
      <c r="C63" s="2564">
        <f ca="1">ROUND((C64+C65)/(1+'数据-取费表'!C42),0)</f>
        <v>213648</v>
      </c>
      <c r="D63" s="167"/>
      <c r="E63" s="168"/>
      <c r="F63" s="1808"/>
      <c r="G63" s="1808"/>
      <c r="H63" s="1810"/>
      <c r="I63" s="129"/>
      <c r="J63" s="3676" t="s">
        <v>1379</v>
      </c>
      <c r="K63" s="3469" t="s">
        <v>1380</v>
      </c>
      <c r="L63" s="3469">
        <f ca="1">IF(M49&gt;10000,M49*0.5%,IF(AND(M49&gt;1000,M49&lt;=10000),M49*1%,IF(AND(M49&gt;100,M49&lt;=1000),M49*3%,IF(AND(M49&gt;10,M49&lt;=100),M49*5%,M49*8%))))</f>
        <v>1121.6500000000001</v>
      </c>
      <c r="M63" s="302">
        <f ca="1">ROUND(L63,1)</f>
        <v>1121.7</v>
      </c>
      <c r="N63" s="2543"/>
      <c r="Z63" s="1752"/>
      <c r="AI63" s="1753"/>
    </row>
    <row r="64" spans="1:35" ht="14.25" customHeight="1">
      <c r="A64" s="169" t="s">
        <v>325</v>
      </c>
      <c r="B64" s="170" t="s">
        <v>1381</v>
      </c>
      <c r="C64" s="2565">
        <f ca="1">D45</f>
        <v>224330</v>
      </c>
      <c r="D64" s="170" t="s">
        <v>26</v>
      </c>
      <c r="E64" s="172"/>
      <c r="F64" s="1808"/>
      <c r="G64" s="1808"/>
      <c r="H64" s="1810"/>
      <c r="I64" s="129"/>
      <c r="J64" s="3676"/>
      <c r="K64" s="3469" t="s">
        <v>1382</v>
      </c>
      <c r="L64" s="3469">
        <f ca="1">IF(M49&gt;2000,M49*0.5%,IF(AND(M49&gt;1000,M49&lt;=2000),M49*0.6%,IF(AND(M49&gt;500,M49&lt;=1000),M49*0.7%,IF(AND(M49&gt;200,M49&lt;=500),M49*0.8%,IF(AND(M49&gt;100,M49&lt;=200),M49*0.9%,IF(AND(M49&gt;50,M49&lt;=100),M49*1%,IF(AND(M49&gt;20,M49&lt;=50),M49*1.5%,IF(AND(M49&gt;10,M49&lt;=20),M49*2%,IF(AND(M49&gt;1,M49&lt;=10),M49*2.5%)))))))))</f>
        <v>1121.6500000000001</v>
      </c>
      <c r="M64" s="302">
        <f t="shared" ref="M64:M65" ca="1" si="1">ROUND(L64,1)</f>
        <v>1121.7</v>
      </c>
      <c r="N64" s="2544" t="s">
        <v>1383</v>
      </c>
      <c r="Z64" s="1752"/>
      <c r="AI64" s="1753"/>
    </row>
    <row r="65" spans="1:35" ht="14.25" customHeight="1">
      <c r="A65" s="169" t="s">
        <v>326</v>
      </c>
      <c r="B65" s="170" t="s">
        <v>1384</v>
      </c>
      <c r="C65" s="2566"/>
      <c r="D65" s="170"/>
      <c r="E65" s="172"/>
      <c r="F65" s="1808"/>
      <c r="G65" s="1808"/>
      <c r="H65" s="1810"/>
      <c r="I65" s="129"/>
      <c r="J65" s="3676"/>
      <c r="K65" s="3469" t="s">
        <v>1385</v>
      </c>
      <c r="L65" s="3469">
        <f ca="1">IF(M49&gt;1000,M49*0.1%,IF(AND(M49&gt;500,M49&lt;=1000),M49*0.5%,IF(AND(M49&gt;50,M49&lt;=500),M49*1%,IF(AND(M49&gt;1,M49&lt;=50),M49*1.5%))))</f>
        <v>224.33</v>
      </c>
      <c r="M65" s="302">
        <f t="shared" ca="1" si="1"/>
        <v>224.3</v>
      </c>
      <c r="N65" s="2544" t="s">
        <v>1383</v>
      </c>
      <c r="Z65" s="1752"/>
      <c r="AI65" s="1753"/>
    </row>
    <row r="66" spans="1:35" ht="14.25" customHeight="1">
      <c r="A66" s="173" t="s">
        <v>327</v>
      </c>
      <c r="B66" s="174" t="s">
        <v>1386</v>
      </c>
      <c r="C66" s="2567"/>
      <c r="D66" s="174" t="s">
        <v>26</v>
      </c>
      <c r="E66" s="1338" t="s">
        <v>671</v>
      </c>
      <c r="F66" s="1808"/>
      <c r="G66" s="1808"/>
      <c r="H66" s="1810"/>
      <c r="I66" s="129"/>
      <c r="J66" s="3676"/>
      <c r="K66" s="3469" t="s">
        <v>1387</v>
      </c>
      <c r="L66" s="3469">
        <f ca="1">M49*0.5%</f>
        <v>1121.6500000000001</v>
      </c>
      <c r="M66" s="302">
        <f ca="1">IF(L66&gt;0.5,0.5,ROUND(L66,0))</f>
        <v>0.5</v>
      </c>
      <c r="N66" s="2544" t="s">
        <v>1388</v>
      </c>
      <c r="Z66" s="1752"/>
      <c r="AI66" s="1753"/>
    </row>
    <row r="67" spans="1:35" ht="14.25" customHeight="1">
      <c r="A67" s="173" t="s">
        <v>328</v>
      </c>
      <c r="B67" s="174" t="s">
        <v>1389</v>
      </c>
      <c r="C67" s="2568">
        <f ca="1">C63-C66</f>
        <v>213648</v>
      </c>
      <c r="D67" s="170" t="s">
        <v>26</v>
      </c>
      <c r="E67" s="172"/>
      <c r="F67" s="1808"/>
      <c r="G67" s="1808"/>
      <c r="H67" s="1810"/>
      <c r="I67" s="129"/>
      <c r="J67" s="3676"/>
      <c r="K67" s="3469" t="s">
        <v>1390</v>
      </c>
      <c r="L67" s="3469">
        <f ca="1">IF(M49&gt;=10000,(8.25+(M49-10000)*0.01%),IF(AND(M49&gt;=8000,M49&lt;10000),(7.85+(M49-8000)*0.02%),IF(AND(M49&gt;=5000,M49&lt;8000),(6.65+(M49-5000)*0.04%),IF(AND(M49&gt;=2000,M49&lt;5000),(4.25+(PM49-2000)*0.08%),IF(AND(M49&gt;=1000,M49&lt;2000),(2.75+(M49-1000)*0.15%),IF(AND(M49&gt;=100,M49&lt;1000),(0.5+(M49-100)*0.25%),IF(AND(M49&gt;0,M49&lt;100),M49*0.5%)))))))</f>
        <v>29.683</v>
      </c>
      <c r="M67" s="302">
        <f ca="1">ROUND(L67*0.9,1)</f>
        <v>26.7</v>
      </c>
      <c r="N67" s="2543"/>
      <c r="Z67" s="1752"/>
      <c r="AI67" s="1753"/>
    </row>
    <row r="68" spans="1:35" ht="14.25" customHeight="1" thickBot="1">
      <c r="A68" s="176" t="s">
        <v>329</v>
      </c>
      <c r="B68" s="177" t="s">
        <v>1391</v>
      </c>
      <c r="C68" s="2569">
        <f ca="1">IF(C67&lt;=0,0,ROUND(C67*D68,0))</f>
        <v>11964</v>
      </c>
      <c r="D68" s="2570">
        <f>'数据-取费表'!B41</f>
        <v>5.6000000000000001E-2</v>
      </c>
      <c r="E68" s="178"/>
      <c r="F68" s="1808"/>
      <c r="G68" s="1808"/>
      <c r="H68" s="1810"/>
      <c r="I68" s="129"/>
      <c r="J68" s="3676"/>
      <c r="K68" s="3469" t="s">
        <v>1392</v>
      </c>
      <c r="L68" s="3469">
        <f ca="1">IF(M49&gt;10000,M49*0.5%,IF(AND(M49&gt;5000,M49&lt;=10000),M49*1%,IF(AND(M49&gt;1000,M49&lt;=5000),M49*2%,IF(AND(M49&gt;200,M49&lt;=1000),M49*3%,M49*5%))))</f>
        <v>1121.6500000000001</v>
      </c>
      <c r="M68" s="302">
        <f ca="1">ROUND(L68,1)</f>
        <v>1121.7</v>
      </c>
      <c r="N68" s="2543"/>
      <c r="Z68" s="1752"/>
      <c r="AI68" s="1753"/>
    </row>
    <row r="69" spans="1:35" s="1772" customFormat="1" ht="16.5" customHeight="1">
      <c r="A69" s="1811"/>
      <c r="B69" s="1812"/>
      <c r="C69" s="1813"/>
      <c r="D69" s="1814"/>
      <c r="E69" s="1815"/>
      <c r="F69" s="1578"/>
      <c r="G69" s="1578"/>
      <c r="H69" s="1577"/>
      <c r="I69" s="1747"/>
      <c r="J69" s="3676"/>
      <c r="K69" s="3469" t="s">
        <v>1393</v>
      </c>
      <c r="L69" s="3469"/>
      <c r="M69" s="302">
        <f ca="1">ROUND(SUM(M63:M68),0)</f>
        <v>3617</v>
      </c>
      <c r="N69" s="2545">
        <f ca="1">M69/M49</f>
        <v>1.6123567957919138E-2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8" t="s">
        <v>1394</v>
      </c>
      <c r="B70" s="3639"/>
      <c r="C70" s="3639"/>
      <c r="D70" s="3639"/>
      <c r="E70" s="3639"/>
      <c r="F70" s="3639"/>
      <c r="G70" s="3639"/>
      <c r="H70" s="363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3459"/>
      <c r="D71" s="345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213648</v>
      </c>
      <c r="D72" s="170" t="s">
        <v>26</v>
      </c>
      <c r="E72" s="3458"/>
      <c r="F72" s="3451"/>
      <c r="G72" s="345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1282</v>
      </c>
      <c r="D73" s="170" t="s">
        <v>26</v>
      </c>
      <c r="E73" s="3458"/>
      <c r="F73" s="3451"/>
      <c r="G73" s="345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8"/>
      <c r="F74" s="3451"/>
      <c r="G74" s="345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586"/>
      <c r="G76" s="3586"/>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8" t="s">
        <v>1404</v>
      </c>
      <c r="F77" s="186"/>
      <c r="G77" s="1822"/>
      <c r="H77" s="346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1282</v>
      </c>
      <c r="D78" s="2577">
        <f>'数据-取费表'!B43</f>
        <v>6.000000000000001E-3</v>
      </c>
      <c r="E78" s="3596" t="s">
        <v>1406</v>
      </c>
      <c r="F78" s="3597"/>
      <c r="G78" s="3597"/>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f ca="1">C72-C73</f>
        <v>212366</v>
      </c>
      <c r="D79" s="170" t="s">
        <v>26</v>
      </c>
      <c r="E79" s="3458"/>
      <c r="F79" s="3451"/>
      <c r="G79" s="345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165.65210608424337</v>
      </c>
      <c r="D80" s="170" t="s">
        <v>26</v>
      </c>
      <c r="E80" s="3468"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126971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8" t="s">
        <v>1410</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3459"/>
      <c r="D84" s="345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213648</v>
      </c>
      <c r="D85" s="170" t="s">
        <v>26</v>
      </c>
      <c r="E85" s="3458"/>
      <c r="F85" s="3451"/>
      <c r="G85" s="345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1282</v>
      </c>
      <c r="D86" s="2581"/>
      <c r="E86" s="3458"/>
      <c r="F86" s="3451"/>
      <c r="G86" s="345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2"/>
      <c r="F87" s="3453"/>
      <c r="G87" s="3453"/>
      <c r="H87" s="345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3"/>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3"/>
      <c r="G89" s="3453"/>
      <c r="H89" s="345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3"/>
      <c r="G90" s="3678" t="s">
        <v>2129</v>
      </c>
      <c r="H90" s="367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1282</v>
      </c>
      <c r="D93" s="2577">
        <f>'数据-取费表'!B43</f>
        <v>6.000000000000001E-3</v>
      </c>
      <c r="E93" s="3596" t="s">
        <v>1406</v>
      </c>
      <c r="F93" s="3597"/>
      <c r="G93" s="3597"/>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7" t="s">
        <v>1426</v>
      </c>
      <c r="F94" s="3608"/>
      <c r="G94" s="3608"/>
      <c r="H94" s="36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f ca="1">ROUND(C85-C86,0)</f>
        <v>212366</v>
      </c>
      <c r="D95" s="170" t="s">
        <v>26</v>
      </c>
      <c r="E95" s="3458"/>
      <c r="F95" s="3451"/>
      <c r="G95" s="345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165.65210608424337</v>
      </c>
      <c r="D96" s="170" t="s">
        <v>26</v>
      </c>
      <c r="E96" s="3468"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126971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0" t="s">
        <v>1428</v>
      </c>
      <c r="B100" s="3581"/>
      <c r="C100" s="3581"/>
      <c r="D100" s="3598"/>
      <c r="E100" s="3581" t="s">
        <v>1429</v>
      </c>
      <c r="F100" s="3581"/>
      <c r="G100" s="3581"/>
      <c r="H100" s="3598"/>
      <c r="I100" s="129"/>
    </row>
    <row r="101" spans="1:35" ht="18.75" customHeight="1">
      <c r="A101" s="3659" t="s">
        <v>1430</v>
      </c>
      <c r="B101" s="3660"/>
      <c r="C101" s="2585" t="str">
        <f>C4</f>
        <v>比较法-办公</v>
      </c>
      <c r="D101" s="2586" t="str">
        <f>D4</f>
        <v>收益法</v>
      </c>
      <c r="E101" s="3673" t="s">
        <v>1431</v>
      </c>
      <c r="F101" s="3630"/>
      <c r="G101" s="1827" t="s">
        <v>1432</v>
      </c>
      <c r="H101" s="2595">
        <f ca="1">H118</f>
        <v>224330</v>
      </c>
      <c r="I101" s="129"/>
    </row>
    <row r="102" spans="1:35" ht="18.75" customHeight="1">
      <c r="A102" s="3632" t="s">
        <v>1433</v>
      </c>
      <c r="B102" s="2584" t="s">
        <v>1432</v>
      </c>
      <c r="C102" s="2585">
        <f ca="1">IF(D32="楼面单价",ROUND(C19,0),C19)</f>
        <v>247566</v>
      </c>
      <c r="D102" s="2586">
        <f ca="1">IF(D32="楼面单价",ROUND(D19,0),D19)</f>
        <v>189475</v>
      </c>
      <c r="E102" s="3673"/>
      <c r="F102" s="3630"/>
      <c r="G102" s="1827" t="s">
        <v>1434</v>
      </c>
      <c r="H102" s="2555">
        <f ca="1">I118</f>
        <v>38964</v>
      </c>
      <c r="I102" s="129"/>
    </row>
    <row r="103" spans="1:35" ht="42.75" customHeight="1">
      <c r="A103" s="3632"/>
      <c r="B103" s="2584" t="s">
        <v>1434</v>
      </c>
      <c r="C103" s="2587">
        <f ca="1">C20</f>
        <v>43000</v>
      </c>
      <c r="D103" s="2588">
        <f ca="1">D20</f>
        <v>32910</v>
      </c>
      <c r="E103" s="3667" t="s">
        <v>1435</v>
      </c>
      <c r="F103" s="3668"/>
      <c r="G103" s="1828" t="s">
        <v>1436</v>
      </c>
      <c r="H103" s="2595">
        <f>IF(D36="正常操作",H104+H105+H106,H105+H106)</f>
        <v>0</v>
      </c>
      <c r="I103" s="129"/>
    </row>
    <row r="104" spans="1:35" ht="18.75" customHeight="1">
      <c r="A104" s="3632" t="s">
        <v>1437</v>
      </c>
      <c r="B104" s="2589" t="s">
        <v>1432</v>
      </c>
      <c r="C104" s="2590">
        <f ca="1">H118</f>
        <v>224330</v>
      </c>
      <c r="D104" s="2591"/>
      <c r="E104" s="1674" t="s">
        <v>1438</v>
      </c>
      <c r="F104" s="1666"/>
      <c r="G104" s="1828" t="s">
        <v>1436</v>
      </c>
      <c r="H104" s="2596">
        <f>IF(D36="同一抵押权人同一抵押物续贷",C36&amp;"（续贷，未扣减，详见特别提示）",C36)</f>
        <v>0</v>
      </c>
      <c r="I104" s="129"/>
    </row>
    <row r="105" spans="1:35" ht="18.75" customHeight="1" thickBot="1">
      <c r="A105" s="3633"/>
      <c r="B105" s="2592" t="s">
        <v>1434</v>
      </c>
      <c r="C105" s="2593">
        <f ca="1">I118</f>
        <v>38964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9" t="str">
        <f>IF(项目基本情况!E8="已注销","——","3.房地产抵押价值")</f>
        <v>3.房地产抵押价值</v>
      </c>
      <c r="F107" s="3630"/>
      <c r="G107" s="1827" t="s">
        <v>1432</v>
      </c>
      <c r="H107" s="2595">
        <f ca="1">IF(E107="——","——",H101-H103)</f>
        <v>224330</v>
      </c>
      <c r="I107" s="129"/>
    </row>
    <row r="108" spans="1:35" ht="18.75" customHeight="1">
      <c r="A108" s="129"/>
      <c r="B108" s="129"/>
      <c r="C108" s="129"/>
      <c r="D108" s="129"/>
      <c r="E108" s="3629"/>
      <c r="F108" s="3630"/>
      <c r="G108" s="1827" t="s">
        <v>1434</v>
      </c>
      <c r="H108" s="2555">
        <f ca="1">IF(H107=H101,H102,ROUND(H107*10000/'数据-汇总表'!E3,0))</f>
        <v>38964</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7" t="s">
        <v>1432</v>
      </c>
      <c r="H109" s="2598" t="str">
        <f>IF(E109="——","——",H101-H105-H106)</f>
        <v>——</v>
      </c>
      <c r="I109" s="129"/>
    </row>
    <row r="110" spans="1:35" ht="18.75" customHeight="1">
      <c r="A110" s="129"/>
      <c r="B110" s="129"/>
      <c r="C110" s="129"/>
      <c r="D110" s="129"/>
      <c r="E110" s="3629"/>
      <c r="F110" s="3630"/>
      <c r="G110" s="1827" t="s">
        <v>1434</v>
      </c>
      <c r="H110" s="2555"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7" t="s">
        <v>1432</v>
      </c>
      <c r="H111" s="2595" t="str">
        <f>IF(E111="——","——",N59)</f>
        <v>——</v>
      </c>
      <c r="I111" s="129"/>
    </row>
    <row r="112" spans="1:35" ht="18.75" customHeight="1" thickBot="1">
      <c r="A112" s="129"/>
      <c r="B112" s="129"/>
      <c r="C112" s="129"/>
      <c r="D112" s="129"/>
      <c r="E112" s="3662"/>
      <c r="F112" s="3663"/>
      <c r="G112" s="1830" t="s">
        <v>1434</v>
      </c>
      <c r="H112" s="2599" t="str">
        <f>IF(E111="——","——",N61)</f>
        <v>——</v>
      </c>
      <c r="I112" s="129"/>
    </row>
    <row r="113" spans="1:27" ht="18.75" customHeight="1">
      <c r="A113" s="129"/>
      <c r="B113" s="129"/>
      <c r="C113" s="129"/>
      <c r="D113" s="129"/>
      <c r="E113" s="3634" t="s">
        <v>1440</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1447</v>
      </c>
      <c r="G116" s="3643"/>
      <c r="H116" s="3600" t="s">
        <v>1448</v>
      </c>
      <c r="I116" s="3600"/>
    </row>
    <row r="117" spans="1:27" ht="18.75" customHeight="1">
      <c r="A117" s="3600"/>
      <c r="B117" s="3636"/>
      <c r="C117" s="3636"/>
      <c r="D117" s="3454" t="s">
        <v>1449</v>
      </c>
      <c r="E117" s="3454" t="s">
        <v>1450</v>
      </c>
      <c r="F117" s="3454" t="s">
        <v>1449</v>
      </c>
      <c r="G117" s="3454" t="s">
        <v>1451</v>
      </c>
      <c r="H117" s="3454" t="s">
        <v>1449</v>
      </c>
      <c r="I117" s="3454" t="s">
        <v>1451</v>
      </c>
    </row>
    <row r="118" spans="1:27" ht="24.75" customHeight="1">
      <c r="A118" s="2600" t="str">
        <f>项目基本情况!S2</f>
        <v>北京市房地产</v>
      </c>
      <c r="B118" s="3454">
        <f>M18</f>
        <v>57573.479999999974</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224330</v>
      </c>
      <c r="I118" s="3454">
        <f ca="1">ROUND(IF(D32="楼面单价",C32,H118*10000/B118),0)</f>
        <v>38964</v>
      </c>
    </row>
    <row r="119" spans="1:27" ht="18.75" customHeight="1">
      <c r="A119" s="3600" t="s">
        <v>1452</v>
      </c>
      <c r="B119" s="3600"/>
      <c r="C119" s="3600"/>
      <c r="D119" s="3640" t="e">
        <f ca="1">NUMBERSTRING(INT(D118*10000),2)&amp;"元整"</f>
        <v>#REF!</v>
      </c>
      <c r="E119" s="3642"/>
      <c r="F119" s="3640" t="e">
        <f ca="1">NUMBERSTRING(INT(F118*10000),2)&amp;"元整"</f>
        <v>#REF!</v>
      </c>
      <c r="G119" s="3642"/>
      <c r="H119" s="3640" t="str">
        <f ca="1">NUMBERSTRING(INT(H118*10000),2)&amp;"元整"</f>
        <v>贰拾贰亿肆仟叁佰叁拾万元整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0" t="s">
        <v>1452</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224330</v>
      </c>
      <c r="E122" s="3665"/>
      <c r="F122" s="3665"/>
      <c r="G122" s="3665"/>
      <c r="H122" s="3665"/>
      <c r="I122" s="3666"/>
      <c r="AA122" s="725"/>
    </row>
    <row r="123" spans="1:27" ht="18.75" customHeight="1">
      <c r="A123" s="3600" t="s">
        <v>1452</v>
      </c>
      <c r="B123" s="3600"/>
      <c r="C123" s="3600"/>
      <c r="D123" s="3640" t="str">
        <f ca="1">NUMBERSTRING(INT(D122*10000),2)&amp;"元整"</f>
        <v>贰拾贰亿肆仟叁佰叁拾万元整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1452</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1452</v>
      </c>
      <c r="B127" s="3600"/>
      <c r="C127" s="3600"/>
      <c r="D127" s="3640" t="e">
        <f>NUMBERSTRING(INT(D126*10000),2)&amp;"元整"</f>
        <v>#VALUE!</v>
      </c>
      <c r="E127" s="3641"/>
      <c r="F127" s="3641"/>
      <c r="G127" s="3641"/>
      <c r="H127" s="3641"/>
      <c r="I127" s="3642"/>
      <c r="AA127" s="725"/>
    </row>
    <row r="128" spans="1:27" ht="21.75" customHeight="1">
      <c r="A128" s="3647" t="s">
        <v>1453</v>
      </c>
      <c r="B128" s="3647"/>
      <c r="C128" s="3647"/>
      <c r="D128" s="3647"/>
      <c r="E128" s="3647"/>
      <c r="F128" s="3647"/>
      <c r="G128" s="3647"/>
      <c r="H128" s="3647"/>
      <c r="I128" s="364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4" t="s">
        <v>3564</v>
      </c>
      <c r="F1" s="1879" t="s">
        <v>3565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247566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43000</v>
      </c>
      <c r="C3" s="354" t="s">
        <v>1768</v>
      </c>
      <c r="D3" s="353">
        <f>IF(D1="",'数据-汇总表'!E3,SUMIF('数据-汇总表'!$C19:$C33,D1,'数据-汇总表'!$E19:$E33))</f>
        <v>57573.479999999974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46" t="s">
        <v>1770</v>
      </c>
      <c r="D4" s="3747"/>
      <c r="E4" s="3748" t="s">
        <v>1771</v>
      </c>
      <c r="F4" s="3749"/>
      <c r="G4" s="3746" t="s">
        <v>1772</v>
      </c>
      <c r="H4" s="3747"/>
      <c r="I4" s="3746" t="s">
        <v>1773</v>
      </c>
      <c r="J4" s="3747"/>
      <c r="K4" s="559" t="s">
        <v>1774</v>
      </c>
      <c r="L4" s="2715"/>
      <c r="M4" s="2716"/>
      <c r="N4" s="2716"/>
      <c r="O4" s="2716"/>
      <c r="P4" s="3780" t="s">
        <v>1775</v>
      </c>
      <c r="Q4" s="3781"/>
      <c r="R4" s="3784" t="s">
        <v>1771</v>
      </c>
      <c r="S4" s="3785"/>
      <c r="T4" s="3784" t="s">
        <v>1772</v>
      </c>
      <c r="U4" s="3785"/>
      <c r="V4" s="3786" t="s">
        <v>1773</v>
      </c>
      <c r="W4" s="3786"/>
      <c r="X4" s="1958"/>
      <c r="Y4" s="3784" t="s">
        <v>1775</v>
      </c>
      <c r="Z4" s="3785"/>
      <c r="AA4" s="3788" t="s">
        <v>1771</v>
      </c>
      <c r="AB4" s="3788" t="s">
        <v>1772</v>
      </c>
      <c r="AC4" s="3777" t="s">
        <v>1773</v>
      </c>
    </row>
    <row r="5" spans="1:29" ht="15">
      <c r="A5" s="358"/>
      <c r="B5" s="359"/>
      <c r="C5" s="3765" t="s">
        <v>1673</v>
      </c>
      <c r="D5" s="3766"/>
      <c r="E5" s="3772" t="s">
        <v>1674</v>
      </c>
      <c r="F5" s="3773"/>
      <c r="G5" s="3765" t="s">
        <v>1675</v>
      </c>
      <c r="H5" s="3766"/>
      <c r="I5" s="3765" t="s">
        <v>1676</v>
      </c>
      <c r="J5" s="3766"/>
      <c r="K5" s="559"/>
      <c r="L5" s="2715"/>
      <c r="M5" s="2716"/>
      <c r="N5" s="2716"/>
      <c r="O5" s="2716"/>
      <c r="P5" s="3782"/>
      <c r="Q5" s="3753"/>
      <c r="R5" s="3758"/>
      <c r="S5" s="3759"/>
      <c r="T5" s="3758"/>
      <c r="U5" s="3759"/>
      <c r="V5" s="3762"/>
      <c r="W5" s="3762"/>
      <c r="X5" s="1355"/>
      <c r="Y5" s="3758"/>
      <c r="Z5" s="3759"/>
      <c r="AA5" s="3744"/>
      <c r="AB5" s="3744"/>
      <c r="AC5" s="3778"/>
    </row>
    <row r="6" spans="1:29" ht="15.75" thickBot="1">
      <c r="A6" s="360"/>
      <c r="B6" s="361"/>
      <c r="C6" s="3763" t="s">
        <v>1677</v>
      </c>
      <c r="D6" s="3764"/>
      <c r="E6" s="3770" t="s">
        <v>1677</v>
      </c>
      <c r="F6" s="3771"/>
      <c r="G6" s="3763" t="s">
        <v>1677</v>
      </c>
      <c r="H6" s="3764"/>
      <c r="I6" s="3763" t="s">
        <v>1677</v>
      </c>
      <c r="J6" s="3764"/>
      <c r="K6" s="559" t="s">
        <v>1678</v>
      </c>
      <c r="L6" s="2715"/>
      <c r="M6" s="2716"/>
      <c r="N6" s="2716"/>
      <c r="O6" s="2716"/>
      <c r="P6" s="3783"/>
      <c r="Q6" s="3755"/>
      <c r="R6" s="3758"/>
      <c r="S6" s="3759"/>
      <c r="T6" s="3760"/>
      <c r="U6" s="3761"/>
      <c r="V6" s="3762"/>
      <c r="W6" s="3762"/>
      <c r="X6" s="1355"/>
      <c r="Y6" s="3760"/>
      <c r="Z6" s="3761"/>
      <c r="AA6" s="3745"/>
      <c r="AB6" s="3745"/>
      <c r="AC6" s="3779"/>
    </row>
    <row r="7" spans="1:29" s="108" customFormat="1" ht="15.75" thickBot="1">
      <c r="A7" s="362" t="s">
        <v>1679</v>
      </c>
      <c r="B7" s="363"/>
      <c r="C7" s="364">
        <f>'数据-取费表'!B2</f>
        <v>44936</v>
      </c>
      <c r="D7" s="365">
        <v>100</v>
      </c>
      <c r="E7" s="366">
        <f>C7</f>
        <v>44936</v>
      </c>
      <c r="F7" s="367">
        <f>SUMIF(59:59,YEAR(E7)&amp;"-"&amp;MONTH(E7),60:60)</f>
        <v>100</v>
      </c>
      <c r="G7" s="366">
        <f>C7</f>
        <v>44936</v>
      </c>
      <c r="H7" s="365">
        <f>SUMIF(59:59,YEAR(G7)&amp;"-"&amp;MONTH(G7),60:60)</f>
        <v>100</v>
      </c>
      <c r="I7" s="366">
        <f>C7</f>
        <v>44936</v>
      </c>
      <c r="J7" s="365">
        <f>SUMIF(59:59,YEAR(I7)&amp;"-"&amp;MONTH(I7),60:60)</f>
        <v>100</v>
      </c>
      <c r="K7" s="560"/>
      <c r="L7" s="2717"/>
      <c r="M7" s="2718"/>
      <c r="N7" s="2718"/>
      <c r="O7" s="2718"/>
      <c r="P7" s="3787" t="s">
        <v>1680</v>
      </c>
      <c r="Q7" s="3769"/>
      <c r="R7" s="701" t="s">
        <v>14</v>
      </c>
      <c r="S7" s="702">
        <f t="shared" ref="S7:S15" si="0">F7</f>
        <v>100</v>
      </c>
      <c r="T7" s="701" t="s">
        <v>14</v>
      </c>
      <c r="U7" s="702">
        <f t="shared" ref="U7:U15" si="1">H7</f>
        <v>100</v>
      </c>
      <c r="V7" s="701" t="s">
        <v>14</v>
      </c>
      <c r="W7" s="702">
        <f t="shared" ref="W7:W15" si="2">J7</f>
        <v>100</v>
      </c>
      <c r="X7" s="703"/>
      <c r="Y7" s="3767" t="s">
        <v>1680</v>
      </c>
      <c r="Z7" s="3768"/>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7" t="s">
        <v>1683</v>
      </c>
      <c r="Q8" s="3768"/>
      <c r="R8" s="701" t="s">
        <v>14</v>
      </c>
      <c r="S8" s="702">
        <f t="shared" si="0"/>
        <v>100</v>
      </c>
      <c r="T8" s="701" t="s">
        <v>14</v>
      </c>
      <c r="U8" s="702">
        <f t="shared" si="1"/>
        <v>100</v>
      </c>
      <c r="V8" s="701" t="s">
        <v>14</v>
      </c>
      <c r="W8" s="702">
        <f t="shared" si="2"/>
        <v>100</v>
      </c>
      <c r="X8" s="703"/>
      <c r="Y8" s="3767" t="s">
        <v>1683</v>
      </c>
      <c r="Z8" s="37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2"/>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2"/>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1"/>
      <c r="Q22" s="1352"/>
      <c r="R22" s="705"/>
      <c r="S22" s="706"/>
      <c r="T22" s="705"/>
      <c r="U22" s="706"/>
      <c r="V22" s="705"/>
      <c r="W22" s="706"/>
      <c r="X22" s="1355"/>
      <c r="Y22" s="373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1"/>
      <c r="Q26" s="1352"/>
      <c r="R26" s="705"/>
      <c r="S26" s="706"/>
      <c r="T26" s="705"/>
      <c r="U26" s="706"/>
      <c r="V26" s="705"/>
      <c r="W26" s="706"/>
      <c r="X26" s="1355"/>
      <c r="Y26" s="37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1696</v>
      </c>
      <c r="Q33" s="1352" t="str">
        <f t="shared" si="11"/>
        <v>建筑类型</v>
      </c>
      <c r="R33" s="705" t="s">
        <v>14</v>
      </c>
      <c r="S33" s="706">
        <f t="shared" si="12"/>
        <v>100</v>
      </c>
      <c r="T33" s="705" t="s">
        <v>14</v>
      </c>
      <c r="U33" s="706">
        <f t="shared" si="13"/>
        <v>100</v>
      </c>
      <c r="V33" s="705" t="s">
        <v>14</v>
      </c>
      <c r="W33" s="706">
        <f t="shared" si="14"/>
        <v>100</v>
      </c>
      <c r="X33" s="1355"/>
      <c r="Y33" s="37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36"/>
      <c r="Q34" s="707" t="str">
        <f t="shared" si="11"/>
        <v>项目建筑规模</v>
      </c>
      <c r="R34" s="708" t="s">
        <v>14</v>
      </c>
      <c r="S34" s="709">
        <f t="shared" si="12"/>
        <v>100</v>
      </c>
      <c r="T34" s="708" t="s">
        <v>14</v>
      </c>
      <c r="U34" s="709">
        <f t="shared" si="13"/>
        <v>100</v>
      </c>
      <c r="V34" s="708" t="s">
        <v>14</v>
      </c>
      <c r="W34" s="709">
        <f t="shared" si="14"/>
        <v>100</v>
      </c>
      <c r="X34" s="710"/>
      <c r="Y34" s="3738"/>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1786</v>
      </c>
      <c r="C37" s="425">
        <f>'数据-取费表'!N6</f>
        <v>0.93</v>
      </c>
      <c r="D37" s="386">
        <v>100</v>
      </c>
      <c r="E37" s="425">
        <f>C37</f>
        <v>0.93</v>
      </c>
      <c r="F37" s="412">
        <f>LOOKUP(E37,111:111,112:112)-LOOKUP(C37,111:111,112:112)+100</f>
        <v>100</v>
      </c>
      <c r="G37" s="425">
        <f>C37</f>
        <v>0.93</v>
      </c>
      <c r="H37" s="412">
        <f>LOOKUP(G37,111:111,112:112)-LOOKUP(C37,111:111,112:112)+100</f>
        <v>100</v>
      </c>
      <c r="I37" s="425">
        <f>C37</f>
        <v>0.93</v>
      </c>
      <c r="J37" s="386">
        <f>LOOKUP(I37,111:111,112:112)-LOOKUP(C37,111:111,112:112)+100</f>
        <v>100</v>
      </c>
      <c r="K37" s="561"/>
      <c r="L37" s="2722"/>
      <c r="M37" s="2716"/>
      <c r="N37" s="2716"/>
      <c r="O37" s="2716"/>
      <c r="P37" s="3736"/>
      <c r="Q37" s="1352" t="str">
        <f t="shared" si="11"/>
        <v>成新度</v>
      </c>
      <c r="R37" s="705" t="s">
        <v>14</v>
      </c>
      <c r="S37" s="706">
        <f t="shared" si="12"/>
        <v>100</v>
      </c>
      <c r="T37" s="705" t="s">
        <v>14</v>
      </c>
      <c r="U37" s="706">
        <f t="shared" si="13"/>
        <v>100</v>
      </c>
      <c r="V37" s="705" t="s">
        <v>14</v>
      </c>
      <c r="W37" s="706">
        <f t="shared" si="14"/>
        <v>100</v>
      </c>
      <c r="X37" s="1355"/>
      <c r="Y37" s="373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1696</v>
      </c>
      <c r="Q39" s="1352" t="str">
        <f t="shared" si="11"/>
        <v>物业管理</v>
      </c>
      <c r="R39" s="705" t="s">
        <v>14</v>
      </c>
      <c r="S39" s="706">
        <f t="shared" si="12"/>
        <v>100</v>
      </c>
      <c r="T39" s="705" t="s">
        <v>14</v>
      </c>
      <c r="U39" s="706">
        <f t="shared" si="13"/>
        <v>100</v>
      </c>
      <c r="V39" s="705" t="s">
        <v>14</v>
      </c>
      <c r="W39" s="706">
        <f t="shared" si="14"/>
        <v>100</v>
      </c>
      <c r="X39" s="1355"/>
      <c r="Y39" s="37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5">
      <c r="A48" s="430" t="s">
        <v>1708</v>
      </c>
      <c r="B48" s="431"/>
      <c r="C48" s="1154" t="s">
        <v>0</v>
      </c>
      <c r="D48" s="1155"/>
      <c r="E48" s="1156">
        <v>43000</v>
      </c>
      <c r="F48" s="1157"/>
      <c r="G48" s="1158">
        <f>E48</f>
        <v>43000</v>
      </c>
      <c r="H48" s="1159"/>
      <c r="I48" s="1156">
        <f>E48</f>
        <v>43000</v>
      </c>
      <c r="J48" s="436"/>
      <c r="K48" s="714"/>
      <c r="L48" s="2724"/>
      <c r="M48" s="2716"/>
      <c r="N48" s="2716"/>
      <c r="O48" s="2716"/>
      <c r="P48" s="3742" t="str">
        <f>A48</f>
        <v>成交单价（元/平方米）</v>
      </c>
      <c r="Q48" s="3731"/>
      <c r="R48" s="3732">
        <f>E48</f>
        <v>43000</v>
      </c>
      <c r="S48" s="3732"/>
      <c r="T48" s="3732">
        <f>G48</f>
        <v>43000</v>
      </c>
      <c r="U48" s="3732"/>
      <c r="V48" s="3732">
        <f>I48</f>
        <v>43000</v>
      </c>
      <c r="W48" s="3732"/>
      <c r="X48" s="397"/>
      <c r="Y48" s="712"/>
      <c r="Z48" s="397"/>
      <c r="AA48" s="397"/>
      <c r="AB48" s="397"/>
      <c r="AC48" s="578"/>
    </row>
    <row r="49" spans="1:29" ht="15.75" thickBot="1">
      <c r="A49" s="437" t="s">
        <v>1793</v>
      </c>
      <c r="B49" s="438"/>
      <c r="C49" s="1160">
        <f>R50</f>
        <v>43000</v>
      </c>
      <c r="D49" s="2317" t="s">
        <v>2138</v>
      </c>
      <c r="E49" s="1161">
        <f>R49</f>
        <v>43000</v>
      </c>
      <c r="F49" s="2318"/>
      <c r="G49" s="1160">
        <f>T49</f>
        <v>43000</v>
      </c>
      <c r="H49" s="2318"/>
      <c r="I49" s="1161">
        <f>V49</f>
        <v>43000</v>
      </c>
      <c r="J49" s="2318"/>
      <c r="K49" s="2320">
        <f>F49+H49+J49</f>
        <v>0</v>
      </c>
      <c r="L49" s="2724"/>
      <c r="M49" s="2716"/>
      <c r="N49" s="2716"/>
      <c r="O49" s="2716"/>
      <c r="P49" s="3742" t="str">
        <f>A49</f>
        <v>比较价值（元/平方米）</v>
      </c>
      <c r="Q49" s="3731"/>
      <c r="R49" s="3732">
        <f>IF(F1="售价",ROUND(PRODUCT(R48,AA7:AA47),0),ROUND(PRODUCT(R48,AA7:AA47),1))</f>
        <v>43000</v>
      </c>
      <c r="S49" s="3732"/>
      <c r="T49" s="3732">
        <f>IF(F1="售价",ROUND(PRODUCT(T48,AB7:AB47),0),ROUND(PRODUCT(T48,AB7:AB47),1))</f>
        <v>43000</v>
      </c>
      <c r="U49" s="3732"/>
      <c r="V49" s="3732">
        <f>IF(F1="售价",ROUND(PRODUCT(V48,AC7:AC47),0),ROUND(PRODUCT(V48,AC7:AC47),1))</f>
        <v>43000</v>
      </c>
      <c r="W49" s="3732"/>
      <c r="X49" s="397"/>
      <c r="Y49" s="397"/>
      <c r="Z49" s="397"/>
      <c r="AA49" s="397"/>
      <c r="AB49" s="397"/>
      <c r="AC49" s="578"/>
    </row>
    <row r="50" spans="1:29" ht="15.75" thickBot="1">
      <c r="A50" s="441" t="s">
        <v>1794</v>
      </c>
      <c r="B50" s="442"/>
      <c r="C50" s="1163">
        <f>R50</f>
        <v>43000</v>
      </c>
      <c r="D50" s="1163"/>
      <c r="E50" s="1163"/>
      <c r="F50" s="1163"/>
      <c r="G50" s="1163"/>
      <c r="H50" s="1163"/>
      <c r="I50" s="1163"/>
      <c r="J50" s="443"/>
      <c r="K50" s="715"/>
      <c r="L50" s="2724"/>
      <c r="M50" s="2716"/>
      <c r="N50" s="2716"/>
      <c r="O50" s="2716"/>
      <c r="P50" s="3774" t="str">
        <f>A50</f>
        <v>估价对象XX用房的比较价值（楼面单价，元/平方米）</v>
      </c>
      <c r="Q50" s="3775"/>
      <c r="R50" s="3776">
        <f>IF(F1="售价",ROUND(IF(D49="简单平均",AVERAGE(R49:V49),R49*F49+T49*H49+V49*J49),0),ROUND(IF(D49="简单平均",AVERAGE(R49:V49),R49*F49+T49*H49+V49*J49),1))</f>
        <v>43000</v>
      </c>
      <c r="S50" s="3776"/>
      <c r="T50" s="3776"/>
      <c r="U50" s="3776"/>
      <c r="V50" s="3776"/>
      <c r="W50" s="377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67463.599999999977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913"/>
      <c r="M4" s="914"/>
      <c r="N4" s="914"/>
      <c r="O4" s="914"/>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765" t="s">
        <v>1673</v>
      </c>
      <c r="D5" s="3766"/>
      <c r="E5" s="3772" t="s">
        <v>1674</v>
      </c>
      <c r="F5" s="3773"/>
      <c r="G5" s="3765" t="s">
        <v>1675</v>
      </c>
      <c r="H5" s="3766"/>
      <c r="I5" s="3765" t="s">
        <v>1676</v>
      </c>
      <c r="J5" s="3766"/>
      <c r="K5" s="559"/>
      <c r="L5" s="913"/>
      <c r="M5" s="914"/>
      <c r="N5" s="914"/>
      <c r="O5" s="914"/>
      <c r="P5" s="3752"/>
      <c r="Q5" s="3753"/>
      <c r="R5" s="3758"/>
      <c r="S5" s="3759"/>
      <c r="T5" s="3758"/>
      <c r="U5" s="3759"/>
      <c r="V5" s="3762"/>
      <c r="W5" s="3762"/>
      <c r="X5" s="1355"/>
      <c r="Y5" s="3758"/>
      <c r="Z5" s="3759"/>
      <c r="AA5" s="3744"/>
      <c r="AB5" s="3744"/>
      <c r="AC5" s="3744"/>
    </row>
    <row r="6" spans="1:29" ht="15.75" thickBot="1">
      <c r="A6" s="360"/>
      <c r="B6" s="361"/>
      <c r="C6" s="3763" t="s">
        <v>1677</v>
      </c>
      <c r="D6" s="3764"/>
      <c r="E6" s="3770" t="s">
        <v>1677</v>
      </c>
      <c r="F6" s="3771"/>
      <c r="G6" s="3763" t="s">
        <v>1677</v>
      </c>
      <c r="H6" s="3764"/>
      <c r="I6" s="3763" t="s">
        <v>1677</v>
      </c>
      <c r="J6" s="3764"/>
      <c r="K6" s="559" t="s">
        <v>1678</v>
      </c>
      <c r="L6" s="913"/>
      <c r="M6" s="914"/>
      <c r="N6" s="914"/>
      <c r="O6" s="914"/>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44936</v>
      </c>
      <c r="D7" s="365">
        <v>100</v>
      </c>
      <c r="E7" s="366"/>
      <c r="F7" s="367">
        <f>SUMIF(52:52,YEAR(E7)&amp;"-"&amp;MONTH(E7),53:53)</f>
        <v>0</v>
      </c>
      <c r="G7" s="366"/>
      <c r="H7" s="365">
        <f>SUMIF(52:52,YEAR(G7)&amp;"-"&amp;MONTH(G7),53:53)</f>
        <v>0</v>
      </c>
      <c r="I7" s="366"/>
      <c r="J7" s="365">
        <f>SUMIF(52:52,YEAR(I7)&amp;"-"&amp;MONTH(I7),53:53)</f>
        <v>0</v>
      </c>
      <c r="K7" s="560"/>
      <c r="L7" s="915"/>
      <c r="M7" s="916"/>
      <c r="N7" s="916"/>
      <c r="O7" s="916"/>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7" t="s">
        <v>1683</v>
      </c>
      <c r="Q8" s="3768"/>
      <c r="R8" s="701" t="s">
        <v>14</v>
      </c>
      <c r="S8" s="702">
        <f t="shared" si="0"/>
        <v>100</v>
      </c>
      <c r="T8" s="701" t="s">
        <v>14</v>
      </c>
      <c r="U8" s="702">
        <f t="shared" si="1"/>
        <v>100</v>
      </c>
      <c r="V8" s="701" t="s">
        <v>14</v>
      </c>
      <c r="W8" s="702">
        <f t="shared" si="2"/>
        <v>100</v>
      </c>
      <c r="X8" s="703"/>
      <c r="Y8" s="3767" t="s">
        <v>1683</v>
      </c>
      <c r="Z8" s="37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9" t="s">
        <v>1696</v>
      </c>
      <c r="Q29" s="1352" t="str">
        <f t="shared" si="11"/>
        <v>建筑类型</v>
      </c>
      <c r="R29" s="705" t="s">
        <v>14</v>
      </c>
      <c r="S29" s="706">
        <f t="shared" si="12"/>
        <v>100</v>
      </c>
      <c r="T29" s="705" t="s">
        <v>14</v>
      </c>
      <c r="U29" s="706">
        <f t="shared" si="13"/>
        <v>100</v>
      </c>
      <c r="V29" s="705" t="s">
        <v>14</v>
      </c>
      <c r="W29" s="706">
        <f t="shared" si="14"/>
        <v>100</v>
      </c>
      <c r="X29" s="1355"/>
      <c r="Y29" s="37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1696</v>
      </c>
      <c r="Q35" s="1352" t="str">
        <f t="shared" si="11"/>
        <v>市政基础设施</v>
      </c>
      <c r="R35" s="705" t="s">
        <v>14</v>
      </c>
      <c r="S35" s="706">
        <f t="shared" si="12"/>
        <v>100</v>
      </c>
      <c r="T35" s="705" t="s">
        <v>14</v>
      </c>
      <c r="U35" s="706">
        <f t="shared" si="13"/>
        <v>100</v>
      </c>
      <c r="V35" s="705" t="s">
        <v>14</v>
      </c>
      <c r="W35" s="706">
        <f t="shared" si="14"/>
        <v>100</v>
      </c>
      <c r="X35" s="1355"/>
      <c r="Y35" s="37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5"/>
      <c r="M4" s="2716"/>
      <c r="N4" s="2716"/>
      <c r="O4" s="2716"/>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765" t="s">
        <v>1673</v>
      </c>
      <c r="D5" s="3766"/>
      <c r="E5" s="3772" t="s">
        <v>1674</v>
      </c>
      <c r="F5" s="3773"/>
      <c r="G5" s="3765" t="s">
        <v>1675</v>
      </c>
      <c r="H5" s="3766"/>
      <c r="I5" s="3765" t="s">
        <v>1676</v>
      </c>
      <c r="J5" s="3766"/>
      <c r="K5" s="559"/>
      <c r="L5" s="2715"/>
      <c r="M5" s="2716"/>
      <c r="N5" s="2716"/>
      <c r="O5" s="2716"/>
      <c r="P5" s="3752"/>
      <c r="Q5" s="3753"/>
      <c r="R5" s="3758"/>
      <c r="S5" s="3759"/>
      <c r="T5" s="3758"/>
      <c r="U5" s="3759"/>
      <c r="V5" s="3762"/>
      <c r="W5" s="3762"/>
      <c r="X5" s="1355"/>
      <c r="Y5" s="3758"/>
      <c r="Z5" s="3759"/>
      <c r="AA5" s="3744"/>
      <c r="AB5" s="3744"/>
      <c r="AC5" s="3744"/>
    </row>
    <row r="6" spans="1:29" ht="15.75" thickBot="1">
      <c r="A6" s="360"/>
      <c r="B6" s="361"/>
      <c r="C6" s="3763" t="s">
        <v>1677</v>
      </c>
      <c r="D6" s="3764"/>
      <c r="E6" s="3770" t="s">
        <v>1677</v>
      </c>
      <c r="F6" s="3771"/>
      <c r="G6" s="3763" t="s">
        <v>1677</v>
      </c>
      <c r="H6" s="3764"/>
      <c r="I6" s="3763" t="s">
        <v>1677</v>
      </c>
      <c r="J6" s="3764"/>
      <c r="K6" s="559" t="s">
        <v>1678</v>
      </c>
      <c r="L6" s="2715"/>
      <c r="M6" s="2716"/>
      <c r="N6" s="2716"/>
      <c r="O6" s="2716"/>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67" t="s">
        <v>1680</v>
      </c>
      <c r="Q7" s="3769"/>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67" t="s">
        <v>1683</v>
      </c>
      <c r="Q8" s="3768"/>
      <c r="R8" s="701" t="s">
        <v>14</v>
      </c>
      <c r="S8" s="702">
        <f t="shared" si="0"/>
        <v>100</v>
      </c>
      <c r="T8" s="701" t="s">
        <v>14</v>
      </c>
      <c r="U8" s="702">
        <f t="shared" si="1"/>
        <v>100</v>
      </c>
      <c r="V8" s="701" t="s">
        <v>14</v>
      </c>
      <c r="W8" s="702">
        <f t="shared" si="2"/>
        <v>100</v>
      </c>
      <c r="X8" s="703"/>
      <c r="Y8" s="3767" t="s">
        <v>1683</v>
      </c>
      <c r="Z8" s="37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1" t="s">
        <v>1686</v>
      </c>
      <c r="Q9" s="1343" t="str">
        <f t="shared" ref="Q9:Q14" si="6">B9</f>
        <v>用途</v>
      </c>
      <c r="R9" s="701" t="s">
        <v>14</v>
      </c>
      <c r="S9" s="702">
        <f t="shared" si="0"/>
        <v>100</v>
      </c>
      <c r="T9" s="701" t="s">
        <v>14</v>
      </c>
      <c r="U9" s="702">
        <f t="shared" si="1"/>
        <v>100</v>
      </c>
      <c r="V9" s="701" t="s">
        <v>14</v>
      </c>
      <c r="W9" s="702">
        <f t="shared" si="2"/>
        <v>100</v>
      </c>
      <c r="X9" s="703"/>
      <c r="Y9" s="3587"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731"/>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1"/>
      <c r="Q11" s="1343">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1"/>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1"/>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4"/>
      <c r="Q15" s="1352"/>
      <c r="R15" s="705"/>
      <c r="S15" s="706"/>
      <c r="T15" s="705"/>
      <c r="U15" s="706"/>
      <c r="V15" s="705"/>
      <c r="W15" s="706"/>
      <c r="X15" s="1355"/>
      <c r="Y15" s="373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4"/>
      <c r="Q17" s="1352"/>
      <c r="R17" s="705"/>
      <c r="S17" s="706"/>
      <c r="T17" s="705"/>
      <c r="U17" s="706"/>
      <c r="V17" s="705"/>
      <c r="W17" s="706"/>
      <c r="X17" s="1355"/>
      <c r="Y17" s="373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4"/>
      <c r="Q19" s="1352"/>
      <c r="R19" s="705"/>
      <c r="S19" s="706"/>
      <c r="T19" s="705"/>
      <c r="U19" s="706"/>
      <c r="V19" s="705"/>
      <c r="W19" s="706"/>
      <c r="X19" s="1355"/>
      <c r="Y19" s="373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4"/>
      <c r="Q21" s="1352"/>
      <c r="R21" s="705"/>
      <c r="S21" s="706"/>
      <c r="T21" s="705"/>
      <c r="U21" s="706"/>
      <c r="V21" s="705"/>
      <c r="W21" s="706"/>
      <c r="X21" s="1355"/>
      <c r="Y21" s="37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8" t="s">
        <v>1696</v>
      </c>
      <c r="Q32" s="1352" t="str">
        <f t="shared" si="11"/>
        <v>车位类型</v>
      </c>
      <c r="R32" s="705" t="s">
        <v>14</v>
      </c>
      <c r="S32" s="706">
        <f t="shared" si="12"/>
        <v>100</v>
      </c>
      <c r="T32" s="705" t="s">
        <v>14</v>
      </c>
      <c r="U32" s="706">
        <f t="shared" si="13"/>
        <v>100</v>
      </c>
      <c r="V32" s="705" t="s">
        <v>14</v>
      </c>
      <c r="W32" s="706">
        <f t="shared" si="14"/>
        <v>100</v>
      </c>
      <c r="X32" s="1355"/>
      <c r="Y32" s="37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90" t="e">
        <f>IF(F1="售价",ROUND(IF(D38="简单平均",AVERAGE(R38:W38),R38*F38+T38*H38+V38*J38),0),ROUND(IF(D38="简单平均",AVERAGE(R38:V38),R38*F38+T38*H38+V38*J38),1))</f>
        <v>#DIV/0!</v>
      </c>
      <c r="S39" s="3790"/>
      <c r="T39" s="3790"/>
      <c r="U39" s="3790"/>
      <c r="V39" s="3790"/>
      <c r="W39" s="379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5"/>
      <c r="M4" s="2716"/>
      <c r="N4" s="2716"/>
      <c r="O4" s="2716"/>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765" t="s">
        <v>1673</v>
      </c>
      <c r="D5" s="3766"/>
      <c r="E5" s="3772" t="s">
        <v>1674</v>
      </c>
      <c r="F5" s="3773"/>
      <c r="G5" s="3765" t="s">
        <v>1675</v>
      </c>
      <c r="H5" s="3766"/>
      <c r="I5" s="3765" t="s">
        <v>1676</v>
      </c>
      <c r="J5" s="3766"/>
      <c r="K5" s="559"/>
      <c r="L5" s="2715"/>
      <c r="M5" s="2716"/>
      <c r="N5" s="2716"/>
      <c r="O5" s="2716"/>
      <c r="P5" s="3752"/>
      <c r="Q5" s="3753"/>
      <c r="R5" s="3758"/>
      <c r="S5" s="3759"/>
      <c r="T5" s="3758"/>
      <c r="U5" s="3759"/>
      <c r="V5" s="3762"/>
      <c r="W5" s="3762"/>
      <c r="X5" s="1355"/>
      <c r="Y5" s="3758"/>
      <c r="Z5" s="3759"/>
      <c r="AA5" s="3744"/>
      <c r="AB5" s="3744"/>
      <c r="AC5" s="3744"/>
    </row>
    <row r="6" spans="1:29" ht="15.75" thickBot="1">
      <c r="A6" s="360"/>
      <c r="B6" s="361"/>
      <c r="C6" s="3763" t="s">
        <v>1677</v>
      </c>
      <c r="D6" s="3764"/>
      <c r="E6" s="3770" t="s">
        <v>1677</v>
      </c>
      <c r="F6" s="3771"/>
      <c r="G6" s="3763" t="s">
        <v>1677</v>
      </c>
      <c r="H6" s="3764"/>
      <c r="I6" s="3763" t="s">
        <v>1677</v>
      </c>
      <c r="J6" s="3764"/>
      <c r="K6" s="559" t="s">
        <v>1678</v>
      </c>
      <c r="L6" s="2715"/>
      <c r="M6" s="2716"/>
      <c r="N6" s="2716"/>
      <c r="O6" s="2716"/>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67" t="s">
        <v>1680</v>
      </c>
      <c r="Q7" s="3769"/>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67" t="s">
        <v>1683</v>
      </c>
      <c r="Q8" s="3768"/>
      <c r="R8" s="701" t="s">
        <v>14</v>
      </c>
      <c r="S8" s="702">
        <f t="shared" si="0"/>
        <v>100</v>
      </c>
      <c r="T8" s="701" t="s">
        <v>14</v>
      </c>
      <c r="U8" s="702">
        <f t="shared" si="1"/>
        <v>100</v>
      </c>
      <c r="V8" s="701" t="s">
        <v>14</v>
      </c>
      <c r="W8" s="702">
        <f t="shared" si="2"/>
        <v>100</v>
      </c>
      <c r="X8" s="703"/>
      <c r="Y8" s="3767" t="s">
        <v>1683</v>
      </c>
      <c r="Z8" s="37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1" t="s">
        <v>1686</v>
      </c>
      <c r="Q9" s="1343" t="str">
        <f t="shared" ref="Q9:Q14" si="6">B9</f>
        <v>用途</v>
      </c>
      <c r="R9" s="701" t="s">
        <v>14</v>
      </c>
      <c r="S9" s="702">
        <f t="shared" si="0"/>
        <v>100</v>
      </c>
      <c r="T9" s="701" t="s">
        <v>14</v>
      </c>
      <c r="U9" s="702">
        <f t="shared" si="1"/>
        <v>100</v>
      </c>
      <c r="V9" s="701" t="s">
        <v>14</v>
      </c>
      <c r="W9" s="702">
        <f t="shared" si="2"/>
        <v>100</v>
      </c>
      <c r="X9" s="703"/>
      <c r="Y9" s="3587"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731"/>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1"/>
      <c r="Q11" s="1343">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4"/>
      <c r="Q15" s="1352"/>
      <c r="R15" s="705"/>
      <c r="S15" s="706"/>
      <c r="T15" s="705"/>
      <c r="U15" s="706"/>
      <c r="V15" s="705"/>
      <c r="W15" s="706"/>
      <c r="X15" s="1355"/>
      <c r="Y15" s="373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4"/>
      <c r="Q17" s="1352"/>
      <c r="R17" s="705"/>
      <c r="S17" s="706"/>
      <c r="T17" s="705"/>
      <c r="U17" s="706"/>
      <c r="V17" s="705"/>
      <c r="W17" s="706"/>
      <c r="X17" s="1355"/>
      <c r="Y17" s="373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4"/>
      <c r="Q19" s="1352"/>
      <c r="R19" s="705"/>
      <c r="S19" s="706"/>
      <c r="T19" s="705"/>
      <c r="U19" s="706"/>
      <c r="V19" s="705"/>
      <c r="W19" s="706"/>
      <c r="X19" s="1355"/>
      <c r="Y19" s="373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4"/>
      <c r="Q21" s="1352"/>
      <c r="R21" s="705"/>
      <c r="S21" s="706"/>
      <c r="T21" s="705"/>
      <c r="U21" s="706"/>
      <c r="V21" s="705"/>
      <c r="W21" s="706"/>
      <c r="X21" s="1355"/>
      <c r="Y21" s="37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8" t="s">
        <v>1696</v>
      </c>
      <c r="Q32" s="1352">
        <f t="shared" si="11"/>
        <v>111</v>
      </c>
      <c r="R32" s="705" t="s">
        <v>14</v>
      </c>
      <c r="S32" s="706">
        <f t="shared" si="12"/>
        <v>100</v>
      </c>
      <c r="T32" s="705" t="s">
        <v>14</v>
      </c>
      <c r="U32" s="706">
        <f t="shared" si="13"/>
        <v>100</v>
      </c>
      <c r="V32" s="705" t="s">
        <v>14</v>
      </c>
      <c r="W32" s="706">
        <f t="shared" si="14"/>
        <v>100</v>
      </c>
      <c r="X32" s="1355"/>
      <c r="Y32" s="37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90" t="e">
        <f>IF(F1="售价",ROUND(IF(D36="简单平均",AVERAGE(R36:W36),R36*F36+T36*H36+V36*J36),0),ROUND(IF(D36="简单平均",AVERAGE(R36:V36),R36*F36+T36*H36+V36*J36),1))</f>
        <v>#DIV/0!</v>
      </c>
      <c r="S37" s="3790"/>
      <c r="T37" s="3790"/>
      <c r="U37" s="3790"/>
      <c r="V37" s="3790"/>
      <c r="W37" s="379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46" t="s">
        <v>1770</v>
      </c>
      <c r="D4" s="3747"/>
      <c r="E4" s="3748" t="s">
        <v>1771</v>
      </c>
      <c r="F4" s="3749"/>
      <c r="G4" s="3746" t="s">
        <v>1772</v>
      </c>
      <c r="H4" s="3747"/>
      <c r="I4" s="3746" t="s">
        <v>1773</v>
      </c>
      <c r="J4" s="3747"/>
      <c r="K4" s="559" t="s">
        <v>1774</v>
      </c>
      <c r="L4" s="2715"/>
      <c r="M4" s="2716"/>
      <c r="N4" s="2716"/>
      <c r="O4" s="2716"/>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30" ht="15">
      <c r="A5" s="358"/>
      <c r="B5" s="359"/>
      <c r="C5" s="3765" t="s">
        <v>1673</v>
      </c>
      <c r="D5" s="3766"/>
      <c r="E5" s="3772" t="s">
        <v>1674</v>
      </c>
      <c r="F5" s="3773"/>
      <c r="G5" s="3765" t="s">
        <v>1675</v>
      </c>
      <c r="H5" s="3766"/>
      <c r="I5" s="3765" t="s">
        <v>1676</v>
      </c>
      <c r="J5" s="3766"/>
      <c r="K5" s="559"/>
      <c r="L5" s="2715"/>
      <c r="M5" s="2716"/>
      <c r="N5" s="2716"/>
      <c r="O5" s="2716"/>
      <c r="P5" s="3752"/>
      <c r="Q5" s="3753"/>
      <c r="R5" s="3758"/>
      <c r="S5" s="3759"/>
      <c r="T5" s="3758"/>
      <c r="U5" s="3759"/>
      <c r="V5" s="3762"/>
      <c r="W5" s="3762"/>
      <c r="X5" s="1355"/>
      <c r="Y5" s="3758"/>
      <c r="Z5" s="3759"/>
      <c r="AA5" s="3744"/>
      <c r="AB5" s="3744"/>
      <c r="AC5" s="3744"/>
    </row>
    <row r="6" spans="1:30" ht="15.75" thickBot="1">
      <c r="A6" s="360"/>
      <c r="B6" s="361"/>
      <c r="C6" s="3763" t="s">
        <v>1677</v>
      </c>
      <c r="D6" s="3764"/>
      <c r="E6" s="3770" t="s">
        <v>1677</v>
      </c>
      <c r="F6" s="3771"/>
      <c r="G6" s="3763" t="s">
        <v>1677</v>
      </c>
      <c r="H6" s="3764"/>
      <c r="I6" s="3763" t="s">
        <v>1677</v>
      </c>
      <c r="J6" s="3764"/>
      <c r="K6" s="559" t="s">
        <v>1678</v>
      </c>
      <c r="L6" s="2715"/>
      <c r="M6" s="2716"/>
      <c r="N6" s="2716"/>
      <c r="O6" s="2716"/>
      <c r="P6" s="3754"/>
      <c r="Q6" s="3755"/>
      <c r="R6" s="3758"/>
      <c r="S6" s="3759"/>
      <c r="T6" s="3760"/>
      <c r="U6" s="3761"/>
      <c r="V6" s="3762"/>
      <c r="W6" s="3762"/>
      <c r="X6" s="1355"/>
      <c r="Y6" s="3760"/>
      <c r="Z6" s="3761"/>
      <c r="AA6" s="3745"/>
      <c r="AB6" s="3745"/>
      <c r="AC6" s="3745"/>
    </row>
    <row r="7" spans="1:30" s="108" customFormat="1" ht="15.75" thickBot="1">
      <c r="A7" s="362" t="s">
        <v>1679</v>
      </c>
      <c r="B7" s="363"/>
      <c r="C7" s="364">
        <f>'数据-取费表'!B2</f>
        <v>44936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67" t="s">
        <v>1683</v>
      </c>
      <c r="Q8" s="3768"/>
      <c r="R8" s="701" t="s">
        <v>14</v>
      </c>
      <c r="S8" s="702">
        <f t="shared" si="0"/>
        <v>0</v>
      </c>
      <c r="T8" s="701" t="s">
        <v>14</v>
      </c>
      <c r="U8" s="702">
        <f t="shared" si="1"/>
        <v>0</v>
      </c>
      <c r="V8" s="701" t="s">
        <v>14</v>
      </c>
      <c r="W8" s="702">
        <f t="shared" si="2"/>
        <v>0</v>
      </c>
      <c r="X8" s="703"/>
      <c r="Y8" s="3767" t="s">
        <v>1683</v>
      </c>
      <c r="Z8" s="37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731"/>
      <c r="Q10" s="1343" t="str">
        <f t="shared" si="6"/>
        <v>土地使用年限（年）</v>
      </c>
      <c r="R10" s="701" t="s">
        <v>14</v>
      </c>
      <c r="S10" s="702">
        <f t="shared" si="0"/>
        <v>105</v>
      </c>
      <c r="T10" s="701" t="s">
        <v>14</v>
      </c>
      <c r="U10" s="702">
        <f t="shared" si="1"/>
        <v>105</v>
      </c>
      <c r="V10" s="701" t="s">
        <v>14</v>
      </c>
      <c r="W10" s="702">
        <f t="shared" si="2"/>
        <v>105</v>
      </c>
      <c r="X10" s="703"/>
      <c r="Y10" s="3587"/>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1"/>
      <c r="Q12" s="1343" t="str">
        <f t="shared" si="6"/>
        <v>配建</v>
      </c>
      <c r="R12" s="701" t="s">
        <v>14</v>
      </c>
      <c r="S12" s="702">
        <f t="shared" si="0"/>
        <v>100</v>
      </c>
      <c r="T12" s="701" t="s">
        <v>14</v>
      </c>
      <c r="U12" s="702">
        <f t="shared" si="1"/>
        <v>100</v>
      </c>
      <c r="V12" s="701" t="s">
        <v>14</v>
      </c>
      <c r="W12" s="702">
        <f t="shared" si="2"/>
        <v>100</v>
      </c>
      <c r="X12" s="703"/>
      <c r="Y12" s="358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58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58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4"/>
      <c r="Q20" s="1352"/>
      <c r="R20" s="705"/>
      <c r="S20" s="706"/>
      <c r="T20" s="705"/>
      <c r="U20" s="706"/>
      <c r="V20" s="705"/>
      <c r="W20" s="706"/>
      <c r="X20" s="1355"/>
      <c r="Y20" s="373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4"/>
      <c r="Q24" s="1352"/>
      <c r="R24" s="705"/>
      <c r="S24" s="706"/>
      <c r="T24" s="705"/>
      <c r="U24" s="706"/>
      <c r="V24" s="705"/>
      <c r="W24" s="706"/>
      <c r="X24" s="1355"/>
      <c r="Y24" s="373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4"/>
      <c r="Q26" s="1352"/>
      <c r="R26" s="705"/>
      <c r="S26" s="706"/>
      <c r="T26" s="705"/>
      <c r="U26" s="706"/>
      <c r="V26" s="705"/>
      <c r="W26" s="706"/>
      <c r="X26" s="1355"/>
      <c r="Y26" s="373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4"/>
      <c r="Q28" s="1343"/>
      <c r="R28" s="701"/>
      <c r="S28" s="702"/>
      <c r="T28" s="701"/>
      <c r="U28" s="702"/>
      <c r="V28" s="701"/>
      <c r="W28" s="702"/>
      <c r="X28" s="703"/>
      <c r="Y28" s="373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4"/>
      <c r="Q30" s="1343"/>
      <c r="R30" s="701"/>
      <c r="S30" s="702"/>
      <c r="T30" s="701"/>
      <c r="U30" s="702"/>
      <c r="V30" s="701"/>
      <c r="W30" s="702"/>
      <c r="X30" s="703"/>
      <c r="Y30" s="37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4"/>
      <c r="Q33" s="1352"/>
      <c r="R33" s="705"/>
      <c r="S33" s="706"/>
      <c r="T33" s="705"/>
      <c r="U33" s="706"/>
      <c r="V33" s="705"/>
      <c r="W33" s="706"/>
      <c r="X33" s="1355"/>
      <c r="Y33" s="37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9" t="s">
        <v>1696</v>
      </c>
      <c r="Q36" s="1352">
        <f t="shared" si="8"/>
        <v>111</v>
      </c>
      <c r="R36" s="705" t="s">
        <v>14</v>
      </c>
      <c r="S36" s="706">
        <f t="shared" si="10"/>
        <v>100</v>
      </c>
      <c r="T36" s="705" t="s">
        <v>14</v>
      </c>
      <c r="U36" s="706">
        <f t="shared" si="11"/>
        <v>100</v>
      </c>
      <c r="V36" s="705" t="s">
        <v>14</v>
      </c>
      <c r="W36" s="706">
        <f t="shared" si="12"/>
        <v>100</v>
      </c>
      <c r="X36" s="1355"/>
      <c r="Y36" s="373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8" t="s">
        <v>1696</v>
      </c>
      <c r="Q42" s="1352" t="str">
        <f t="shared" si="14"/>
        <v>工程地质条件</v>
      </c>
      <c r="R42" s="705" t="s">
        <v>14</v>
      </c>
      <c r="S42" s="706">
        <f t="shared" si="10"/>
        <v>100</v>
      </c>
      <c r="T42" s="705" t="s">
        <v>14</v>
      </c>
      <c r="U42" s="706">
        <f t="shared" si="11"/>
        <v>100</v>
      </c>
      <c r="V42" s="705" t="s">
        <v>14</v>
      </c>
      <c r="W42" s="706">
        <f t="shared" si="12"/>
        <v>100</v>
      </c>
      <c r="X42" s="1355"/>
      <c r="Y42" s="37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1" t="str">
        <f>A46</f>
        <v>成交单价</v>
      </c>
      <c r="Q46" s="3731"/>
      <c r="R46" s="3762">
        <f>E46</f>
        <v>0</v>
      </c>
      <c r="S46" s="3762"/>
      <c r="T46" s="3762">
        <f>G46</f>
        <v>0</v>
      </c>
      <c r="U46" s="3762"/>
      <c r="V46" s="3762">
        <f>I46</f>
        <v>0</v>
      </c>
      <c r="W46" s="376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1" t="str">
        <f>A47</f>
        <v>比较价值（元/平方米）</v>
      </c>
      <c r="Q47" s="3731"/>
      <c r="R47" s="3791" t="e">
        <f>ROUND(PRODUCT(R46,AA7:AA45),0)</f>
        <v>#DIV/0!</v>
      </c>
      <c r="S47" s="3791"/>
      <c r="T47" s="3791" t="e">
        <f>ROUND(PRODUCT(T46,AB7:AB45),0)</f>
        <v>#DIV/0!</v>
      </c>
      <c r="U47" s="3791"/>
      <c r="V47" s="3791" t="e">
        <f>ROUND(PRODUCT(V46,AC7:AC45),0)</f>
        <v>#DIV/0!</v>
      </c>
      <c r="W47" s="379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92" t="e">
        <f>ROUND(IF(D47="简单平均",AVERAGE(R47:W47),R47*F47+T47*H47+V47*J47),0)</f>
        <v>#DIV/0!</v>
      </c>
      <c r="S48" s="3792"/>
      <c r="T48" s="3792"/>
      <c r="U48" s="3792"/>
      <c r="V48" s="3792"/>
      <c r="W48" s="379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6" t="s">
        <v>1887</v>
      </c>
      <c r="H55" s="379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67463.599999999977</v>
      </c>
      <c r="F56" s="886" t="e">
        <f t="shared" ref="F56:F64" si="15">ROUND(B56*E56/10000,0)</f>
        <v>#DIV/0!</v>
      </c>
      <c r="G56" s="3742"/>
      <c r="H56" s="373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67463.599999999977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5"/>
      <c r="M4" s="2716"/>
      <c r="N4" s="2716"/>
      <c r="O4" s="2716"/>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765" t="s">
        <v>1673</v>
      </c>
      <c r="D5" s="3766"/>
      <c r="E5" s="3772" t="s">
        <v>1674</v>
      </c>
      <c r="F5" s="3773"/>
      <c r="G5" s="3765" t="s">
        <v>1675</v>
      </c>
      <c r="H5" s="3766"/>
      <c r="I5" s="3765" t="s">
        <v>1676</v>
      </c>
      <c r="J5" s="3766"/>
      <c r="K5" s="559"/>
      <c r="L5" s="2715"/>
      <c r="M5" s="2716"/>
      <c r="N5" s="2716"/>
      <c r="O5" s="2716"/>
      <c r="P5" s="3752"/>
      <c r="Q5" s="3753"/>
      <c r="R5" s="3758"/>
      <c r="S5" s="3759"/>
      <c r="T5" s="3758"/>
      <c r="U5" s="3759"/>
      <c r="V5" s="3762"/>
      <c r="W5" s="3762"/>
      <c r="X5" s="1355"/>
      <c r="Y5" s="3758"/>
      <c r="Z5" s="3759"/>
      <c r="AA5" s="3744"/>
      <c r="AB5" s="3744"/>
      <c r="AC5" s="3744"/>
    </row>
    <row r="6" spans="1:29" ht="15.75" thickBot="1">
      <c r="A6" s="360"/>
      <c r="B6" s="361"/>
      <c r="C6" s="3794" t="s">
        <v>1919</v>
      </c>
      <c r="D6" s="3795"/>
      <c r="E6" s="3796" t="s">
        <v>1919</v>
      </c>
      <c r="F6" s="3797"/>
      <c r="G6" s="3794" t="s">
        <v>1919</v>
      </c>
      <c r="H6" s="3795"/>
      <c r="I6" s="3794" t="s">
        <v>1919</v>
      </c>
      <c r="J6" s="3795"/>
      <c r="K6" s="559" t="s">
        <v>1678</v>
      </c>
      <c r="L6" s="2715"/>
      <c r="M6" s="2716"/>
      <c r="N6" s="2716"/>
      <c r="O6" s="2716"/>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67" t="s">
        <v>1683</v>
      </c>
      <c r="Q8" s="3768"/>
      <c r="R8" s="701" t="s">
        <v>14</v>
      </c>
      <c r="S8" s="702">
        <f t="shared" si="0"/>
        <v>0</v>
      </c>
      <c r="T8" s="701" t="s">
        <v>14</v>
      </c>
      <c r="U8" s="702">
        <f t="shared" si="1"/>
        <v>0</v>
      </c>
      <c r="V8" s="701" t="s">
        <v>14</v>
      </c>
      <c r="W8" s="702">
        <f t="shared" si="2"/>
        <v>0</v>
      </c>
      <c r="X8" s="703"/>
      <c r="Y8" s="3767" t="s">
        <v>1683</v>
      </c>
      <c r="Z8" s="37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731"/>
      <c r="Q10" s="1343" t="str">
        <f t="shared" si="6"/>
        <v>土地使用年限（年）</v>
      </c>
      <c r="R10" s="701" t="s">
        <v>14</v>
      </c>
      <c r="S10" s="702">
        <f t="shared" si="0"/>
        <v>105</v>
      </c>
      <c r="T10" s="701" t="s">
        <v>14</v>
      </c>
      <c r="U10" s="702">
        <f t="shared" si="1"/>
        <v>105</v>
      </c>
      <c r="V10" s="701" t="s">
        <v>14</v>
      </c>
      <c r="W10" s="702">
        <f t="shared" si="2"/>
        <v>105</v>
      </c>
      <c r="X10" s="703"/>
      <c r="Y10" s="3587"/>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4"/>
      <c r="Q20" s="1352"/>
      <c r="R20" s="705"/>
      <c r="S20" s="706"/>
      <c r="T20" s="705"/>
      <c r="U20" s="706"/>
      <c r="V20" s="705"/>
      <c r="W20" s="706"/>
      <c r="X20" s="1355"/>
      <c r="Y20" s="373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4"/>
      <c r="Q24" s="1343"/>
      <c r="R24" s="701"/>
      <c r="S24" s="702"/>
      <c r="T24" s="701"/>
      <c r="U24" s="702"/>
      <c r="V24" s="701"/>
      <c r="W24" s="702"/>
      <c r="X24" s="703"/>
      <c r="Y24" s="373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4"/>
      <c r="Q26" s="1343"/>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4"/>
      <c r="Q29" s="1352"/>
      <c r="R29" s="705"/>
      <c r="S29" s="706"/>
      <c r="T29" s="705"/>
      <c r="U29" s="706"/>
      <c r="V29" s="705"/>
      <c r="W29" s="706"/>
      <c r="X29" s="1355"/>
      <c r="Y29" s="37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9" t="s">
        <v>1696</v>
      </c>
      <c r="Q32" s="1352">
        <f t="shared" si="8"/>
        <v>111</v>
      </c>
      <c r="R32" s="705" t="s">
        <v>14</v>
      </c>
      <c r="S32" s="706">
        <f t="shared" si="10"/>
        <v>100</v>
      </c>
      <c r="T32" s="705" t="s">
        <v>14</v>
      </c>
      <c r="U32" s="706">
        <f t="shared" si="11"/>
        <v>100</v>
      </c>
      <c r="V32" s="705" t="s">
        <v>14</v>
      </c>
      <c r="W32" s="706">
        <f t="shared" si="12"/>
        <v>100</v>
      </c>
      <c r="X32" s="1355"/>
      <c r="Y32" s="373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8" t="s">
        <v>1696</v>
      </c>
      <c r="Q37" s="1352" t="str">
        <f t="shared" si="14"/>
        <v>工程地质条件</v>
      </c>
      <c r="R37" s="705" t="s">
        <v>14</v>
      </c>
      <c r="S37" s="706">
        <f t="shared" si="10"/>
        <v>100</v>
      </c>
      <c r="T37" s="705" t="s">
        <v>14</v>
      </c>
      <c r="U37" s="706">
        <f t="shared" si="11"/>
        <v>100</v>
      </c>
      <c r="V37" s="705" t="s">
        <v>14</v>
      </c>
      <c r="W37" s="706">
        <f t="shared" si="12"/>
        <v>100</v>
      </c>
      <c r="X37" s="1355"/>
      <c r="Y37" s="37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1" t="str">
        <f>A41</f>
        <v>成交单价</v>
      </c>
      <c r="Q41" s="3731"/>
      <c r="R41" s="3762">
        <f>E41</f>
        <v>0</v>
      </c>
      <c r="S41" s="3762"/>
      <c r="T41" s="3762">
        <f>G41</f>
        <v>0</v>
      </c>
      <c r="U41" s="3762"/>
      <c r="V41" s="3762">
        <f>I41</f>
        <v>0</v>
      </c>
      <c r="W41" s="376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1" t="str">
        <f>A42</f>
        <v>比较价值（元/平方米）</v>
      </c>
      <c r="Q42" s="3731"/>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92" t="e">
        <f>ROUND(IF(D42="简单平均",AVERAGE(R42:W42),R42*F42+T42*H42+V42*J42),0)</f>
        <v>#DIV/0!</v>
      </c>
      <c r="S43" s="3792"/>
      <c r="T43" s="3792"/>
      <c r="U43" s="3792"/>
      <c r="V43" s="3792"/>
      <c r="W43" s="379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46" t="s">
        <v>1887</v>
      </c>
      <c r="H50" s="379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67463.599999999977</v>
      </c>
      <c r="F51" s="639" t="e">
        <f t="shared" ref="F51:F60" si="15">ROUND(B51*E51/10000,0)</f>
        <v>#DIV/0!</v>
      </c>
      <c r="G51" s="3742"/>
      <c r="H51" s="373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3"/>
      <c r="B4" s="3500" t="s">
        <v>917</v>
      </c>
      <c r="C4" s="3500"/>
      <c r="D4" s="3500"/>
      <c r="E4" s="1493"/>
    </row>
    <row r="5" spans="1:5" ht="16.5" thickTop="1">
      <c r="A5" s="1491"/>
      <c r="B5" s="3498" t="s">
        <v>909</v>
      </c>
      <c r="C5" s="1494" t="s">
        <v>910</v>
      </c>
      <c r="D5" s="850" t="e">
        <f ca="1">结果表!H101</f>
        <v>#REF!</v>
      </c>
      <c r="E5" s="1491"/>
    </row>
    <row r="6" spans="1:5" ht="15.75">
      <c r="A6" s="1491"/>
      <c r="B6" s="3498"/>
      <c r="C6" s="1494" t="s">
        <v>911</v>
      </c>
      <c r="D6" s="850" t="e">
        <f ca="1">NUMBERSTRING(INT(D5*10000),2)&amp;"元整"</f>
        <v>#REF!</v>
      </c>
      <c r="E6" s="1491"/>
    </row>
    <row r="7" spans="1:5" ht="15.75">
      <c r="A7" s="1491"/>
      <c r="B7" s="3503"/>
      <c r="C7" s="1495" t="s">
        <v>912</v>
      </c>
      <c r="D7" s="851" t="e">
        <f ca="1">结果表!H102</f>
        <v>#REF!</v>
      </c>
      <c r="E7" s="1491"/>
    </row>
    <row r="8" spans="1:5" ht="15.75">
      <c r="A8" s="1491"/>
      <c r="B8" s="3504" t="str">
        <f>结果表!E103</f>
        <v>2.估价师知悉的法定优先受偿款</v>
      </c>
      <c r="C8" s="1496" t="s">
        <v>913</v>
      </c>
      <c r="D8" s="851">
        <f>结果表!H103</f>
        <v>0</v>
      </c>
      <c r="E8" s="1491"/>
    </row>
    <row r="9" spans="1:5" ht="15.75">
      <c r="A9" s="1491"/>
      <c r="B9" s="350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7" t="str">
        <f>结果表!E107</f>
        <v>3.房地产抵押价值</v>
      </c>
      <c r="C13" s="1499" t="s">
        <v>910</v>
      </c>
      <c r="D13" s="853" t="e">
        <f ca="1">结果表!H107</f>
        <v>#REF!</v>
      </c>
      <c r="E13" s="1491"/>
    </row>
    <row r="14" spans="1:5" ht="15.75">
      <c r="A14" s="1491"/>
      <c r="B14" s="3498"/>
      <c r="C14" s="1494" t="s">
        <v>911</v>
      </c>
      <c r="D14" s="850" t="e">
        <f ca="1">NUMBERSTRING(INT(D13*10000),2)&amp;"元整"</f>
        <v>#REF!</v>
      </c>
      <c r="E14" s="1491"/>
    </row>
    <row r="15" spans="1:5" ht="15">
      <c r="A15" s="1491"/>
      <c r="B15" s="3503"/>
      <c r="C15" s="1495" t="s">
        <v>921</v>
      </c>
      <c r="D15" s="859" t="e">
        <f ca="1">结果表!H108</f>
        <v>#REF!</v>
      </c>
      <c r="E15" s="1491"/>
    </row>
    <row r="16" spans="1:5" ht="15">
      <c r="A16" s="1491"/>
      <c r="B16" s="3504" t="str">
        <f>结果表!E109</f>
        <v>——</v>
      </c>
      <c r="C16" s="1499" t="s">
        <v>922</v>
      </c>
      <c r="D16" s="1500" t="str">
        <f>结果表!H109</f>
        <v>——</v>
      </c>
      <c r="E16" s="1491"/>
    </row>
    <row r="17" spans="1:5" ht="15.75">
      <c r="A17" s="1491"/>
      <c r="B17" s="3505"/>
      <c r="C17" s="1494" t="s">
        <v>923</v>
      </c>
      <c r="D17" s="850" t="e">
        <f>NUMBERSTRING(INT(D16*10000),2)&amp;"元整"</f>
        <v>#VALUE!</v>
      </c>
      <c r="E17" s="1491"/>
    </row>
    <row r="18" spans="1:5" ht="15">
      <c r="A18" s="1491"/>
      <c r="B18" s="3506"/>
      <c r="C18" s="1495" t="s">
        <v>912</v>
      </c>
      <c r="D18" s="859" t="str">
        <f>结果表!H110</f>
        <v>——</v>
      </c>
      <c r="E18" s="1491"/>
    </row>
    <row r="19" spans="1:5" ht="15.75">
      <c r="A19" s="1491"/>
      <c r="B19" s="3497" t="str">
        <f>结果表!E111</f>
        <v>——</v>
      </c>
      <c r="C19" s="1499" t="s">
        <v>910</v>
      </c>
      <c r="D19" s="851" t="str">
        <f>结果表!H111</f>
        <v>——</v>
      </c>
      <c r="E19" s="1491"/>
    </row>
    <row r="20" spans="1:5" ht="15.75">
      <c r="A20" s="1491"/>
      <c r="B20" s="3498"/>
      <c r="C20" s="1494" t="s">
        <v>923</v>
      </c>
      <c r="D20" s="850" t="e">
        <f>NUMBERSTRING(INT(D19*10000),2)&amp;"元整"</f>
        <v>#VALUE!</v>
      </c>
      <c r="E20" s="1491"/>
    </row>
    <row r="21" spans="1:5" ht="15.75" thickBot="1">
      <c r="A21" s="1491"/>
      <c r="B21" s="349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1" t="s">
        <v>2084</v>
      </c>
      <c r="D1" s="3802"/>
      <c r="E1" s="3802"/>
      <c r="F1" s="3802"/>
      <c r="G1" s="3802"/>
      <c r="H1" s="3802"/>
      <c r="I1" s="3802"/>
      <c r="J1" s="3802"/>
      <c r="K1" s="3802"/>
      <c r="L1" s="3802"/>
      <c r="M1" s="3802"/>
      <c r="N1" s="3802"/>
      <c r="O1" s="3802"/>
      <c r="P1" s="3802"/>
      <c r="Q1" s="3802"/>
      <c r="R1" s="3802"/>
      <c r="S1" s="380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13" t="s">
        <v>2610</v>
      </c>
      <c r="B20" s="3808" t="s">
        <v>2631</v>
      </c>
      <c r="C20" s="3103" t="s">
        <v>2442</v>
      </c>
      <c r="D20" s="3104"/>
      <c r="E20" s="3105">
        <v>1</v>
      </c>
      <c r="F20" s="3106" t="s">
        <v>2443</v>
      </c>
      <c r="G20" s="3106"/>
    </row>
    <row r="21" spans="1:13" ht="19.5" customHeight="1">
      <c r="A21" s="3814"/>
      <c r="B21" s="3807"/>
      <c r="C21" s="3107" t="s">
        <v>2444</v>
      </c>
      <c r="D21" s="3108"/>
      <c r="E21" s="3109">
        <v>1</v>
      </c>
      <c r="F21" s="3106" t="s">
        <v>2445</v>
      </c>
      <c r="G21" s="3106"/>
    </row>
    <row r="22" spans="1:13" ht="19.5" customHeight="1">
      <c r="A22" s="3814"/>
      <c r="B22" s="3807"/>
      <c r="C22" s="3107" t="s">
        <v>2446</v>
      </c>
      <c r="D22" s="3108"/>
      <c r="E22" s="3109">
        <v>0.9</v>
      </c>
      <c r="F22" s="3106" t="s">
        <v>2447</v>
      </c>
      <c r="G22" s="3106"/>
    </row>
    <row r="23" spans="1:13" ht="19.5" customHeight="1">
      <c r="A23" s="3814"/>
      <c r="B23" s="3807"/>
      <c r="C23" s="3107" t="s">
        <v>2448</v>
      </c>
      <c r="D23" s="3108"/>
      <c r="E23" s="3109">
        <v>0.9</v>
      </c>
      <c r="F23" s="3106" t="s">
        <v>2449</v>
      </c>
      <c r="G23" s="3106"/>
    </row>
    <row r="24" spans="1:13" ht="19.5" customHeight="1">
      <c r="A24" s="3814"/>
      <c r="B24" s="3807"/>
      <c r="C24" s="3107" t="s">
        <v>2450</v>
      </c>
      <c r="D24" s="3108"/>
      <c r="E24" s="3109">
        <v>0.8</v>
      </c>
      <c r="F24" s="3106" t="s">
        <v>2451</v>
      </c>
      <c r="G24" s="3106"/>
    </row>
    <row r="25" spans="1:13" ht="19.5" customHeight="1" thickBot="1">
      <c r="A25" s="3815"/>
      <c r="B25" s="380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10" t="s">
        <v>2634</v>
      </c>
      <c r="B27" s="3808" t="s">
        <v>2615</v>
      </c>
      <c r="C27" s="3103" t="s">
        <v>2455</v>
      </c>
      <c r="D27" s="3104"/>
      <c r="E27" s="3105">
        <v>1</v>
      </c>
      <c r="F27" s="3106" t="s">
        <v>2456</v>
      </c>
      <c r="G27" s="3106"/>
    </row>
    <row r="28" spans="1:13" ht="19.5" customHeight="1">
      <c r="A28" s="3811"/>
      <c r="B28" s="3807"/>
      <c r="C28" s="3107" t="s">
        <v>2457</v>
      </c>
      <c r="D28" s="3108"/>
      <c r="E28" s="3109">
        <v>1</v>
      </c>
      <c r="F28" s="3106" t="s">
        <v>2458</v>
      </c>
      <c r="G28" s="3106"/>
    </row>
    <row r="29" spans="1:13" ht="19.5" customHeight="1">
      <c r="A29" s="3811"/>
      <c r="B29" s="3807"/>
      <c r="C29" s="3107" t="s">
        <v>2459</v>
      </c>
      <c r="D29" s="3108"/>
      <c r="E29" s="3109">
        <v>0.8</v>
      </c>
      <c r="F29" s="3106" t="s">
        <v>2460</v>
      </c>
      <c r="G29" s="3106"/>
    </row>
    <row r="30" spans="1:13" ht="19.5" customHeight="1">
      <c r="A30" s="3811"/>
      <c r="B30" s="3807"/>
      <c r="C30" s="3107" t="s">
        <v>2461</v>
      </c>
      <c r="D30" s="3108"/>
      <c r="E30" s="3109">
        <v>0.8</v>
      </c>
      <c r="F30" s="3106" t="s">
        <v>2462</v>
      </c>
      <c r="G30" s="3106"/>
    </row>
    <row r="31" spans="1:13" ht="19.5" customHeight="1">
      <c r="A31" s="3811"/>
      <c r="B31" s="3807"/>
      <c r="C31" s="3107" t="s">
        <v>2463</v>
      </c>
      <c r="D31" s="3108"/>
      <c r="E31" s="3109">
        <v>0.8</v>
      </c>
      <c r="F31" s="3106" t="s">
        <v>2464</v>
      </c>
      <c r="G31" s="3106"/>
    </row>
    <row r="32" spans="1:13" ht="19.5" customHeight="1">
      <c r="A32" s="3811"/>
      <c r="B32" s="3807"/>
      <c r="C32" s="3107" t="s">
        <v>2465</v>
      </c>
      <c r="D32" s="3108"/>
      <c r="E32" s="3109">
        <v>0.7</v>
      </c>
      <c r="F32" s="3106" t="s">
        <v>2466</v>
      </c>
      <c r="G32" s="3106"/>
    </row>
    <row r="33" spans="1:7" ht="19.5" customHeight="1">
      <c r="A33" s="3811"/>
      <c r="B33" s="3807"/>
      <c r="C33" s="3107" t="s">
        <v>2467</v>
      </c>
      <c r="D33" s="3108"/>
      <c r="E33" s="3109">
        <v>0.8</v>
      </c>
      <c r="F33" s="3106" t="s">
        <v>2468</v>
      </c>
      <c r="G33" s="3106"/>
    </row>
    <row r="34" spans="1:7" ht="19.5" customHeight="1">
      <c r="A34" s="3811"/>
      <c r="B34" s="3807"/>
      <c r="C34" s="3107" t="s">
        <v>2469</v>
      </c>
      <c r="D34" s="3108"/>
      <c r="E34" s="3109">
        <v>0.6</v>
      </c>
      <c r="F34" s="3106" t="s">
        <v>2470</v>
      </c>
      <c r="G34" s="3106"/>
    </row>
    <row r="35" spans="1:7" ht="19.5" customHeight="1">
      <c r="A35" s="3811"/>
      <c r="B35" s="3807"/>
      <c r="C35" s="3107" t="s">
        <v>2471</v>
      </c>
      <c r="D35" s="3108"/>
      <c r="E35" s="3109">
        <v>0.2</v>
      </c>
      <c r="F35" s="3106" t="s">
        <v>2472</v>
      </c>
      <c r="G35" s="3106"/>
    </row>
    <row r="36" spans="1:7" ht="19.5" customHeight="1">
      <c r="A36" s="3811"/>
      <c r="B36" s="3807"/>
      <c r="C36" s="3107" t="s">
        <v>2473</v>
      </c>
      <c r="D36" s="3108"/>
      <c r="E36" s="3109">
        <v>0.2</v>
      </c>
      <c r="F36" s="3106" t="s">
        <v>2474</v>
      </c>
      <c r="G36" s="3106"/>
    </row>
    <row r="37" spans="1:7" ht="19.5" customHeight="1">
      <c r="A37" s="3811"/>
      <c r="B37" s="3805" t="s">
        <v>2635</v>
      </c>
      <c r="C37" s="3107" t="s">
        <v>2475</v>
      </c>
      <c r="D37" s="3108"/>
      <c r="E37" s="3109">
        <v>0.6</v>
      </c>
      <c r="F37" s="3106" t="s">
        <v>2476</v>
      </c>
      <c r="G37" s="3106"/>
    </row>
    <row r="38" spans="1:7" ht="19.5" customHeight="1">
      <c r="A38" s="3811"/>
      <c r="B38" s="3807"/>
      <c r="C38" s="3107" t="s">
        <v>2477</v>
      </c>
      <c r="D38" s="3108"/>
      <c r="E38" s="3109">
        <v>0.6</v>
      </c>
      <c r="F38" s="3106" t="s">
        <v>2478</v>
      </c>
      <c r="G38" s="3106"/>
    </row>
    <row r="39" spans="1:7" ht="19.5" customHeight="1" thickBot="1">
      <c r="A39" s="3812"/>
      <c r="B39" s="380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13" t="s">
        <v>2613</v>
      </c>
      <c r="B41" s="3808" t="s">
        <v>2637</v>
      </c>
      <c r="C41" s="3103" t="s">
        <v>2482</v>
      </c>
      <c r="D41" s="3104"/>
      <c r="E41" s="3105">
        <v>1</v>
      </c>
      <c r="F41" s="3106" t="s">
        <v>2483</v>
      </c>
      <c r="G41" s="3106"/>
    </row>
    <row r="42" spans="1:7" ht="19.5" customHeight="1">
      <c r="A42" s="3814"/>
      <c r="B42" s="3807"/>
      <c r="C42" s="3107" t="s">
        <v>2484</v>
      </c>
      <c r="D42" s="3108"/>
      <c r="E42" s="3109">
        <v>1</v>
      </c>
      <c r="F42" s="3106" t="s">
        <v>2485</v>
      </c>
      <c r="G42" s="3106"/>
    </row>
    <row r="43" spans="1:7" ht="19.5" customHeight="1">
      <c r="A43" s="3814"/>
      <c r="B43" s="3806"/>
      <c r="C43" s="3107" t="s">
        <v>2486</v>
      </c>
      <c r="D43" s="3108"/>
      <c r="E43" s="3109">
        <v>1.5</v>
      </c>
      <c r="F43" s="3106" t="s">
        <v>2487</v>
      </c>
      <c r="G43" s="3106"/>
    </row>
    <row r="44" spans="1:7" ht="19.5" customHeight="1">
      <c r="A44" s="3814"/>
      <c r="B44" s="3118" t="s">
        <v>2638</v>
      </c>
      <c r="C44" s="3107" t="s">
        <v>2639</v>
      </c>
      <c r="D44" s="3108"/>
      <c r="E44" s="3109">
        <v>2</v>
      </c>
      <c r="F44" s="3106" t="s">
        <v>2488</v>
      </c>
      <c r="G44" s="3106"/>
    </row>
    <row r="45" spans="1:7" ht="19.5" customHeight="1">
      <c r="A45" s="3814"/>
      <c r="B45" s="3805" t="s">
        <v>2640</v>
      </c>
      <c r="C45" s="3107" t="s">
        <v>2489</v>
      </c>
      <c r="D45" s="3108"/>
      <c r="E45" s="3109">
        <v>1</v>
      </c>
      <c r="F45" s="3106" t="s">
        <v>2490</v>
      </c>
      <c r="G45" s="3106"/>
    </row>
    <row r="46" spans="1:7" ht="19.5" customHeight="1">
      <c r="A46" s="3814"/>
      <c r="B46" s="3807"/>
      <c r="C46" s="3107" t="s">
        <v>2491</v>
      </c>
      <c r="D46" s="3108"/>
      <c r="E46" s="3109">
        <v>1</v>
      </c>
      <c r="F46" s="3106" t="s">
        <v>2492</v>
      </c>
      <c r="G46" s="3106"/>
    </row>
    <row r="47" spans="1:7" ht="19.5" customHeight="1">
      <c r="A47" s="3814"/>
      <c r="B47" s="3807"/>
      <c r="C47" s="3107" t="s">
        <v>2493</v>
      </c>
      <c r="D47" s="3108"/>
      <c r="E47" s="3109">
        <v>1</v>
      </c>
      <c r="F47" s="3106" t="s">
        <v>2494</v>
      </c>
      <c r="G47" s="3106"/>
    </row>
    <row r="48" spans="1:7" ht="19.5" customHeight="1">
      <c r="A48" s="3814"/>
      <c r="B48" s="3807"/>
      <c r="C48" s="3107" t="s">
        <v>2495</v>
      </c>
      <c r="D48" s="3108"/>
      <c r="E48" s="3109">
        <v>1</v>
      </c>
      <c r="F48" s="3106" t="s">
        <v>2496</v>
      </c>
      <c r="G48" s="3106"/>
    </row>
    <row r="49" spans="1:7" ht="19.5" customHeight="1">
      <c r="A49" s="3814"/>
      <c r="B49" s="3807"/>
      <c r="C49" s="3107" t="s">
        <v>2497</v>
      </c>
      <c r="D49" s="3108"/>
      <c r="E49" s="3109">
        <v>1</v>
      </c>
      <c r="F49" s="3106" t="s">
        <v>2498</v>
      </c>
      <c r="G49" s="3106"/>
    </row>
    <row r="50" spans="1:7" ht="19.5" customHeight="1">
      <c r="A50" s="3814"/>
      <c r="B50" s="3807"/>
      <c r="C50" s="3107" t="s">
        <v>2499</v>
      </c>
      <c r="D50" s="3108"/>
      <c r="E50" s="3109">
        <v>1</v>
      </c>
      <c r="F50" s="3106" t="s">
        <v>2500</v>
      </c>
      <c r="G50" s="3106"/>
    </row>
    <row r="51" spans="1:7" ht="19.5" customHeight="1" thickBot="1">
      <c r="A51" s="3815"/>
      <c r="B51" s="380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05" t="s">
        <v>2654</v>
      </c>
      <c r="C73" s="3092" t="s">
        <v>2655</v>
      </c>
      <c r="D73" s="3092" t="s">
        <v>2656</v>
      </c>
      <c r="E73" s="3118">
        <v>0.2</v>
      </c>
      <c r="F73" s="3118">
        <v>25</v>
      </c>
    </row>
    <row r="74" spans="1:7" ht="24">
      <c r="A74" s="3118">
        <v>2</v>
      </c>
      <c r="B74" s="3807"/>
      <c r="C74" s="3092" t="s">
        <v>2657</v>
      </c>
      <c r="D74" s="3092" t="s">
        <v>2658</v>
      </c>
      <c r="E74" s="3118">
        <v>0.2</v>
      </c>
      <c r="F74" s="3118">
        <v>25</v>
      </c>
    </row>
    <row r="75" spans="1:7" ht="24">
      <c r="A75" s="3118">
        <v>3</v>
      </c>
      <c r="B75" s="3807"/>
      <c r="C75" s="3092" t="s">
        <v>2659</v>
      </c>
      <c r="D75" s="3092" t="s">
        <v>2660</v>
      </c>
      <c r="E75" s="3118">
        <v>0.2</v>
      </c>
      <c r="F75" s="3118">
        <v>25</v>
      </c>
    </row>
    <row r="76" spans="1:7" ht="13.5">
      <c r="A76" s="3118">
        <v>4</v>
      </c>
      <c r="B76" s="3807"/>
      <c r="C76" s="3092" t="s">
        <v>2661</v>
      </c>
      <c r="D76" s="3092" t="s">
        <v>2662</v>
      </c>
      <c r="E76" s="3118">
        <v>0.15</v>
      </c>
      <c r="F76" s="3118">
        <v>20</v>
      </c>
    </row>
    <row r="77" spans="1:7" ht="24">
      <c r="A77" s="3118">
        <v>5</v>
      </c>
      <c r="B77" s="3807"/>
      <c r="C77" s="3092" t="s">
        <v>2663</v>
      </c>
      <c r="D77" s="3092" t="s">
        <v>2664</v>
      </c>
      <c r="E77" s="3118">
        <v>0.15</v>
      </c>
      <c r="F77" s="3118">
        <v>20</v>
      </c>
    </row>
    <row r="78" spans="1:7" ht="24">
      <c r="A78" s="3118">
        <v>6</v>
      </c>
      <c r="B78" s="3807"/>
      <c r="C78" s="3092" t="s">
        <v>2665</v>
      </c>
      <c r="D78" s="3092" t="s">
        <v>2666</v>
      </c>
      <c r="E78" s="3118">
        <v>0.15</v>
      </c>
      <c r="F78" s="3118">
        <v>20</v>
      </c>
    </row>
    <row r="79" spans="1:7" ht="24">
      <c r="A79" s="3118">
        <v>7</v>
      </c>
      <c r="B79" s="3807"/>
      <c r="C79" s="3092" t="s">
        <v>2667</v>
      </c>
      <c r="D79" s="3092" t="s">
        <v>2668</v>
      </c>
      <c r="E79" s="3118">
        <v>0.15</v>
      </c>
      <c r="F79" s="3118">
        <v>20</v>
      </c>
    </row>
    <row r="80" spans="1:7" ht="24">
      <c r="A80" s="3118">
        <v>8</v>
      </c>
      <c r="B80" s="3807"/>
      <c r="C80" s="3092" t="s">
        <v>2669</v>
      </c>
      <c r="D80" s="3092" t="s">
        <v>2670</v>
      </c>
      <c r="E80" s="3118">
        <v>0.1</v>
      </c>
      <c r="F80" s="3118">
        <v>15</v>
      </c>
    </row>
    <row r="81" spans="1:6" ht="24">
      <c r="A81" s="3118">
        <v>9</v>
      </c>
      <c r="B81" s="3807"/>
      <c r="C81" s="3092" t="s">
        <v>2671</v>
      </c>
      <c r="D81" s="3092" t="s">
        <v>2672</v>
      </c>
      <c r="E81" s="3118">
        <v>0.1</v>
      </c>
      <c r="F81" s="3118">
        <v>15</v>
      </c>
    </row>
    <row r="82" spans="1:6" ht="24">
      <c r="A82" s="3118">
        <v>10</v>
      </c>
      <c r="B82" s="3807"/>
      <c r="C82" s="3092" t="s">
        <v>2673</v>
      </c>
      <c r="D82" s="3092" t="s">
        <v>2674</v>
      </c>
      <c r="E82" s="3118">
        <v>0.1</v>
      </c>
      <c r="F82" s="3118">
        <v>15</v>
      </c>
    </row>
    <row r="83" spans="1:6" ht="24">
      <c r="A83" s="3118">
        <v>11</v>
      </c>
      <c r="B83" s="3807"/>
      <c r="C83" s="3092" t="s">
        <v>2675</v>
      </c>
      <c r="D83" s="3092" t="s">
        <v>2676</v>
      </c>
      <c r="E83" s="3118">
        <v>0.1</v>
      </c>
      <c r="F83" s="3118">
        <v>15</v>
      </c>
    </row>
    <row r="84" spans="1:6" ht="24">
      <c r="A84" s="3118">
        <v>12</v>
      </c>
      <c r="B84" s="3807"/>
      <c r="C84" s="3092" t="s">
        <v>2677</v>
      </c>
      <c r="D84" s="3092" t="s">
        <v>2678</v>
      </c>
      <c r="E84" s="3118">
        <v>0.1</v>
      </c>
      <c r="F84" s="3118">
        <v>15</v>
      </c>
    </row>
    <row r="85" spans="1:6" ht="13.5">
      <c r="A85" s="3118">
        <v>13</v>
      </c>
      <c r="B85" s="3807"/>
      <c r="C85" s="3092" t="s">
        <v>2679</v>
      </c>
      <c r="D85" s="3092" t="s">
        <v>2680</v>
      </c>
      <c r="E85" s="3118">
        <v>0.1</v>
      </c>
      <c r="F85" s="3118">
        <v>15</v>
      </c>
    </row>
    <row r="86" spans="1:6" ht="13.5">
      <c r="A86" s="3118">
        <v>14</v>
      </c>
      <c r="B86" s="3807"/>
      <c r="C86" s="3092" t="s">
        <v>2681</v>
      </c>
      <c r="D86" s="3092" t="s">
        <v>2682</v>
      </c>
      <c r="E86" s="3118">
        <v>0.1</v>
      </c>
      <c r="F86" s="3118">
        <v>15</v>
      </c>
    </row>
    <row r="87" spans="1:6" ht="13.5">
      <c r="A87" s="3118">
        <v>15</v>
      </c>
      <c r="B87" s="3807"/>
      <c r="C87" s="3092" t="s">
        <v>2683</v>
      </c>
      <c r="D87" s="3092" t="s">
        <v>2684</v>
      </c>
      <c r="E87" s="3118">
        <v>0.1</v>
      </c>
      <c r="F87" s="3118">
        <v>15</v>
      </c>
    </row>
    <row r="88" spans="1:6" ht="24">
      <c r="A88" s="3118">
        <v>16</v>
      </c>
      <c r="B88" s="3807"/>
      <c r="C88" s="3092" t="s">
        <v>2685</v>
      </c>
      <c r="D88" s="3092" t="s">
        <v>2686</v>
      </c>
      <c r="E88" s="3118">
        <v>0.1</v>
      </c>
      <c r="F88" s="3118">
        <v>15</v>
      </c>
    </row>
    <row r="89" spans="1:6" ht="24">
      <c r="A89" s="3118">
        <v>17</v>
      </c>
      <c r="B89" s="3806"/>
      <c r="C89" s="3092" t="s">
        <v>2687</v>
      </c>
      <c r="D89" s="3092" t="s">
        <v>2688</v>
      </c>
      <c r="E89" s="3118">
        <v>0.1</v>
      </c>
      <c r="F89" s="3118">
        <v>15</v>
      </c>
    </row>
    <row r="90" spans="1:6" ht="13.5">
      <c r="A90" s="3118">
        <v>18</v>
      </c>
      <c r="B90" s="3805" t="s">
        <v>2689</v>
      </c>
      <c r="C90" s="3092" t="s">
        <v>2690</v>
      </c>
      <c r="D90" s="3092" t="s">
        <v>2691</v>
      </c>
      <c r="E90" s="3118">
        <v>0.2</v>
      </c>
      <c r="F90" s="3118">
        <v>25</v>
      </c>
    </row>
    <row r="91" spans="1:6" ht="24">
      <c r="A91" s="3118">
        <v>19</v>
      </c>
      <c r="B91" s="3807"/>
      <c r="C91" s="3092" t="s">
        <v>2692</v>
      </c>
      <c r="D91" s="3092" t="s">
        <v>2693</v>
      </c>
      <c r="E91" s="3118">
        <v>0.2</v>
      </c>
      <c r="F91" s="3118">
        <v>25</v>
      </c>
    </row>
    <row r="92" spans="1:6" ht="13.5">
      <c r="A92" s="3118">
        <v>20</v>
      </c>
      <c r="B92" s="3807"/>
      <c r="C92" s="3092" t="s">
        <v>2694</v>
      </c>
      <c r="D92" s="3092" t="s">
        <v>2695</v>
      </c>
      <c r="E92" s="3118">
        <v>0.15</v>
      </c>
      <c r="F92" s="3118">
        <v>20</v>
      </c>
    </row>
    <row r="93" spans="1:6" ht="13.5">
      <c r="A93" s="3118">
        <v>21</v>
      </c>
      <c r="B93" s="3807"/>
      <c r="C93" s="3092" t="s">
        <v>2696</v>
      </c>
      <c r="D93" s="3092" t="s">
        <v>2697</v>
      </c>
      <c r="E93" s="3118">
        <v>0.15</v>
      </c>
      <c r="F93" s="3118">
        <v>20</v>
      </c>
    </row>
    <row r="94" spans="1:6" ht="13.5">
      <c r="A94" s="3118">
        <v>22</v>
      </c>
      <c r="B94" s="3807"/>
      <c r="C94" s="3092" t="s">
        <v>2698</v>
      </c>
      <c r="D94" s="3092" t="s">
        <v>2699</v>
      </c>
      <c r="E94" s="3118">
        <v>0.15</v>
      </c>
      <c r="F94" s="3118">
        <v>20</v>
      </c>
    </row>
    <row r="95" spans="1:6" ht="36">
      <c r="A95" s="3118">
        <v>23</v>
      </c>
      <c r="B95" s="3807"/>
      <c r="C95" s="3092" t="s">
        <v>2700</v>
      </c>
      <c r="D95" s="3092" t="s">
        <v>2701</v>
      </c>
      <c r="E95" s="3118">
        <v>0.15</v>
      </c>
      <c r="F95" s="3118">
        <v>20</v>
      </c>
    </row>
    <row r="96" spans="1:6" ht="13.5">
      <c r="A96" s="3118">
        <v>24</v>
      </c>
      <c r="B96" s="3807"/>
      <c r="C96" s="3092" t="s">
        <v>2702</v>
      </c>
      <c r="D96" s="3092" t="s">
        <v>2703</v>
      </c>
      <c r="E96" s="3118">
        <v>0.1</v>
      </c>
      <c r="F96" s="3118">
        <v>15</v>
      </c>
    </row>
    <row r="97" spans="1:6" ht="13.5">
      <c r="A97" s="3118">
        <v>25</v>
      </c>
      <c r="B97" s="3807"/>
      <c r="C97" s="3092" t="s">
        <v>2704</v>
      </c>
      <c r="D97" s="3092" t="s">
        <v>2705</v>
      </c>
      <c r="E97" s="3118">
        <v>0.1</v>
      </c>
      <c r="F97" s="3118">
        <v>15</v>
      </c>
    </row>
    <row r="98" spans="1:6" ht="24">
      <c r="A98" s="3118">
        <v>26</v>
      </c>
      <c r="B98" s="3807"/>
      <c r="C98" s="3092" t="s">
        <v>2706</v>
      </c>
      <c r="D98" s="3092" t="s">
        <v>2707</v>
      </c>
      <c r="E98" s="3118">
        <v>0.1</v>
      </c>
      <c r="F98" s="3118">
        <v>15</v>
      </c>
    </row>
    <row r="99" spans="1:6" ht="24">
      <c r="A99" s="3118">
        <v>27</v>
      </c>
      <c r="B99" s="3807"/>
      <c r="C99" s="3092" t="s">
        <v>2708</v>
      </c>
      <c r="D99" s="3092" t="s">
        <v>2709</v>
      </c>
      <c r="E99" s="3118">
        <v>0.1</v>
      </c>
      <c r="F99" s="3118">
        <v>15</v>
      </c>
    </row>
    <row r="100" spans="1:6" ht="13.5">
      <c r="A100" s="3118">
        <v>28</v>
      </c>
      <c r="B100" s="3807"/>
      <c r="C100" s="3092" t="s">
        <v>2710</v>
      </c>
      <c r="D100" s="3092" t="s">
        <v>2711</v>
      </c>
      <c r="E100" s="3118">
        <v>0.1</v>
      </c>
      <c r="F100" s="3118">
        <v>15</v>
      </c>
    </row>
    <row r="101" spans="1:6" ht="13.5">
      <c r="A101" s="3118">
        <v>29</v>
      </c>
      <c r="B101" s="3807"/>
      <c r="C101" s="3092" t="s">
        <v>2712</v>
      </c>
      <c r="D101" s="3092" t="s">
        <v>2713</v>
      </c>
      <c r="E101" s="3118">
        <v>0.1</v>
      </c>
      <c r="F101" s="3118">
        <v>15</v>
      </c>
    </row>
    <row r="102" spans="1:6" ht="13.5">
      <c r="A102" s="3118">
        <v>30</v>
      </c>
      <c r="B102" s="3807"/>
      <c r="C102" s="3092" t="s">
        <v>2714</v>
      </c>
      <c r="D102" s="3092" t="s">
        <v>2715</v>
      </c>
      <c r="E102" s="3118">
        <v>0.1</v>
      </c>
      <c r="F102" s="3118">
        <v>15</v>
      </c>
    </row>
    <row r="103" spans="1:6" ht="24">
      <c r="A103" s="3118">
        <v>31</v>
      </c>
      <c r="B103" s="3807"/>
      <c r="C103" s="3092" t="s">
        <v>2716</v>
      </c>
      <c r="D103" s="3092" t="s">
        <v>2717</v>
      </c>
      <c r="E103" s="3118">
        <v>0.1</v>
      </c>
      <c r="F103" s="3118">
        <v>15</v>
      </c>
    </row>
    <row r="104" spans="1:6" ht="24">
      <c r="A104" s="3118">
        <v>32</v>
      </c>
      <c r="B104" s="3807"/>
      <c r="C104" s="3092" t="s">
        <v>2718</v>
      </c>
      <c r="D104" s="3092" t="s">
        <v>2719</v>
      </c>
      <c r="E104" s="3118">
        <v>0.1</v>
      </c>
      <c r="F104" s="3118">
        <v>15</v>
      </c>
    </row>
    <row r="105" spans="1:6" ht="24">
      <c r="A105" s="3118">
        <v>33</v>
      </c>
      <c r="B105" s="3807"/>
      <c r="C105" s="3092" t="s">
        <v>2720</v>
      </c>
      <c r="D105" s="3092" t="s">
        <v>2721</v>
      </c>
      <c r="E105" s="3118">
        <v>0.1</v>
      </c>
      <c r="F105" s="3118">
        <v>15</v>
      </c>
    </row>
    <row r="106" spans="1:6" ht="24">
      <c r="A106" s="3118">
        <v>34</v>
      </c>
      <c r="B106" s="3806"/>
      <c r="C106" s="3092" t="s">
        <v>2722</v>
      </c>
      <c r="D106" s="3092" t="s">
        <v>2723</v>
      </c>
      <c r="E106" s="3118">
        <v>0.1</v>
      </c>
      <c r="F106" s="3118">
        <v>15</v>
      </c>
    </row>
    <row r="107" spans="1:6" ht="24">
      <c r="A107" s="3118">
        <v>35</v>
      </c>
      <c r="B107" s="3805" t="s">
        <v>2724</v>
      </c>
      <c r="C107" s="3118" t="s">
        <v>2725</v>
      </c>
      <c r="D107" s="3092" t="s">
        <v>2726</v>
      </c>
      <c r="E107" s="3118">
        <v>0.15</v>
      </c>
      <c r="F107" s="3118">
        <v>20</v>
      </c>
    </row>
    <row r="108" spans="1:6" ht="13.5">
      <c r="A108" s="3118">
        <v>36</v>
      </c>
      <c r="B108" s="3807"/>
      <c r="C108" s="3118" t="s">
        <v>2727</v>
      </c>
      <c r="D108" s="3092" t="s">
        <v>2728</v>
      </c>
      <c r="E108" s="3118">
        <v>0.15</v>
      </c>
      <c r="F108" s="3118">
        <v>20</v>
      </c>
    </row>
    <row r="109" spans="1:6" ht="13.5">
      <c r="A109" s="3118">
        <v>37</v>
      </c>
      <c r="B109" s="3807"/>
      <c r="C109" s="3118" t="s">
        <v>2729</v>
      </c>
      <c r="D109" s="3092" t="s">
        <v>2730</v>
      </c>
      <c r="E109" s="3118">
        <v>0.15</v>
      </c>
      <c r="F109" s="3118">
        <v>20</v>
      </c>
    </row>
    <row r="110" spans="1:6" ht="13.5">
      <c r="A110" s="3118">
        <v>38</v>
      </c>
      <c r="B110" s="3807"/>
      <c r="C110" s="3118" t="s">
        <v>2731</v>
      </c>
      <c r="D110" s="3092" t="s">
        <v>2732</v>
      </c>
      <c r="E110" s="3118">
        <v>0.1</v>
      </c>
      <c r="F110" s="3118">
        <v>15</v>
      </c>
    </row>
    <row r="111" spans="1:6" ht="24">
      <c r="A111" s="3118">
        <v>39</v>
      </c>
      <c r="B111" s="3807"/>
      <c r="C111" s="3118" t="s">
        <v>2733</v>
      </c>
      <c r="D111" s="3092" t="s">
        <v>2734</v>
      </c>
      <c r="E111" s="3118">
        <v>0.1</v>
      </c>
      <c r="F111" s="3118">
        <v>15</v>
      </c>
    </row>
    <row r="112" spans="1:6" ht="24">
      <c r="A112" s="3118">
        <v>40</v>
      </c>
      <c r="B112" s="3806"/>
      <c r="C112" s="3118" t="s">
        <v>2735</v>
      </c>
      <c r="D112" s="3092" t="s">
        <v>2736</v>
      </c>
      <c r="E112" s="3118">
        <v>0.1</v>
      </c>
      <c r="F112" s="3118">
        <v>15</v>
      </c>
    </row>
    <row r="113" spans="1:6" ht="13.5">
      <c r="A113" s="3118">
        <v>41</v>
      </c>
      <c r="B113" s="3804" t="s">
        <v>2737</v>
      </c>
      <c r="C113" s="3118" t="s">
        <v>2738</v>
      </c>
      <c r="D113" s="3092" t="s">
        <v>2739</v>
      </c>
      <c r="E113" s="3118">
        <v>0.1</v>
      </c>
      <c r="F113" s="3118">
        <v>15</v>
      </c>
    </row>
    <row r="114" spans="1:6" ht="13.5">
      <c r="A114" s="3118">
        <v>42</v>
      </c>
      <c r="B114" s="3804"/>
      <c r="C114" s="3118" t="s">
        <v>2740</v>
      </c>
      <c r="D114" s="3092" t="s">
        <v>2741</v>
      </c>
      <c r="E114" s="3118">
        <v>0.1</v>
      </c>
      <c r="F114" s="3118">
        <v>15</v>
      </c>
    </row>
    <row r="115" spans="1:6" ht="24">
      <c r="A115" s="3118">
        <v>43</v>
      </c>
      <c r="B115" s="3804"/>
      <c r="C115" s="3118" t="s">
        <v>2742</v>
      </c>
      <c r="D115" s="3092" t="s">
        <v>2743</v>
      </c>
      <c r="E115" s="3118">
        <v>0.1</v>
      </c>
      <c r="F115" s="3118">
        <v>15</v>
      </c>
    </row>
    <row r="116" spans="1:6" ht="13.5">
      <c r="A116" s="3118">
        <v>44</v>
      </c>
      <c r="B116" s="3805" t="s">
        <v>2744</v>
      </c>
      <c r="C116" s="3118" t="s">
        <v>2745</v>
      </c>
      <c r="D116" s="3092" t="s">
        <v>2746</v>
      </c>
      <c r="E116" s="3118">
        <v>0.1</v>
      </c>
      <c r="F116" s="3118">
        <v>15</v>
      </c>
    </row>
    <row r="117" spans="1:6" ht="24">
      <c r="A117" s="3118">
        <v>45</v>
      </c>
      <c r="B117" s="3806"/>
      <c r="C117" s="3092" t="s">
        <v>2747</v>
      </c>
      <c r="D117" s="3092" t="s">
        <v>2748</v>
      </c>
      <c r="E117" s="3118">
        <v>0.1</v>
      </c>
      <c r="F117" s="3118">
        <v>15</v>
      </c>
    </row>
    <row r="118" spans="1:6" ht="24">
      <c r="A118" s="3118">
        <v>46</v>
      </c>
      <c r="B118" s="3805" t="s">
        <v>2749</v>
      </c>
      <c r="C118" s="3118" t="s">
        <v>2750</v>
      </c>
      <c r="D118" s="3092" t="s">
        <v>2751</v>
      </c>
      <c r="E118" s="3118">
        <v>0.1</v>
      </c>
      <c r="F118" s="3118">
        <v>15</v>
      </c>
    </row>
    <row r="119" spans="1:6" ht="24">
      <c r="A119" s="3118">
        <v>47</v>
      </c>
      <c r="B119" s="3806"/>
      <c r="C119" s="3118" t="s">
        <v>2752</v>
      </c>
      <c r="D119" s="3092" t="s">
        <v>2753</v>
      </c>
      <c r="E119" s="3118">
        <v>0.1</v>
      </c>
      <c r="F119" s="3118">
        <v>15</v>
      </c>
    </row>
    <row r="120" spans="1:6" ht="13.5">
      <c r="A120" s="3118">
        <v>48</v>
      </c>
      <c r="B120" s="3805" t="s">
        <v>2754</v>
      </c>
      <c r="C120" s="3118" t="s">
        <v>2755</v>
      </c>
      <c r="D120" s="3092" t="s">
        <v>2756</v>
      </c>
      <c r="E120" s="3118">
        <v>0.1</v>
      </c>
      <c r="F120" s="3118">
        <v>15</v>
      </c>
    </row>
    <row r="121" spans="1:6" ht="13.5">
      <c r="A121" s="3118">
        <v>49</v>
      </c>
      <c r="B121" s="3806"/>
      <c r="C121" s="3118" t="s">
        <v>2757</v>
      </c>
      <c r="D121" s="3092" t="s">
        <v>2758</v>
      </c>
      <c r="E121" s="3118">
        <v>0.1</v>
      </c>
      <c r="F121" s="3118">
        <v>15</v>
      </c>
    </row>
    <row r="122" spans="1:6" ht="24">
      <c r="A122" s="3118">
        <v>50</v>
      </c>
      <c r="B122" s="3804" t="s">
        <v>2759</v>
      </c>
      <c r="C122" s="3118" t="s">
        <v>2760</v>
      </c>
      <c r="D122" s="3092" t="s">
        <v>2761</v>
      </c>
      <c r="E122" s="3118">
        <v>0.1</v>
      </c>
      <c r="F122" s="3118">
        <v>15</v>
      </c>
    </row>
    <row r="123" spans="1:6" ht="24">
      <c r="A123" s="3118">
        <v>51</v>
      </c>
      <c r="B123" s="3804"/>
      <c r="C123" s="3118" t="s">
        <v>2762</v>
      </c>
      <c r="D123" s="3092" t="s">
        <v>2763</v>
      </c>
      <c r="E123" s="3118">
        <v>0.1</v>
      </c>
      <c r="F123" s="3118">
        <v>15</v>
      </c>
    </row>
    <row r="124" spans="1:6" ht="24">
      <c r="A124" s="3118">
        <v>52</v>
      </c>
      <c r="B124" s="3804" t="s">
        <v>2764</v>
      </c>
      <c r="C124" s="3118" t="s">
        <v>2765</v>
      </c>
      <c r="D124" s="3092" t="s">
        <v>2766</v>
      </c>
      <c r="E124" s="3118">
        <v>0.1</v>
      </c>
      <c r="F124" s="3118">
        <v>15</v>
      </c>
    </row>
    <row r="125" spans="1:6" ht="24">
      <c r="A125" s="3118">
        <v>53</v>
      </c>
      <c r="B125" s="380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4" t="s">
        <v>2772</v>
      </c>
      <c r="C127" s="3118" t="s">
        <v>2773</v>
      </c>
      <c r="D127" s="3092" t="s">
        <v>2774</v>
      </c>
      <c r="E127" s="3118">
        <v>0.1</v>
      </c>
      <c r="F127" s="3118">
        <v>15</v>
      </c>
    </row>
    <row r="128" spans="1:6" ht="13.5">
      <c r="A128" s="3118">
        <v>56</v>
      </c>
      <c r="B128" s="3804"/>
      <c r="C128" s="3118" t="s">
        <v>2775</v>
      </c>
      <c r="D128" s="3092" t="s">
        <v>2776</v>
      </c>
      <c r="E128" s="3118">
        <v>0.1</v>
      </c>
      <c r="F128" s="3118">
        <v>15</v>
      </c>
    </row>
    <row r="129" spans="1:6" ht="24">
      <c r="A129" s="3118">
        <v>57</v>
      </c>
      <c r="B129" s="3804"/>
      <c r="C129" s="3118" t="s">
        <v>2777</v>
      </c>
      <c r="D129" s="3092" t="s">
        <v>2778</v>
      </c>
      <c r="E129" s="3118">
        <v>0.1</v>
      </c>
      <c r="F129" s="3118">
        <v>15</v>
      </c>
    </row>
    <row r="130" spans="1:6" ht="24">
      <c r="A130" s="3118">
        <v>58</v>
      </c>
      <c r="B130" s="3804" t="s">
        <v>2779</v>
      </c>
      <c r="C130" s="3118" t="s">
        <v>2780</v>
      </c>
      <c r="D130" s="3092" t="s">
        <v>2781</v>
      </c>
      <c r="E130" s="3118">
        <v>0.1</v>
      </c>
      <c r="F130" s="3118">
        <v>15</v>
      </c>
    </row>
    <row r="131" spans="1:6" ht="13.5">
      <c r="A131" s="3118">
        <v>59</v>
      </c>
      <c r="B131" s="3804"/>
      <c r="C131" s="3118" t="s">
        <v>2782</v>
      </c>
      <c r="D131" s="3092" t="s">
        <v>2783</v>
      </c>
      <c r="E131" s="3118">
        <v>0.1</v>
      </c>
      <c r="F131" s="3118">
        <v>15</v>
      </c>
    </row>
    <row r="132" spans="1:6" ht="13.5">
      <c r="A132" s="3118">
        <v>60</v>
      </c>
      <c r="B132" s="3805" t="s">
        <v>2784</v>
      </c>
      <c r="C132" s="3118" t="s">
        <v>2785</v>
      </c>
      <c r="D132" s="3092" t="s">
        <v>2786</v>
      </c>
      <c r="E132" s="3118">
        <v>0.1</v>
      </c>
      <c r="F132" s="3118">
        <v>15</v>
      </c>
    </row>
    <row r="133" spans="1:6" ht="13.5">
      <c r="A133" s="3118">
        <v>61</v>
      </c>
      <c r="B133" s="380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4" t="s">
        <v>2792</v>
      </c>
      <c r="C135" s="3118" t="s">
        <v>2793</v>
      </c>
      <c r="D135" s="3092" t="s">
        <v>2794</v>
      </c>
      <c r="E135" s="3118">
        <v>0.1</v>
      </c>
      <c r="F135" s="3118">
        <v>15</v>
      </c>
    </row>
    <row r="136" spans="1:6" ht="13.5">
      <c r="A136" s="3118">
        <v>64</v>
      </c>
      <c r="B136" s="380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63174</v>
      </c>
      <c r="C2" s="2" t="s">
        <v>106</v>
      </c>
      <c r="D2" s="199"/>
      <c r="E2" s="199"/>
      <c r="F2" s="199"/>
      <c r="G2" s="199"/>
    </row>
    <row r="3" spans="1:7" s="200" customFormat="1" ht="18" customHeight="1" thickBot="1">
      <c r="A3" s="203" t="s">
        <v>58</v>
      </c>
      <c r="B3" s="204">
        <f ca="1">ROUND(B2*10000/'数据-汇总表'!E3,0)</f>
        <v>9364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1349</v>
      </c>
      <c r="D10" s="845">
        <f>'数据-汇总表'!E6</f>
        <v>67463.599999999977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1349</v>
      </c>
      <c r="D19" s="849">
        <f>'数据-汇总表'!E3</f>
        <v>67463.599999999977</v>
      </c>
      <c r="E19" s="211">
        <f>'数据-取费表'!B31</f>
        <v>200</v>
      </c>
      <c r="F19" s="231"/>
      <c r="G19" s="1" t="s">
        <v>436</v>
      </c>
    </row>
    <row r="20" spans="1:7" s="214" customFormat="1" ht="13.5" customHeight="1">
      <c r="A20" s="777" t="s">
        <v>419</v>
      </c>
      <c r="B20" s="210" t="s">
        <v>77</v>
      </c>
      <c r="C20" s="232">
        <f>ROUND((C5+C19)*F20,0)</f>
        <v>439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2372</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144</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3584</v>
      </c>
      <c r="D27" s="235">
        <f>C29</f>
        <v>3.2000000000000002E-3</v>
      </c>
      <c r="E27" s="236" t="s">
        <v>99</v>
      </c>
      <c r="F27" s="246">
        <f>'数据-取费表'!Q16</f>
        <v>0.16</v>
      </c>
      <c r="G27" s="247" t="s">
        <v>431</v>
      </c>
    </row>
    <row r="28" spans="1:7" s="214" customFormat="1" ht="13.5" customHeight="1">
      <c r="A28" s="780" t="s">
        <v>349</v>
      </c>
      <c r="B28" s="248" t="s">
        <v>424</v>
      </c>
      <c r="C28" s="249">
        <f>ROUND((C5+C19+C20)*F27*'数据-取费表'!B21/'数据-取费表'!B20,0)</f>
        <v>3584</v>
      </c>
      <c r="D28" s="235"/>
      <c r="E28" s="236"/>
      <c r="F28" s="246"/>
      <c r="G28" s="247"/>
    </row>
    <row r="29" spans="1:7" s="214" customFormat="1" ht="13.5" customHeight="1">
      <c r="A29" s="780" t="s">
        <v>347</v>
      </c>
      <c r="B29" s="248" t="s">
        <v>425</v>
      </c>
      <c r="C29" s="238">
        <f>ROUND(C21*F27*'数据-取费表'!B21/'数据-取费表'!B20,4)</f>
        <v>3.2000000000000002E-3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26024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23613</v>
      </c>
      <c r="D34" s="217"/>
      <c r="E34" s="220"/>
      <c r="F34" s="257">
        <f>IF('数据-取费表'!B24=0,1,'数据-取费表'!N16)</f>
        <v>1</v>
      </c>
      <c r="G34" s="219" t="s">
        <v>89</v>
      </c>
    </row>
    <row r="35" spans="1:7" ht="13.5" customHeight="1">
      <c r="A35" s="780" t="s">
        <v>351</v>
      </c>
      <c r="B35" s="215" t="s">
        <v>33</v>
      </c>
      <c r="C35" s="220">
        <f>ROUND(C34*F35,0)</f>
        <v>708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1349</v>
      </c>
      <c r="D37" s="217">
        <f>'数据-汇总表'!E3</f>
        <v>67463.599999999977</v>
      </c>
      <c r="E37" s="249">
        <f>'数据-取费表'!B35</f>
        <v>200</v>
      </c>
      <c r="F37" s="259"/>
      <c r="G37" s="261" t="s">
        <v>92</v>
      </c>
    </row>
    <row r="38" spans="1:7" ht="13.5" customHeight="1">
      <c r="A38" s="780" t="s">
        <v>354</v>
      </c>
      <c r="B38" s="215" t="s">
        <v>36</v>
      </c>
      <c r="C38" s="220">
        <f>ROUND(C34*F38,0)</f>
        <v>354</v>
      </c>
      <c r="D38" s="220"/>
      <c r="E38" s="220"/>
      <c r="F38" s="259">
        <f>'数据-取费表'!B36</f>
        <v>1.4999999999999999E-2</v>
      </c>
      <c r="G38" s="219" t="s">
        <v>90</v>
      </c>
    </row>
    <row r="39" spans="1:7" s="214" customFormat="1" ht="13.5" customHeight="1">
      <c r="A39" s="777" t="s">
        <v>338</v>
      </c>
      <c r="B39" s="210" t="s">
        <v>77</v>
      </c>
      <c r="C39" s="232">
        <f>ROUND(C33*F20,0)</f>
        <v>520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1384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1357</v>
      </c>
      <c r="D42" s="238"/>
      <c r="E42" s="238"/>
      <c r="F42" s="239"/>
      <c r="G42" s="3680" t="s">
        <v>94</v>
      </c>
    </row>
    <row r="43" spans="1:7" ht="13.5" customHeight="1">
      <c r="A43" s="780" t="s">
        <v>347</v>
      </c>
      <c r="B43" s="215" t="s">
        <v>426</v>
      </c>
      <c r="C43" s="238">
        <f ca="1">ROUND(IF('数据-取费表'!B22&lt;=1,C39*F22*'数据-取费表'!B21/2,C39*(POWER((1+F22),'数据-取费表'!B21/2)-1)),0)</f>
        <v>27</v>
      </c>
      <c r="D43" s="238"/>
      <c r="E43" s="238"/>
      <c r="F43" s="239"/>
      <c r="G43" s="3681"/>
    </row>
    <row r="44" spans="1:7" ht="13.5" customHeight="1">
      <c r="A44" s="780" t="s">
        <v>348</v>
      </c>
      <c r="B44" s="215" t="s">
        <v>428</v>
      </c>
      <c r="C44" s="238">
        <f ca="1">ROUND(IF('数据-取费表'!B22&lt;=1,C40*F22*'数据-取费表'!B21/2,C40*(POWER((1+F22),'数据-取费表'!B21/2)-1)),4)</f>
        <v>1E-3</v>
      </c>
      <c r="D44" s="238"/>
      <c r="E44" s="238"/>
      <c r="F44" s="239"/>
      <c r="G44" s="3682"/>
    </row>
    <row r="45" spans="1:7" s="214" customFormat="1" ht="13.5" customHeight="1">
      <c r="A45" s="777" t="s">
        <v>341</v>
      </c>
      <c r="B45" s="244" t="s">
        <v>85</v>
      </c>
      <c r="C45" s="245">
        <f>C46</f>
        <v>4247</v>
      </c>
      <c r="D45" s="235">
        <f>C47</f>
        <v>3.2000000000000002E-3</v>
      </c>
      <c r="E45" s="236" t="s">
        <v>102</v>
      </c>
      <c r="F45" s="246"/>
      <c r="G45" s="247" t="s">
        <v>434</v>
      </c>
    </row>
    <row r="46" spans="1:7" s="214" customFormat="1" ht="13.5" customHeight="1">
      <c r="A46" s="780" t="s">
        <v>349</v>
      </c>
      <c r="B46" s="248" t="s">
        <v>427</v>
      </c>
      <c r="C46" s="249">
        <f>ROUND((C33+C39)*F27,0)</f>
        <v>4247</v>
      </c>
      <c r="D46" s="263"/>
      <c r="E46" s="236"/>
      <c r="F46" s="246"/>
      <c r="G46" s="247"/>
    </row>
    <row r="47" spans="1:7" s="214" customFormat="1" ht="13.5" customHeight="1">
      <c r="A47" s="780" t="s">
        <v>347</v>
      </c>
      <c r="B47" s="248" t="s">
        <v>429</v>
      </c>
      <c r="C47" s="238">
        <f>ROUND(C40*F27,4)</f>
        <v>3.2000000000000002E-3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34879</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32437</v>
      </c>
      <c r="D51" s="232"/>
      <c r="E51" s="232"/>
      <c r="F51" s="264"/>
      <c r="G51" s="234" t="s">
        <v>37</v>
      </c>
    </row>
    <row r="52" spans="1:7" s="208" customFormat="1" ht="16.5" thickBot="1">
      <c r="A52" s="265" t="s">
        <v>38</v>
      </c>
      <c r="B52" s="266"/>
      <c r="C52" s="267">
        <f ca="1">C31+C51</f>
        <v>63174</v>
      </c>
      <c r="D52" s="266"/>
      <c r="E52" s="266"/>
      <c r="F52" s="266"/>
      <c r="G52" s="268"/>
    </row>
    <row r="55" spans="1:7" ht="15">
      <c r="B55" s="270" t="s">
        <v>39</v>
      </c>
      <c r="C55" s="271"/>
    </row>
    <row r="56" spans="1:7">
      <c r="B56" s="273" t="s">
        <v>40</v>
      </c>
      <c r="C56" s="274">
        <f ca="1">ROUND(C51/C52,3)</f>
        <v>0.51300000000000001</v>
      </c>
    </row>
    <row r="57" spans="1:7">
      <c r="B57" s="273" t="s">
        <v>41</v>
      </c>
      <c r="C57" s="275">
        <f ca="1">1-C56</f>
        <v>0.48699999999999999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7" t="s">
        <v>3564</v>
      </c>
      <c r="F1" s="1879" t="s">
        <v>3565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49451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50000</v>
      </c>
      <c r="C3" s="354" t="s">
        <v>1768</v>
      </c>
      <c r="D3" s="353">
        <f>IF(D1="",'数据-汇总表'!E3,SUMIF('数据-汇总表'!$C19:$C33,D1,'数据-汇总表'!$E19:$E33))</f>
        <v>9890.119999999999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46" t="s">
        <v>1770</v>
      </c>
      <c r="D4" s="3747"/>
      <c r="E4" s="3748" t="s">
        <v>1771</v>
      </c>
      <c r="F4" s="3749"/>
      <c r="G4" s="3746" t="s">
        <v>1772</v>
      </c>
      <c r="H4" s="3747"/>
      <c r="I4" s="3746" t="s">
        <v>1773</v>
      </c>
      <c r="J4" s="3747"/>
      <c r="K4" s="559" t="s">
        <v>1774</v>
      </c>
      <c r="L4" s="2715"/>
      <c r="M4" s="2716"/>
      <c r="N4" s="2716"/>
      <c r="O4" s="2716"/>
      <c r="P4" s="3750" t="s">
        <v>1775</v>
      </c>
      <c r="Q4" s="3751"/>
      <c r="R4" s="3756" t="s">
        <v>1771</v>
      </c>
      <c r="S4" s="3757"/>
      <c r="T4" s="3756" t="s">
        <v>1772</v>
      </c>
      <c r="U4" s="3757"/>
      <c r="V4" s="3762" t="s">
        <v>1773</v>
      </c>
      <c r="W4" s="3762"/>
      <c r="X4" s="1355"/>
      <c r="Y4" s="3756" t="s">
        <v>1775</v>
      </c>
      <c r="Z4" s="3757"/>
      <c r="AA4" s="3743" t="s">
        <v>1771</v>
      </c>
      <c r="AB4" s="3762" t="s">
        <v>1772</v>
      </c>
      <c r="AC4" s="3743" t="s">
        <v>1773</v>
      </c>
    </row>
    <row r="5" spans="1:29" ht="15">
      <c r="A5" s="358"/>
      <c r="B5" s="359"/>
      <c r="C5" s="3765" t="s">
        <v>1673</v>
      </c>
      <c r="D5" s="3766"/>
      <c r="E5" s="3772" t="s">
        <v>1674</v>
      </c>
      <c r="F5" s="3773"/>
      <c r="G5" s="3765" t="s">
        <v>1675</v>
      </c>
      <c r="H5" s="3766"/>
      <c r="I5" s="3765" t="s">
        <v>1676</v>
      </c>
      <c r="J5" s="3766"/>
      <c r="K5" s="559"/>
      <c r="L5" s="2715"/>
      <c r="M5" s="2716"/>
      <c r="N5" s="2716"/>
      <c r="O5" s="2716"/>
      <c r="P5" s="3752"/>
      <c r="Q5" s="3753"/>
      <c r="R5" s="3758"/>
      <c r="S5" s="3759"/>
      <c r="T5" s="3758"/>
      <c r="U5" s="3759"/>
      <c r="V5" s="3762"/>
      <c r="W5" s="3762"/>
      <c r="X5" s="1355"/>
      <c r="Y5" s="3758"/>
      <c r="Z5" s="3759"/>
      <c r="AA5" s="3744"/>
      <c r="AB5" s="3762"/>
      <c r="AC5" s="3744"/>
    </row>
    <row r="6" spans="1:29" ht="15.75" thickBot="1">
      <c r="A6" s="360"/>
      <c r="B6" s="361"/>
      <c r="C6" s="3763" t="s">
        <v>1677</v>
      </c>
      <c r="D6" s="3764"/>
      <c r="E6" s="3770" t="s">
        <v>1677</v>
      </c>
      <c r="F6" s="3771"/>
      <c r="G6" s="3763" t="s">
        <v>1677</v>
      </c>
      <c r="H6" s="3764"/>
      <c r="I6" s="3763" t="s">
        <v>1677</v>
      </c>
      <c r="J6" s="3764"/>
      <c r="K6" s="559" t="s">
        <v>1678</v>
      </c>
      <c r="L6" s="2715"/>
      <c r="M6" s="2716"/>
      <c r="N6" s="2716"/>
      <c r="O6" s="2716"/>
      <c r="P6" s="3754"/>
      <c r="Q6" s="3755"/>
      <c r="R6" s="3758"/>
      <c r="S6" s="3759"/>
      <c r="T6" s="3760"/>
      <c r="U6" s="3761"/>
      <c r="V6" s="3762"/>
      <c r="W6" s="3762"/>
      <c r="X6" s="1355"/>
      <c r="Y6" s="3760"/>
      <c r="Z6" s="3761"/>
      <c r="AA6" s="3745"/>
      <c r="AB6" s="3762"/>
      <c r="AC6" s="3745"/>
    </row>
    <row r="7" spans="1:29" s="108" customFormat="1" ht="15.75" thickBot="1">
      <c r="A7" s="362" t="s">
        <v>1679</v>
      </c>
      <c r="B7" s="363"/>
      <c r="C7" s="364">
        <f>'数据-取费表'!B2</f>
        <v>44936</v>
      </c>
      <c r="D7" s="365">
        <v>100</v>
      </c>
      <c r="E7" s="366">
        <f>C7</f>
        <v>44936</v>
      </c>
      <c r="F7" s="367">
        <f>SUMIF(58:58,YEAR(E7)&amp;"-"&amp;MONTH(E7),59:59)</f>
        <v>100</v>
      </c>
      <c r="G7" s="366">
        <f>C7</f>
        <v>44936</v>
      </c>
      <c r="H7" s="365">
        <f>SUMIF(58:58,YEAR(G7)&amp;"-"&amp;MONTH(G7),59:59)</f>
        <v>100</v>
      </c>
      <c r="I7" s="366">
        <f>C7</f>
        <v>44936</v>
      </c>
      <c r="J7" s="365">
        <f>SUMIF(58:58,YEAR(I7)&amp;"-"&amp;MONTH(I7),59:59)</f>
        <v>100</v>
      </c>
      <c r="K7" s="560"/>
      <c r="L7" s="2717"/>
      <c r="M7" s="2718"/>
      <c r="N7" s="2718"/>
      <c r="O7" s="2718"/>
      <c r="P7" s="3767" t="s">
        <v>1680</v>
      </c>
      <c r="Q7" s="3769"/>
      <c r="R7" s="701" t="s">
        <v>14</v>
      </c>
      <c r="S7" s="702">
        <f t="shared" ref="S7:S15" si="0">F7</f>
        <v>100</v>
      </c>
      <c r="T7" s="701" t="s">
        <v>14</v>
      </c>
      <c r="U7" s="702">
        <f t="shared" ref="U7:U15" si="1">H7</f>
        <v>100</v>
      </c>
      <c r="V7" s="701" t="s">
        <v>14</v>
      </c>
      <c r="W7" s="702">
        <f t="shared" ref="W7:W15" si="2">J7</f>
        <v>100</v>
      </c>
      <c r="X7" s="703"/>
      <c r="Y7" s="3767" t="s">
        <v>1680</v>
      </c>
      <c r="Z7" s="3768"/>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67" t="s">
        <v>1683</v>
      </c>
      <c r="Q8" s="3768"/>
      <c r="R8" s="701" t="s">
        <v>14</v>
      </c>
      <c r="S8" s="702">
        <f t="shared" si="0"/>
        <v>100</v>
      </c>
      <c r="T8" s="701" t="s">
        <v>14</v>
      </c>
      <c r="U8" s="702">
        <f t="shared" si="1"/>
        <v>100</v>
      </c>
      <c r="V8" s="701" t="s">
        <v>14</v>
      </c>
      <c r="W8" s="702">
        <f t="shared" si="2"/>
        <v>100</v>
      </c>
      <c r="X8" s="703"/>
      <c r="Y8" s="3767" t="s">
        <v>1683</v>
      </c>
      <c r="Z8" s="37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2" t="s">
        <v>1686</v>
      </c>
      <c r="Q9" s="1343" t="str">
        <f t="shared" ref="Q9:Q15" si="6">B9</f>
        <v>用途</v>
      </c>
      <c r="R9" s="701" t="s">
        <v>14</v>
      </c>
      <c r="S9" s="702">
        <f t="shared" si="0"/>
        <v>100</v>
      </c>
      <c r="T9" s="701" t="s">
        <v>14</v>
      </c>
      <c r="U9" s="702">
        <f t="shared" si="1"/>
        <v>100</v>
      </c>
      <c r="V9" s="701" t="s">
        <v>14</v>
      </c>
      <c r="W9" s="702">
        <f t="shared" si="2"/>
        <v>100</v>
      </c>
      <c r="X9" s="703"/>
      <c r="Y9" s="3587"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42"/>
      <c r="Q11" s="1343"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2"/>
      <c r="Q14" s="1343">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1"/>
      <c r="Q22" s="1352"/>
      <c r="R22" s="705"/>
      <c r="S22" s="706"/>
      <c r="T22" s="705"/>
      <c r="U22" s="706"/>
      <c r="V22" s="705"/>
      <c r="W22" s="706"/>
      <c r="X22" s="1355"/>
      <c r="Y22" s="373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1696</v>
      </c>
      <c r="Q32" s="1352" t="str">
        <f t="shared" si="11"/>
        <v>商业类型</v>
      </c>
      <c r="R32" s="705" t="s">
        <v>14</v>
      </c>
      <c r="S32" s="706">
        <f t="shared" si="12"/>
        <v>100</v>
      </c>
      <c r="T32" s="705" t="s">
        <v>14</v>
      </c>
      <c r="U32" s="706">
        <f t="shared" si="13"/>
        <v>100</v>
      </c>
      <c r="V32" s="705" t="s">
        <v>14</v>
      </c>
      <c r="W32" s="706">
        <f t="shared" si="14"/>
        <v>100</v>
      </c>
      <c r="X32" s="1355"/>
      <c r="Y32" s="37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36"/>
      <c r="Q33" s="707" t="str">
        <f t="shared" si="11"/>
        <v>项目建筑规模</v>
      </c>
      <c r="R33" s="708" t="s">
        <v>14</v>
      </c>
      <c r="S33" s="709">
        <f t="shared" si="12"/>
        <v>100</v>
      </c>
      <c r="T33" s="708" t="s">
        <v>14</v>
      </c>
      <c r="U33" s="709">
        <f t="shared" si="13"/>
        <v>100</v>
      </c>
      <c r="V33" s="708" t="s">
        <v>14</v>
      </c>
      <c r="W33" s="709">
        <f t="shared" si="14"/>
        <v>100</v>
      </c>
      <c r="X33" s="710"/>
      <c r="Y33" s="3738"/>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1786</v>
      </c>
      <c r="C36" s="425">
        <f>'数据-取费表'!N7</f>
        <v>0.93</v>
      </c>
      <c r="D36" s="386">
        <v>100</v>
      </c>
      <c r="E36" s="425">
        <f>C36</f>
        <v>0.93</v>
      </c>
      <c r="F36" s="412">
        <f>LOOKUP(E36,110:110,111:111)-LOOKUP(C36,110:110,111:111)+100</f>
        <v>100</v>
      </c>
      <c r="G36" s="425">
        <f>C36</f>
        <v>0.93</v>
      </c>
      <c r="H36" s="412">
        <f>LOOKUP(G36,110:110,111:111)-LOOKUP(C36,110:110,111:111)+100</f>
        <v>100</v>
      </c>
      <c r="I36" s="425">
        <f>C36</f>
        <v>0.93</v>
      </c>
      <c r="J36" s="386">
        <f>LOOKUP(I36,110:110,111:111)-LOOKUP(C36,110:110,111:111)+100</f>
        <v>100</v>
      </c>
      <c r="K36" s="561"/>
      <c r="L36" s="2722"/>
      <c r="M36" s="2716"/>
      <c r="N36" s="2716"/>
      <c r="O36" s="2716"/>
      <c r="P36" s="3736"/>
      <c r="Q36" s="1352" t="str">
        <f t="shared" si="11"/>
        <v>成新度</v>
      </c>
      <c r="R36" s="705" t="s">
        <v>14</v>
      </c>
      <c r="S36" s="706">
        <f t="shared" si="12"/>
        <v>100</v>
      </c>
      <c r="T36" s="705" t="s">
        <v>14</v>
      </c>
      <c r="U36" s="706">
        <f t="shared" si="13"/>
        <v>100</v>
      </c>
      <c r="V36" s="705" t="s">
        <v>14</v>
      </c>
      <c r="W36" s="706">
        <f t="shared" si="14"/>
        <v>100</v>
      </c>
      <c r="X36" s="1355"/>
      <c r="Y36" s="3738"/>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1696</v>
      </c>
      <c r="Q38" s="1352" t="str">
        <f t="shared" si="11"/>
        <v>业态</v>
      </c>
      <c r="R38" s="705" t="s">
        <v>14</v>
      </c>
      <c r="S38" s="706">
        <f t="shared" si="12"/>
        <v>100</v>
      </c>
      <c r="T38" s="705" t="s">
        <v>14</v>
      </c>
      <c r="U38" s="706">
        <f t="shared" si="13"/>
        <v>100</v>
      </c>
      <c r="V38" s="705" t="s">
        <v>14</v>
      </c>
      <c r="W38" s="706">
        <f t="shared" si="14"/>
        <v>100</v>
      </c>
      <c r="X38" s="1355"/>
      <c r="Y38" s="37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1708</v>
      </c>
      <c r="B47" s="431"/>
      <c r="C47" s="1154" t="s">
        <v>0</v>
      </c>
      <c r="D47" s="1155"/>
      <c r="E47" s="1156">
        <v>50000</v>
      </c>
      <c r="F47" s="1157"/>
      <c r="G47" s="1158">
        <v>50000</v>
      </c>
      <c r="H47" s="1159"/>
      <c r="I47" s="1156">
        <v>50000</v>
      </c>
      <c r="J47" s="1159"/>
      <c r="K47" s="714"/>
      <c r="L47" s="2724"/>
      <c r="M47" s="2725"/>
      <c r="N47" s="2716"/>
      <c r="O47" s="2725"/>
      <c r="P47" s="3731" t="str">
        <f>A47</f>
        <v>成交单价（元/平方米）</v>
      </c>
      <c r="Q47" s="3731"/>
      <c r="R47" s="3762">
        <f>E47</f>
        <v>50000</v>
      </c>
      <c r="S47" s="3762"/>
      <c r="T47" s="3762">
        <f>G47</f>
        <v>50000</v>
      </c>
      <c r="U47" s="3762"/>
      <c r="V47" s="3762">
        <f>I47</f>
        <v>50000</v>
      </c>
      <c r="W47" s="3762"/>
      <c r="X47" s="690"/>
      <c r="Y47" s="712"/>
      <c r="Z47" s="690"/>
      <c r="AA47" s="690"/>
      <c r="AB47" s="690"/>
      <c r="AC47" s="690"/>
    </row>
    <row r="48" spans="1:29" ht="15.75" thickBot="1">
      <c r="A48" s="437" t="s">
        <v>1793</v>
      </c>
      <c r="B48" s="438"/>
      <c r="C48" s="1160">
        <f>R49</f>
        <v>50000</v>
      </c>
      <c r="D48" s="2317" t="s">
        <v>2138</v>
      </c>
      <c r="E48" s="1161">
        <f>R48</f>
        <v>50000</v>
      </c>
      <c r="F48" s="2318"/>
      <c r="G48" s="1160">
        <f>T48</f>
        <v>50000</v>
      </c>
      <c r="H48" s="2318"/>
      <c r="I48" s="1161">
        <f>V48</f>
        <v>50000</v>
      </c>
      <c r="J48" s="2318"/>
      <c r="K48" s="2320">
        <f>F48+H48+J48</f>
        <v>0</v>
      </c>
      <c r="L48" s="2724"/>
      <c r="M48" s="2725"/>
      <c r="N48" s="2716"/>
      <c r="O48" s="2725"/>
      <c r="P48" s="3731" t="str">
        <f>A48</f>
        <v>比较价值（元/平方米）</v>
      </c>
      <c r="Q48" s="3731"/>
      <c r="R48" s="3732">
        <f>IF(F1="售价",ROUND(PRODUCT(R47,AA7:AA46),0),ROUND(PRODUCT(R47,AA7:AA46),1))</f>
        <v>50000</v>
      </c>
      <c r="S48" s="3732"/>
      <c r="T48" s="3732">
        <f>IF(F1="售价",ROUND(PRODUCT(T47,AB7:AB46),0),ROUND(PRODUCT(T47,AB7:AB46),1))</f>
        <v>50000</v>
      </c>
      <c r="U48" s="3732"/>
      <c r="V48" s="3732">
        <f>IF(F1="售价",ROUND(PRODUCT(V47,AC7:AC46),0),ROUND(PRODUCT(V47,AC7:AC46),1))</f>
        <v>50000</v>
      </c>
      <c r="W48" s="3732"/>
      <c r="X48" s="690"/>
      <c r="Y48" s="690"/>
      <c r="Z48" s="690"/>
      <c r="AA48" s="690"/>
      <c r="AB48" s="690"/>
      <c r="AC48" s="690"/>
    </row>
    <row r="49" spans="1:29" ht="15.75" thickBot="1">
      <c r="A49" s="441" t="s">
        <v>1794</v>
      </c>
      <c r="B49" s="442"/>
      <c r="C49" s="1163">
        <f>R49</f>
        <v>50000</v>
      </c>
      <c r="D49" s="1163"/>
      <c r="E49" s="1163"/>
      <c r="F49" s="1163"/>
      <c r="G49" s="1163"/>
      <c r="H49" s="1163"/>
      <c r="I49" s="1163"/>
      <c r="J49" s="1163"/>
      <c r="K49" s="715"/>
      <c r="L49" s="2724"/>
      <c r="M49" s="2725"/>
      <c r="N49" s="2716"/>
      <c r="O49" s="2725"/>
      <c r="P49" s="3728" t="str">
        <f>A49</f>
        <v>估价对象XX用房的比较价值（楼面单价，元/平方米）</v>
      </c>
      <c r="Q49" s="3729"/>
      <c r="R49" s="3730">
        <f>IF(F1="售价",ROUND(IF(D48="简单平均",AVERAGE(R48:V48),R48*F48+T48*H48+V48*J48),0),ROUND(IF(D48="简单平均",AVERAGE(R48:V48),R48*F48+T48*H48+V48*J48),1))</f>
        <v>50000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818" t="s">
        <v>2848</v>
      </c>
      <c r="B1" s="3818"/>
      <c r="C1" s="3818"/>
      <c r="D1" s="3818"/>
      <c r="E1" s="3818"/>
      <c r="F1" s="3818"/>
      <c r="G1" s="3819"/>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816"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817"/>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820" t="s">
        <v>3190</v>
      </c>
      <c r="B1" s="3820"/>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821" t="s">
        <v>3241</v>
      </c>
      <c r="B1" s="3821"/>
      <c r="C1" s="3821"/>
      <c r="D1" s="3821"/>
      <c r="E1" s="3821"/>
      <c r="F1" s="3822"/>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2">
        <f>基准地价修正!G23</f>
        <v>44936</v>
      </c>
      <c r="B1" s="3211" t="s">
        <v>2847</v>
      </c>
      <c r="C1" s="3212"/>
      <c r="D1" s="3212"/>
      <c r="E1" s="3212"/>
      <c r="F1" s="3212"/>
      <c r="G1" s="3212"/>
      <c r="H1" s="3212"/>
      <c r="I1" s="3212"/>
      <c r="J1" s="3165"/>
      <c r="K1" s="3212" t="s">
        <v>454</v>
      </c>
      <c r="L1" s="3212"/>
      <c r="M1" s="3212"/>
      <c r="N1" s="3212"/>
      <c r="O1" s="3212"/>
      <c r="P1" s="3212"/>
      <c r="Q1" s="3165"/>
      <c r="R1" s="3823" t="s">
        <v>456</v>
      </c>
      <c r="S1" s="3824"/>
      <c r="T1" s="3824"/>
      <c r="U1" s="3824"/>
      <c r="V1" s="3824"/>
      <c r="W1" s="3824"/>
      <c r="X1" s="3165"/>
      <c r="Y1" s="3823" t="s">
        <v>457</v>
      </c>
      <c r="Z1" s="3824"/>
      <c r="AA1" s="3824"/>
      <c r="AB1" s="3824"/>
      <c r="AC1" s="3824"/>
      <c r="AD1" s="382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823" t="s">
        <v>2833</v>
      </c>
      <c r="S18" s="3824"/>
      <c r="T18" s="3824"/>
      <c r="U18" s="3824"/>
      <c r="V18" s="3824"/>
      <c r="W18" s="3824"/>
      <c r="X18" s="3165"/>
      <c r="Y18" s="3823" t="s">
        <v>2834</v>
      </c>
      <c r="Z18" s="3824"/>
      <c r="AA18" s="3824"/>
      <c r="AB18" s="3824"/>
      <c r="AC18" s="3824"/>
      <c r="AD18" s="3824"/>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4" t="s">
        <v>925</v>
      </c>
      <c r="E3" s="854" t="s">
        <v>931</v>
      </c>
      <c r="F3" s="854" t="s">
        <v>925</v>
      </c>
      <c r="G3" s="854" t="s">
        <v>926</v>
      </c>
      <c r="H3" s="854" t="s">
        <v>925</v>
      </c>
      <c r="I3" s="854" t="s">
        <v>926</v>
      </c>
    </row>
    <row r="4" spans="1:9" ht="15">
      <c r="A4" s="1505" t="str">
        <f>项目基本情况!S2</f>
        <v>北京市房地产</v>
      </c>
      <c r="B4" s="854">
        <f>项目基本情况!C17</f>
        <v>67463.599999999977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0" t="s">
        <v>927</v>
      </c>
      <c r="B5" s="3510"/>
      <c r="C5" s="3510"/>
      <c r="D5" s="3510" t="e">
        <f ca="1">结果表!D119</f>
        <v>#REF!</v>
      </c>
      <c r="E5" s="3510"/>
      <c r="F5" s="3510" t="e">
        <f ca="1">结果表!F119</f>
        <v>#REF!</v>
      </c>
      <c r="G5" s="3510"/>
      <c r="H5" s="3510" t="e">
        <f ca="1">结果表!H119</f>
        <v>#REF!</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t="e">
        <f ca="1">结果表!D122</f>
        <v>#REF!</v>
      </c>
      <c r="E8" s="3509"/>
      <c r="F8" s="3509"/>
      <c r="G8" s="3509"/>
      <c r="H8" s="3509"/>
      <c r="I8" s="3509"/>
    </row>
    <row r="9" spans="1:9" ht="15">
      <c r="A9" s="3510" t="s">
        <v>927</v>
      </c>
      <c r="B9" s="3510"/>
      <c r="C9" s="3510"/>
      <c r="D9" s="3510" t="e">
        <f ca="1">结果表!D123</f>
        <v>#REF!</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44936</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2" t="s">
        <v>949</v>
      </c>
      <c r="B1" s="3522"/>
      <c r="C1" s="3522"/>
      <c r="D1" s="3522"/>
    </row>
    <row r="2" spans="1:4" ht="18">
      <c r="A2" s="3523" t="s">
        <v>933</v>
      </c>
      <c r="B2" s="3523"/>
      <c r="C2" s="3523"/>
      <c r="D2" s="352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3" t="s">
        <v>939</v>
      </c>
      <c r="B6" s="3523"/>
      <c r="C6" s="3523"/>
      <c r="D6" s="352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0" t="s">
        <v>956</v>
      </c>
      <c r="B15" s="3525" t="s">
        <v>109</v>
      </c>
      <c r="C15" s="3526"/>
    </row>
    <row r="16" spans="1:7" ht="13.5">
      <c r="A16" s="3531"/>
      <c r="B16" s="3525" t="s">
        <v>42</v>
      </c>
      <c r="C16" s="3526"/>
    </row>
    <row r="17" spans="1:3" ht="13.5">
      <c r="A17" s="3531"/>
      <c r="B17" s="3528" t="s">
        <v>957</v>
      </c>
      <c r="C17" s="1532" t="s">
        <v>956</v>
      </c>
    </row>
    <row r="18" spans="1:3" ht="13.5">
      <c r="A18" s="3531"/>
      <c r="B18" s="3528"/>
      <c r="C18" s="1532" t="s">
        <v>958</v>
      </c>
    </row>
    <row r="19" spans="1:3" ht="13.5">
      <c r="A19" s="3531"/>
      <c r="B19" s="3528"/>
      <c r="C19" s="1532" t="s">
        <v>959</v>
      </c>
    </row>
    <row r="20" spans="1:3" ht="13.5">
      <c r="A20" s="3532"/>
      <c r="B20" s="3527" t="s">
        <v>960</v>
      </c>
      <c r="C20" s="3526"/>
    </row>
    <row r="21" spans="1:3" ht="13.5">
      <c r="A21" s="1533" t="s">
        <v>961</v>
      </c>
      <c r="B21" s="1534"/>
      <c r="C21" s="1535"/>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2" t="s">
        <v>967</v>
      </c>
    </row>
    <row r="26" spans="1:3" ht="13.5">
      <c r="A26" s="3529"/>
      <c r="B26" s="3528"/>
      <c r="C26" s="1532" t="s">
        <v>968</v>
      </c>
    </row>
    <row r="27" spans="1:3" ht="13.5">
      <c r="A27" s="3529"/>
      <c r="B27" s="3528"/>
      <c r="C27" s="1532" t="s">
        <v>969</v>
      </c>
    </row>
    <row r="28" spans="1:3" ht="13.5">
      <c r="A28" s="3529"/>
      <c r="B28" s="3528"/>
      <c r="C28" s="1532" t="s">
        <v>970</v>
      </c>
    </row>
    <row r="29" spans="1:3" ht="13.5">
      <c r="A29" s="3529"/>
      <c r="B29" s="3528"/>
      <c r="C29" s="1532" t="s">
        <v>971</v>
      </c>
    </row>
    <row r="30" spans="1:3" ht="13.5">
      <c r="A30" s="3529"/>
      <c r="B30" s="3528"/>
      <c r="C30" s="1532" t="s">
        <v>972</v>
      </c>
    </row>
    <row r="31" spans="1:3" ht="13.5">
      <c r="A31" s="3529"/>
      <c r="B31" s="3528"/>
      <c r="C31" s="1532" t="s">
        <v>973</v>
      </c>
    </row>
    <row r="32" spans="1:3" ht="13.5">
      <c r="A32" s="3529"/>
      <c r="B32" s="3528"/>
      <c r="C32" s="1532" t="s">
        <v>974</v>
      </c>
    </row>
    <row r="33" spans="1:3" ht="13.5">
      <c r="A33" s="3529"/>
      <c r="B33" s="352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43"/>
      <c r="E18" s="3535" t="s">
        <v>2162</v>
      </c>
      <c r="F18" s="3534"/>
      <c r="G18" s="353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基准地价（汇总）</vt:lpstr>
      <vt:lpstr>基准地价修正</vt:lpstr>
      <vt:lpstr>基准地价修正(商业)</vt:lpstr>
      <vt:lpstr>收益法</vt:lpstr>
      <vt:lpstr>收益法(商业)</vt:lpstr>
      <vt:lpstr>收益法 (元)</vt:lpstr>
      <vt:lpstr>收益法-酒店模型</vt:lpstr>
      <vt:lpstr>收益法（汇总）</vt:lpstr>
      <vt:lpstr>比较法-住宅</vt:lpstr>
      <vt:lpstr>结果表(商业)</vt:lpstr>
      <vt:lpstr>结果表(办公)</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比较法-商业</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'结果表(办公)'!Print_Area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2023-01-10T09:18:10Z</dcterms:modified>
</cp:coreProperties>
</file>