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66325 15-1+5-1\北京市昌平区景文东路2号院1号楼16层1603\"/>
    </mc:Choice>
  </mc:AlternateContent>
  <bookViews>
    <workbookView xWindow="0" yWindow="0" windowWidth="17028" windowHeight="135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r:id="rId27"/>
    <sheet name="Sheet1" sheetId="9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I47" i="21"/>
  <c r="G47" i="21"/>
  <c r="E47" i="21"/>
  <c r="I7" i="21"/>
  <c r="G7" i="21"/>
  <c r="E7" i="21"/>
  <c r="I5" i="21"/>
  <c r="G5" i="21"/>
  <c r="E5" i="21"/>
  <c r="N20" i="1"/>
  <c r="F19" i="6" l="1"/>
  <c r="D33" i="43" s="1"/>
  <c r="N59" i="21" l="1"/>
  <c r="M59" i="21"/>
  <c r="D90" i="21" l="1"/>
  <c r="D5" i="9" l="1"/>
  <c r="E90" i="21"/>
  <c r="I12" i="21" l="1"/>
  <c r="G12" i="21"/>
  <c r="C37" i="21" l="1"/>
  <c r="I37" i="21" l="1"/>
  <c r="G37" i="21"/>
  <c r="E37" i="21"/>
  <c r="C90" i="21"/>
  <c r="C126" i="21"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L17" i="3"/>
  <c r="AZ17" i="3" s="1"/>
  <c r="BL13" i="3"/>
  <c r="J56" i="9"/>
  <c r="J57" i="9" s="1"/>
  <c r="J59" i="9" s="1"/>
  <c r="J61" i="9" s="1"/>
  <c r="A24" i="51"/>
  <c r="B18" i="72" s="1"/>
  <c r="U29" i="34"/>
  <c r="G1" i="68"/>
  <c r="K1" i="12"/>
  <c r="E19" i="69"/>
  <c r="E19" i="68"/>
  <c r="E19"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B13" i="76"/>
  <c r="E9" i="76"/>
  <c r="B9" i="76"/>
  <c r="E11" i="76"/>
  <c r="E2" i="68"/>
  <c r="F3" i="73"/>
  <c r="F4" i="73"/>
  <c r="D34" i="9"/>
  <c r="M23" i="67"/>
  <c r="F6" i="73"/>
  <c r="B12" i="76"/>
  <c r="B8" i="76"/>
  <c r="F7" i="67"/>
  <c r="F7" i="73"/>
  <c r="M9" i="67"/>
  <c r="F5" i="73"/>
  <c r="M8" i="15"/>
  <c r="B11" i="76"/>
  <c r="E7" i="76"/>
  <c r="M22" i="67"/>
  <c r="B10" i="76"/>
  <c r="AO13" i="1"/>
  <c r="E2" i="69"/>
  <c r="F20" i="31"/>
  <c r="C76" i="67"/>
  <c r="D35" i="9"/>
  <c r="M8" i="67"/>
  <c r="E12" i="76"/>
  <c r="E8" i="76"/>
  <c r="E10" i="76"/>
  <c r="B7" i="76"/>
  <c r="G22" i="69" l="1"/>
  <c r="G22" i="11"/>
  <c r="E1" i="73"/>
  <c r="G26" i="12"/>
  <c r="G22" i="68"/>
  <c r="W23" i="21"/>
  <c r="C7" i="12"/>
  <c r="M47" i="9"/>
  <c r="H36" i="21"/>
  <c r="U36" i="21" s="1"/>
  <c r="F17" i="21"/>
  <c r="AA17" i="21" s="1"/>
  <c r="S28" i="2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J46" i="36" s="1"/>
  <c r="K46" i="36" s="1"/>
  <c r="L46" i="36" s="1"/>
  <c r="M46" i="36" s="1"/>
  <c r="N46" i="36" s="1"/>
  <c r="O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39" i="21"/>
  <c r="S32" i="21"/>
  <c r="AB32" i="21"/>
  <c r="AC38" i="21"/>
  <c r="AA38" i="21"/>
  <c r="AB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W46" i="21" s="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M26" i="67"/>
  <c r="M6" i="67"/>
  <c r="D5" i="73"/>
  <c r="M24" i="15"/>
  <c r="L48" i="67"/>
  <c r="D9" i="69"/>
  <c r="M29" i="15"/>
  <c r="F6" i="67"/>
  <c r="F42" i="67"/>
  <c r="F43" i="15"/>
  <c r="D3" i="73"/>
  <c r="F13" i="67"/>
  <c r="F9" i="15"/>
  <c r="M29" i="67"/>
  <c r="J15" i="15"/>
  <c r="F9" i="67"/>
  <c r="F37" i="15"/>
  <c r="F8" i="15"/>
  <c r="M23" i="15"/>
  <c r="F36" i="67"/>
  <c r="M22" i="15"/>
  <c r="M26" i="15"/>
  <c r="D6" i="73"/>
  <c r="D7" i="73"/>
  <c r="M28" i="67"/>
  <c r="F36" i="15"/>
  <c r="F8" i="67"/>
  <c r="L47" i="67"/>
  <c r="F38" i="15"/>
  <c r="J15" i="67"/>
  <c r="M24" i="67"/>
  <c r="L48" i="15"/>
  <c r="F7" i="15"/>
  <c r="F26" i="15"/>
  <c r="F26" i="67"/>
  <c r="F13" i="15"/>
  <c r="M28" i="15"/>
  <c r="C36" i="69"/>
  <c r="F40" i="15"/>
  <c r="F40" i="67"/>
  <c r="F42" i="15"/>
  <c r="F43" i="67"/>
  <c r="D4" i="73"/>
  <c r="F37" i="67"/>
  <c r="L47" i="15"/>
  <c r="F6" i="15"/>
  <c r="C76" i="15"/>
  <c r="M9" i="15"/>
  <c r="F16" i="67"/>
  <c r="F16" i="15"/>
  <c r="M6" i="15"/>
  <c r="F38" i="67"/>
  <c r="W42" i="21" l="1"/>
  <c r="S42" i="21"/>
  <c r="AC37" i="21"/>
  <c r="AB37" i="21"/>
  <c r="W36" i="21"/>
  <c r="AA36" i="21"/>
  <c r="O23" i="43"/>
  <c r="C28" i="15"/>
  <c r="U27" i="21"/>
  <c r="L59" i="15"/>
  <c r="Q74" i="15" s="1"/>
  <c r="N59" i="15"/>
  <c r="M59" i="15"/>
  <c r="F64" i="67"/>
  <c r="M7" i="15"/>
  <c r="J6"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E63" i="40" s="1"/>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F48" i="35"/>
  <c r="F7" i="33"/>
  <c r="E58" i="21"/>
  <c r="F7" i="37"/>
  <c r="M17" i="67"/>
  <c r="P28" i="43"/>
  <c r="B66" i="40" s="1"/>
  <c r="P25" i="43"/>
  <c r="P29" i="43"/>
  <c r="P27" i="43"/>
  <c r="B70" i="39" s="1"/>
  <c r="M11" i="67"/>
  <c r="J10" i="67" s="1"/>
  <c r="F11" i="15"/>
  <c r="M11" i="15"/>
  <c r="J10" i="15" s="1"/>
  <c r="F11" i="67"/>
  <c r="C32" i="15"/>
  <c r="AE11" i="1"/>
  <c r="AE6" i="1"/>
  <c r="AE9" i="1"/>
  <c r="AE7" i="1"/>
  <c r="AE8" i="1"/>
  <c r="AE12" i="1"/>
  <c r="AE10" i="1"/>
  <c r="C16" i="15"/>
  <c r="G1" i="73"/>
  <c r="F41" i="67"/>
  <c r="F27" i="69"/>
  <c r="C16" i="67"/>
  <c r="F27" i="11" l="1"/>
  <c r="C29" i="11" s="1"/>
  <c r="D27" i="11" s="1"/>
  <c r="M17" i="15"/>
  <c r="W7" i="36"/>
  <c r="E211" i="3"/>
  <c r="E162" i="3"/>
  <c r="E514" i="3"/>
  <c r="E533" i="3"/>
  <c r="E321" i="3"/>
  <c r="E227" i="3"/>
  <c r="E551" i="3"/>
  <c r="E134" i="3"/>
  <c r="E236" i="3"/>
  <c r="Q61" i="15"/>
  <c r="F59" i="15"/>
  <c r="F27" i="68"/>
  <c r="C47" i="68" s="1"/>
  <c r="D45" i="68" s="1"/>
  <c r="S16" i="71"/>
  <c r="E191" i="3"/>
  <c r="K6" i="3"/>
  <c r="E458" i="3"/>
  <c r="AA7" i="36"/>
  <c r="R36" i="36" s="1"/>
  <c r="R37" i="36" s="1"/>
  <c r="AC7" i="37"/>
  <c r="V42" i="37" s="1"/>
  <c r="I42" i="37" s="1"/>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H89" i="21"/>
  <c r="I89" i="21" s="1"/>
  <c r="J89" i="21" s="1"/>
  <c r="K89" i="21" s="1"/>
  <c r="L89" i="21" s="1"/>
  <c r="M89" i="21" s="1"/>
  <c r="F26" i="21"/>
  <c r="P65" i="71"/>
  <c r="P66" i="71"/>
  <c r="AZ5" i="3"/>
  <c r="AY6" i="3" s="1"/>
  <c r="D26" i="43"/>
  <c r="C25" i="43" s="1"/>
  <c r="C33" i="43" s="1"/>
  <c r="C6" i="69"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U7" i="37"/>
  <c r="F69" i="39"/>
  <c r="I53" i="34"/>
  <c r="J53" i="34" s="1"/>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M27" i="15"/>
  <c r="M27" i="67"/>
  <c r="F41" i="15"/>
  <c r="E36" i="36" l="1"/>
  <c r="H26" i="21"/>
  <c r="J26" i="21"/>
  <c r="I46" i="37"/>
  <c r="J46" i="37" s="1"/>
  <c r="G47" i="37"/>
  <c r="H47" i="37" s="1"/>
  <c r="W10" i="40"/>
  <c r="E49" i="34"/>
  <c r="E54" i="34" s="1"/>
  <c r="F54" i="34" s="1"/>
  <c r="F45" i="68"/>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17" i="15"/>
  <c r="C14" i="67"/>
  <c r="C17" i="67"/>
  <c r="D10" i="69"/>
  <c r="C34" i="69"/>
  <c r="I54" i="34" l="1"/>
  <c r="J54" i="34" s="1"/>
  <c r="E53" i="34"/>
  <c r="F53" i="34" s="1"/>
  <c r="D5" i="6"/>
  <c r="D22" i="6"/>
  <c r="R22" i="6" s="1"/>
  <c r="R9" i="1" s="1"/>
  <c r="AC26" i="21"/>
  <c r="W26" i="21"/>
  <c r="AB26" i="21"/>
  <c r="U26" i="21"/>
  <c r="E6" i="3"/>
  <c r="H24" i="6"/>
  <c r="D13" i="6"/>
  <c r="D23" i="6"/>
  <c r="D29" i="6"/>
  <c r="D30" i="6" s="1"/>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H21" i="6"/>
  <c r="R21" i="6" s="1"/>
  <c r="R8" i="1" s="1"/>
  <c r="C26" i="11"/>
  <c r="D22" i="11" s="1"/>
  <c r="H25" i="6"/>
  <c r="C19" i="71"/>
  <c r="T20" i="71"/>
  <c r="D20" i="71"/>
  <c r="U20" i="71"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4" i="6"/>
  <c r="R11" i="1" s="1"/>
  <c r="R20" i="6"/>
  <c r="R7" i="1" s="1"/>
  <c r="R23" i="6"/>
  <c r="R10" i="1" s="1"/>
  <c r="D27" i="6"/>
  <c r="D31" i="6" s="1"/>
  <c r="R26" i="6"/>
  <c r="R25" i="6"/>
  <c r="R12" i="1" s="1"/>
  <c r="C24" i="1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15"/>
  <c r="F35" i="67"/>
  <c r="M21"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C20" i="9"/>
  <c r="D2" i="37"/>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9" i="1"/>
  <c r="AO10" i="1"/>
  <c r="AO7"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8" i="69" l="1"/>
  <c r="C27" i="69" s="1"/>
  <c r="C22" i="69"/>
  <c r="C31" i="69" l="1"/>
  <c r="C52" i="69" s="1"/>
  <c r="B2" i="69" s="1"/>
  <c r="D19" i="9"/>
  <c r="B3" i="69"/>
  <c r="C57" i="69" l="1"/>
  <c r="C56" i="69" s="1"/>
  <c r="D21" i="9"/>
  <c r="G19" i="9"/>
  <c r="D22" i="9"/>
  <c r="D102" i="9"/>
  <c r="D20" i="9"/>
  <c r="G20" i="9" l="1"/>
  <c r="C32" i="9" s="1"/>
  <c r="C35" i="9" s="1"/>
  <c r="C34" i="9" s="1"/>
  <c r="D103" i="9"/>
  <c r="G21" i="9"/>
  <c r="D14" i="74"/>
  <c r="B5" i="74" l="1"/>
  <c r="D5" i="74" s="1"/>
  <c r="F14" i="74"/>
  <c r="E14" i="74"/>
  <c r="C104" i="9" l="1"/>
  <c r="H4" i="52"/>
  <c r="B48" i="72"/>
  <c r="N58" i="9"/>
  <c r="P57" i="9"/>
  <c r="B20" i="72"/>
  <c r="B31" i="72"/>
  <c r="B51" i="72"/>
  <c r="D9" i="52"/>
  <c r="C6" i="74"/>
  <c r="D15" i="53"/>
  <c r="H108" i="9"/>
  <c r="D53" i="9"/>
  <c r="D52" i="9"/>
  <c r="C105" i="9"/>
  <c r="I4" i="52"/>
  <c r="B49" i="72"/>
  <c r="M48" i="9"/>
  <c r="N61" i="9"/>
  <c r="N59" i="9"/>
  <c r="N60" i="9"/>
  <c r="D4" i="52"/>
  <c r="B47" i="72"/>
  <c r="C81" i="9"/>
  <c r="F4" i="52"/>
  <c r="G4" i="52"/>
  <c r="B52" i="72"/>
  <c r="E4" i="52"/>
  <c r="C68" i="9"/>
  <c r="D54" i="9"/>
  <c r="D5" i="53"/>
  <c r="D6" i="53"/>
  <c r="B22" i="72"/>
  <c r="D8" i="52"/>
  <c r="D122" i="9"/>
  <c r="D123" i="9"/>
  <c r="C78" i="9"/>
  <c r="C73" i="9"/>
  <c r="C5" i="74"/>
  <c r="D56" i="9"/>
  <c r="M54" i="9"/>
  <c r="E118" i="9"/>
  <c r="D118" i="9"/>
  <c r="D119" i="9"/>
  <c r="D5" i="52"/>
  <c r="B30" i="72"/>
  <c r="D55" i="9"/>
  <c r="M53" i="9"/>
  <c r="N57" i="9"/>
  <c r="H119" i="9"/>
  <c r="H5" i="52"/>
  <c r="E81" i="9"/>
  <c r="B53" i="72"/>
  <c r="G118" i="9"/>
  <c r="F118" i="9"/>
  <c r="F119" i="9"/>
  <c r="F5" i="52"/>
  <c r="C72" i="9"/>
  <c r="C79" i="9"/>
  <c r="C80" i="9"/>
  <c r="E80" i="9"/>
  <c r="E97" i="9"/>
  <c r="C93" i="9"/>
  <c r="C86" i="9"/>
  <c r="C96" i="9"/>
  <c r="E96" i="9"/>
  <c r="H107" i="9"/>
  <c r="D13" i="53"/>
  <c r="D14" i="53"/>
  <c r="B32" i="72"/>
  <c r="C64" i="9"/>
  <c r="C63" i="9"/>
  <c r="C67" i="9"/>
  <c r="D59" i="9"/>
  <c r="M55" i="9"/>
  <c r="H102" i="9"/>
  <c r="D7" i="53"/>
  <c r="B21"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<sst xmlns="http://schemas.openxmlformats.org/spreadsheetml/2006/main" count="8010" uniqueCount="3509">
  <si>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</si>
  <si>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</si>
  <si>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</si>
  <si>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</si>
  <si>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</si>
  <si>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</si>
  <si>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</si>
  <si>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</si>
  <si>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</si>
  <si>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</si>
  <si>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</si>
  <si>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</si>
  <si>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</si>
  <si>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</si>
  <si>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</si>
  <si>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</si>
  <si>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</si>
  <si>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</si>
  <si>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</si>
  <si>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</si>
  <si>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</si>
  <si>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</si>
  <si>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</si>
  <si>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</si>
  <si>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</si>
  <si>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</si>
  <si>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</si>
  <si>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</si>
  <si>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</si>
  <si>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</si>
  <si>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</si>
  <si>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</si>
  <si>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</si>
  <si>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</si>
  <si>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</si>
  <si>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</si>
  <si>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</si>
  <si>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</si>
  <si>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</si>
  <si>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</si>
  <si>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</si>
  <si>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</si>
  <si>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</si>
  <si>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</si>
  <si>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</si>
  <si>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</si>
  <si>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</si>
  <si>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</si>
  <si>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</si>
  <si>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</si>
  <si>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</si>
  <si>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</si>
  <si>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</si>
  <si>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</si>
  <si>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</si>
  <si>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</si>
  <si>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</si>
  <si>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</si>
  <si>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</si>
  <si>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</si>
  <si>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</si>
  <si>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</si>
  <si>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</si>
  <si>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</si>
  <si>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</si>
  <si>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</si>
  <si>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</si>
  <si>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</si>
  <si>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</si>
  <si>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</si>
  <si>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</si>
  <si>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</si>
  <si>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</si>
  <si>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</si>
  <si>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</si>
  <si>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</si>
  <si>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</si>
  <si>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</si>
  <si>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</si>
  <si>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</si>
  <si>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</si>
  <si>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</si>
  <si>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</si>
  <si>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</si>
  <si>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</si>
  <si>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</si>
  <si>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</si>
  <si>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</si>
  <si>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</si>
  <si>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</si>
  <si>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</si>
  <si>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</si>
  <si>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</si>
  <si>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</si>
  <si>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</si>
  <si>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</si>
  <si>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</si>
  <si>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</si>
  <si>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</si>
  <si>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</si>
  <si>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</si>
  <si>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</si>
  <si>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</si>
  <si>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</si>
  <si>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</si>
  <si>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</si>
  <si>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</si>
  <si>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</si>
  <si>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</si>
  <si>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</si>
  <si>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</si>
  <si>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</si>
  <si>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</si>
  <si>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</si>
  <si>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</si>
  <si>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</si>
  <si>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</si>
  <si>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</si>
  <si>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</si>
  <si>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</si>
  <si>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</si>
  <si>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</si>
  <si>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</si>
  <si>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</si>
  <si>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</si>
  <si>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</si>
  <si>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</si>
  <si>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</si>
  <si>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</si>
  <si>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</si>
  <si>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</si>
  <si>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</si>
  <si>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</si>
  <si>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</si>
  <si>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</si>
  <si>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</si>
  <si>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</si>
  <si>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</si>
  <si>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</si>
  <si>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</si>
  <si>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</si>
  <si>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</si>
  <si>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</si>
  <si>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</si>
  <si>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</si>
  <si>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</si>
  <si>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</si>
  <si>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</si>
  <si>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</si>
  <si>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</si>
  <si>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</si>
  <si>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</si>
  <si>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</si>
  <si>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</si>
  <si>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</si>
  <si>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</si>
  <si>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</si>
  <si>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</si>
  <si>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</si>
  <si>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</si>
  <si>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</si>
  <si>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</si>
  <si>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</si>
  <si>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</si>
  <si>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</si>
  <si>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</si>
  <si>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</si>
  <si>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</si>
  <si>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</si>
  <si>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</si>
  <si>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</si>
  <si>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</si>
  <si>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</si>
  <si>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</si>
  <si>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</si>
  <si>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</si>
  <si>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</si>
  <si>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</si>
  <si>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</si>
  <si>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</si>
  <si>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</si>
  <si>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</si>
  <si>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</si>
  <si>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</si>
  <si>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</si>
  <si>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</si>
  <si>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</si>
  <si>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</si>
  <si>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</si>
  <si>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</si>
  <si>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</si>
  <si>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</si>
  <si>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</si>
  <si>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</si>
  <si>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</si>
  <si>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</si>
  <si>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</si>
  <si>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</si>
  <si>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</si>
  <si>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</si>
  <si>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</si>
  <si>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</si>
  <si>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</si>
  <si>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</si>
  <si>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</si>
  <si>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</si>
  <si>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</si>
  <si>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</si>
  <si>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</si>
  <si>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</si>
  <si>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</si>
  <si>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</si>
  <si>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</si>
  <si>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</si>
  <si>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</si>
  <si>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</si>
  <si>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</si>
  <si>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</si>
  <si>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</si>
  <si>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</si>
  <si>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</si>
  <si>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</si>
  <si>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</si>
  <si>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</si>
  <si>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</si>
  <si>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</si>
  <si>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</si>
  <si>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</si>
  <si>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</si>
  <si>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</si>
  <si>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</si>
  <si>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</si>
  <si>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</si>
  <si>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</si>
  <si>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</si>
  <si>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</si>
  <si>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</si>
  <si>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</si>
  <si>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</si>
  <si>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</si>
  <si>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</si>
  <si>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</si>
  <si>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</si>
  <si>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</si>
  <si>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</si>
  <si>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</si>
  <si>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</si>
  <si>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</si>
  <si>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</si>
  <si>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</si>
  <si>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</si>
  <si>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</si>
  <si>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</si>
  <si>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</si>
  <si>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</si>
  <si>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</si>
  <si>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</si>
  <si>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</si>
  <si>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</si>
  <si>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</si>
  <si>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</si>
  <si>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</si>
  <si>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</si>
  <si>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</si>
  <si>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</si>
  <si>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</si>
  <si>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</si>
  <si>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</si>
  <si>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</si>
  <si>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</si>
  <si>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</si>
  <si>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</si>
  <si>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</si>
  <si>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</si>
  <si>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</si>
  <si>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</si>
  <si>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</si>
  <si>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</si>
  <si>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</si>
  <si>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</si>
  <si>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</si>
  <si>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</si>
  <si>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</si>
  <si>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</si>
  <si>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</si>
  <si>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</si>
  <si>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</si>
  <si>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</si>
  <si>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</si>
  <si>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</si>
  <si>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</si>
  <si>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</si>
  <si>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</si>
  <si>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</si>
  <si>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</si>
  <si>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</si>
  <si>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</si>
  <si>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</si>
  <si>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</si>
  <si>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</si>
  <si>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</si>
  <si>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</si>
  <si>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</si>
  <si>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</si>
  <si>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</si>
  <si>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</si>
  <si>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</si>
  <si>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</si>
  <si>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</si>
  <si>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</si>
  <si>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</si>
  <si>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</si>
  <si>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</si>
  <si>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</si>
  <si>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</si>
  <si>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</si>
  <si>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</si>
  <si>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</si>
  <si>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</si>
  <si>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</si>
  <si>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</si>
  <si>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</si>
  <si>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</si>
  <si>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</si>
  <si>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</si>
  <si>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</si>
  <si>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</si>
  <si>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</si>
  <si>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</si>
  <si>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</si>
  <si>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</si>
  <si>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</si>
  <si>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</si>
  <si>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</si>
  <si>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</si>
  <si>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</si>
  <si>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</si>
  <si>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</si>
  <si>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</si>
  <si>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</si>
  <si>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</si>
  <si>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</si>
  <si>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</si>
  <si>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</si>
  <si>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</si>
  <si>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</si>
  <si>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</si>
  <si>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</si>
  <si>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</si>
  <si>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</si>
  <si>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</si>
  <si>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</si>
  <si>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</si>
  <si>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</si>
  <si>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</si>
  <si>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</si>
  <si>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</si>
  <si>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</si>
  <si>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</si>
  <si>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</si>
  <si>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</si>
  <si>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</si>
  <si>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</si>
  <si>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</si>
  <si>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</si>
  <si>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</si>
  <si>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</si>
  <si>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</si>
  <si>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</si>
  <si>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</si>
  <si>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</si>
  <si>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</si>
  <si>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</si>
  <si>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</si>
  <si>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</si>
  <si>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</si>
  <si>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</si>
  <si>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</si>
  <si>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</si>
  <si>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</si>
  <si>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</si>
  <si>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</si>
  <si>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</si>
  <si>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</si>
  <si>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</si>
  <si>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</si>
  <si>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</si>
  <si>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</si>
  <si>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</si>
  <si>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</si>
  <si>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</si>
  <si>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</si>
  <si>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</si>
  <si>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</si>
  <si>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</si>
  <si>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</si>
  <si>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</si>
  <si>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</si>
  <si>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</si>
  <si>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</si>
  <si>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</si>
  <si>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</si>
  <si>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</si>
  <si>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</si>
  <si>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</si>
  <si>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</si>
  <si>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</si>
  <si>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</si>
  <si>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</si>
  <si>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</si>
  <si>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</si>
  <si>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</si>
  <si>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</si>
  <si>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</si>
  <si>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</si>
  <si>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</si>
  <si>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</si>
  <si>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</si>
  <si>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</si>
  <si>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</si>
  <si>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</si>
  <si>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</si>
  <si>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</si>
  <si>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</si>
  <si>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</si>
  <si>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</si>
  <si>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</si>
  <si>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</si>
  <si>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</si>
  <si>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</si>
  <si>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</si>
  <si>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</si>
  <si>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</si>
  <si>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</si>
  <si>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</si>
  <si>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</si>
  <si>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</si>
  <si>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</si>
  <si>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</si>
  <si>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</si>
  <si>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</si>
  <si>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</si>
  <si>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</si>
  <si>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</si>
  <si>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</si>
  <si>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</si>
  <si>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</si>
  <si>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</si>
  <si>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</si>
  <si>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</si>
  <si>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</si>
  <si>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</si>
  <si>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</si>
  <si>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</si>
  <si>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</si>
  <si>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</si>
  <si>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</si>
  <si>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</si>
  <si>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</si>
  <si>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</si>
  <si>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</si>
  <si>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</si>
  <si>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</si>
  <si>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</si>
  <si>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</si>
  <si>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</si>
  <si>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</si>
  <si>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</si>
  <si>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</si>
  <si>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</si>
  <si>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</si>
  <si>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</si>
  <si>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</si>
  <si>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</si>
  <si>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</si>
  <si>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</si>
  <si>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</si>
  <si>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</si>
  <si>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</si>
  <si>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</si>
  <si>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</si>
  <si>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</si>
  <si>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</si>
  <si>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</si>
  <si>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</si>
  <si>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</si>
  <si>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</si>
  <si>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</si>
  <si>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</si>
  <si>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</si>
  <si>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</si>
  <si>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</si>
  <si>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</si>
  <si>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</si>
  <si>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</si>
  <si>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</si>
  <si>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</si>
  <si>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</si>
  <si>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</si>
  <si>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</si>
  <si>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</si>
  <si>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</si>
  <si>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</si>
  <si>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</si>
  <si>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</si>
  <si>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</si>
  <si>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</si>
  <si>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</si>
  <si>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</si>
  <si>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</si>
  <si>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</si>
  <si>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</si>
  <si>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</si>
  <si>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</si>
  <si>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</si>
  <si>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</si>
  <si>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</si>
  <si>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</si>
  <si>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</si>
  <si>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</si>
  <si>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</si>
  <si>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</si>
  <si>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</si>
  <si>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</si>
  <si>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</si>
  <si>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</si>
  <si>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</si>
  <si>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</si>
  <si>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</si>
  <si>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</si>
  <si>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</si>
  <si>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</si>
  <si>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</si>
  <si>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</si>
  <si>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</si>
  <si>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</si>
  <si>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</si>
  <si>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</si>
  <si>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</si>
  <si>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</si>
  <si>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</si>
  <si>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</si>
  <si>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</si>
  <si>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</si>
  <si>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</si>
  <si>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</si>
  <si>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</si>
  <si>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</si>
  <si>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</si>
  <si>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</si>
  <si>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</si>
  <si>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</si>
  <si>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</si>
  <si>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</si>
  <si>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</si>
  <si>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</si>
  <si>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</si>
  <si>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</si>
  <si>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</si>
  <si>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</si>
  <si>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</si>
  <si>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</si>
  <si>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</si>
  <si>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</si>
  <si>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</si>
  <si>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</si>
  <si>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</si>
  <si>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</si>
  <si>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</si>
  <si>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</si>
  <si>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</si>
  <si>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</si>
  <si>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</si>
  <si>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</si>
  <si>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</si>
  <si>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</si>
  <si>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</si>
  <si>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</si>
  <si>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</si>
  <si>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</si>
  <si>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</si>
  <si>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</si>
  <si>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</si>
  <si>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</si>
  <si>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</si>
  <si>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</si>
  <si>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</si>
  <si>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</si>
  <si>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</si>
  <si>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</si>
  <si>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</si>
  <si>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</si>
  <si>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</si>
  <si>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</si>
  <si>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</si>
  <si>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</si>
  <si>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</si>
  <si>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</si>
  <si>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</si>
  <si>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</si>
  <si>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</si>
  <si>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</si>
  <si>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</si>
  <si>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</si>
  <si>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</si>
  <si>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</si>
  <si>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</si>
  <si>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</si>
  <si>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</si>
  <si>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</si>
  <si>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</si>
  <si>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</si>
  <si>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</si>
  <si>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</si>
  <si>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</si>
  <si>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</si>
  <si>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</si>
  <si>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</si>
  <si>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</si>
  <si>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</si>
  <si>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</si>
  <si>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</si>
  <si>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</si>
  <si>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</si>
  <si>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</si>
  <si>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</si>
  <si>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</si>
  <si>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</si>
  <si>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</si>
  <si>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</si>
  <si>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</si>
  <si>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</si>
  <si>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</si>
  <si>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</si>
  <si>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</si>
  <si>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</si>
  <si>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</si>
  <si>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</si>
  <si>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</si>
  <si>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</si>
  <si>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</si>
  <si>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</si>
  <si>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</si>
  <si>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</si>
  <si>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</si>
  <si>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</si>
  <si>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</si>
  <si>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</si>
  <si>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</si>
  <si>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</si>
  <si>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</si>
  <si>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</si>
  <si>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</si>
  <si>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</si>
  <si>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</si>
  <si>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</si>
  <si>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</si>
  <si>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</si>
  <si>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</si>
  <si>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</si>
  <si>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</si>
  <si>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</si>
  <si>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</si>
  <si>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</si>
  <si>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</si>
  <si>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</si>
  <si>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</si>
  <si>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</si>
  <si>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</si>
  <si>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</si>
  <si>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</si>
  <si>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</si>
  <si>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</si>
  <si>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</si>
  <si>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</si>
  <si>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</si>
  <si>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</si>
  <si>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</si>
  <si>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</si>
  <si>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</si>
  <si>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</si>
  <si>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</si>
  <si>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</si>
  <si>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</si>
  <si>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</si>
  <si>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</si>
  <si>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</si>
  <si>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</si>
  <si>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</si>
  <si>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</si>
  <si>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</si>
  <si>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</si>
  <si>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</si>
  <si>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</si>
  <si>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</si>
  <si>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</si>
  <si>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</si>
  <si>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</si>
  <si>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</si>
  <si>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</si>
  <si>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</si>
  <si>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</si>
  <si>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</si>
  <si>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</si>
  <si>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</si>
  <si>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</si>
  <si>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</si>
  <si>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</si>
  <si>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</si>
  <si>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</si>
  <si>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</si>
  <si>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</si>
  <si>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</si>
  <si>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</si>
  <si>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</si>
  <si>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</si>
  <si>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</si>
  <si>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</si>
  <si>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</si>
  <si>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</si>
  <si>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</si>
  <si>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</si>
  <si>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</si>
  <si>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</si>
  <si>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</si>
  <si>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</si>
  <si>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</si>
  <si>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</si>
  <si>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</si>
  <si>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</si>
  <si>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</si>
  <si>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</si>
  <si>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</si>
  <si>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</si>
  <si>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</si>
  <si>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</si>
  <si>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</si>
  <si>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</si>
  <si>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</si>
  <si>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</si>
  <si>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</si>
  <si>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</si>
  <si>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</si>
  <si>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</si>
  <si>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</si>
  <si>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</si>
  <si>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</si>
  <si>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</si>
  <si>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</si>
  <si>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</si>
  <si>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</si>
  <si>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</si>
  <si>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</si>
  <si>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</si>
  <si>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</si>
  <si>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</si>
  <si>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</si>
  <si>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</si>
  <si>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</si>
  <si>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</si>
  <si>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</si>
  <si>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</si>
  <si>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</si>
  <si>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</si>
  <si>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</si>
  <si>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</si>
  <si>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</si>
  <si>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</si>
  <si>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</si>
  <si>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</si>
  <si>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</si>
  <si>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</si>
  <si>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</si>
  <si>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</si>
  <si>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</si>
  <si>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</si>
  <si>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</si>
  <si>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</si>
  <si>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</si>
  <si>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</si>
  <si>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</si>
  <si>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</si>
  <si>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</si>
  <si>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</si>
  <si>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</si>
  <si>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</si>
  <si>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</si>
  <si>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</si>
  <si>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</si>
  <si>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</si>
  <si>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</si>
  <si>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</si>
  <si>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</si>
  <si>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</si>
  <si>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</si>
  <si>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</si>
  <si>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</si>
  <si>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</si>
  <si>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</si>
  <si>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</si>
  <si>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</si>
  <si>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</si>
  <si>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</si>
  <si>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</si>
  <si>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</si>
  <si>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</si>
  <si>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</si>
  <si>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</si>
  <si>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</si>
  <si>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</si>
  <si>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</si>
  <si>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</si>
  <si>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</si>
  <si>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</si>
  <si>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</si>
  <si>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</si>
  <si>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</si>
  <si>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</si>
  <si>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</si>
  <si>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</si>
  <si>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</si>
  <si>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</si>
  <si>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</si>
  <si>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</si>
  <si>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</si>
  <si>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</si>
  <si>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</si>
  <si>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</si>
  <si>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</si>
  <si>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</si>
  <si>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</si>
  <si>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</si>
  <si>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</si>
  <si>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</si>
  <si>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</si>
  <si>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</si>
  <si>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</si>
  <si>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</si>
  <si>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</si>
  <si>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</si>
  <si>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</si>
  <si>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</si>
  <si>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</si>
  <si>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</si>
  <si>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</si>
  <si>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</si>
  <si>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</si>
  <si>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</si>
  <si>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</si>
  <si>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</si>
  <si>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</si>
  <si>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</si>
  <si>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</si>
  <si>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</si>
  <si>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</si>
  <si>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</si>
  <si>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</si>
  <si>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</si>
  <si>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</si>
  <si>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</si>
  <si>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</si>
  <si>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</si>
  <si>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</si>
  <si>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</si>
  <si>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</si>
  <si>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</si>
  <si>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</si>
  <si>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</si>
  <si>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</si>
  <si>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</si>
  <si>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</si>
  <si>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</si>
  <si>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</si>
  <si>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</si>
  <si>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</si>
  <si>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</si>
  <si>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</si>
  <si>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</si>
  <si>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</si>
  <si>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</si>
  <si>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</si>
  <si>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</si>
  <si>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</si>
  <si>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</si>
  <si>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</si>
  <si>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</si>
  <si>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</si>
  <si>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</si>
  <si>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</si>
  <si>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</si>
  <si>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</si>
  <si>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</si>
  <si>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</si>
  <si>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</si>
  <si>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</si>
  <si>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</si>
  <si>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</si>
  <si>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</si>
  <si>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</si>
  <si>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</si>
  <si>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</si>
  <si>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</si>
  <si>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</si>
  <si>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</si>
  <si>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</si>
  <si>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</si>
  <si>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</si>
  <si>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</si>
  <si>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</si>
  <si>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</si>
  <si>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</si>
  <si>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</si>
  <si>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</si>
  <si>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</si>
  <si>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</si>
  <si>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</si>
  <si>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</si>
  <si>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</si>
  <si>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</si>
  <si>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</si>
  <si>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</si>
  <si>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</si>
  <si>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</si>
  <si>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</si>
  <si>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</si>
  <si>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</si>
  <si>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</si>
  <si>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</si>
  <si>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</si>
  <si>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</si>
  <si>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</si>
  <si>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</si>
  <si>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</si>
  <si>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</si>
  <si>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</si>
  <si>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</si>
  <si>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</si>
  <si>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</si>
  <si>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</si>
  <si>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</si>
  <si>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</si>
  <si>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</si>
  <si>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</si>
  <si>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</si>
  <si>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</si>
  <si>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</si>
  <si>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</si>
  <si>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</si>
  <si>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</si>
  <si>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</si>
  <si>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</si>
  <si>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</si>
  <si>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</si>
  <si>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</si>
  <si>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</si>
  <si>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</si>
  <si>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</si>
  <si>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</si>
  <si>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</si>
  <si>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</si>
  <si>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</si>
  <si>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</si>
  <si>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</si>
  <si>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</si>
  <si>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</si>
  <si>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</si>
  <si>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</si>
  <si>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</si>
  <si>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</si>
  <si>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</si>
  <si>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</si>
  <si>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</si>
  <si>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</si>
  <si>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</si>
  <si>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</si>
  <si>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</si>
  <si>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</si>
  <si>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</si>
  <si>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</si>
  <si>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</si>
  <si>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</si>
  <si>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</si>
  <si>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</si>
  <si>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</si>
  <si>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</si>
  <si>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</si>
  <si>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</si>
  <si>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</si>
  <si>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</si>
  <si>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</si>
  <si>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</si>
  <si>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</si>
  <si>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</si>
  <si>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</si>
  <si>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</si>
  <si>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</si>
  <si>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</si>
  <si>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</si>
  <si>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</si>
  <si>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</si>
  <si>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</si>
  <si>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</si>
  <si>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</si>
  <si>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</si>
  <si>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</si>
  <si>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</si>
  <si>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</si>
  <si>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</si>
  <si>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</si>
  <si>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</si>
  <si>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</si>
  <si>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</si>
  <si>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</si>
  <si>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</si>
  <si>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</si>
  <si>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</si>
  <si>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</si>
  <si>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</si>
  <si>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</si>
  <si>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</si>
  <si>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</si>
  <si>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</si>
  <si>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</si>
  <si>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</si>
  <si>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</si>
  <si>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</si>
  <si>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</si>
  <si>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</si>
  <si>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</si>
  <si>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</si>
  <si>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</si>
  <si>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</si>
  <si>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</si>
  <si>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</si>
  <si>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</si>
  <si>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</si>
  <si>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</si>
  <si>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</si>
  <si>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</si>
  <si>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</si>
  <si>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</si>
  <si>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</si>
  <si>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</si>
  <si>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</si>
  <si>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</si>
  <si>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</si>
  <si>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</si>
  <si>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</si>
  <si>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</si>
  <si>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</si>
  <si>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</si>
  <si>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</si>
  <si>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</si>
  <si>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</si>
  <si>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</si>
  <si>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</si>
  <si>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</si>
  <si>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</si>
  <si>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</si>
  <si>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</si>
  <si>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</si>
  <si>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</si>
  <si>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</si>
  <si>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</si>
  <si>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</si>
  <si>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</si>
  <si>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</si>
  <si>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</si>
  <si>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</si>
  <si>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</si>
  <si>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</si>
  <si>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</si>
  <si>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</si>
  <si>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</si>
  <si>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</si>
  <si>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</si>
  <si>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</si>
  <si>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</si>
  <si>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</si>
  <si>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</si>
  <si>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</si>
  <si>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</si>
  <si>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</si>
  <si>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</si>
  <si>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</si>
  <si>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</si>
  <si>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</si>
  <si>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</si>
  <si>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</si>
  <si>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</si>
  <si>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</si>
  <si>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</si>
  <si>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</si>
  <si>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</si>
  <si>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</si>
  <si>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</si>
  <si>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</si>
  <si>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</si>
  <si>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</si>
  <si>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</si>
  <si>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</si>
  <si>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</si>
  <si>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</si>
  <si>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</si>
  <si>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</si>
  <si>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</si>
  <si>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</si>
  <si>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</si>
  <si>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</si>
  <si>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</si>
  <si>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</si>
  <si>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</si>
  <si>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</si>
  <si>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</si>
  <si>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</si>
  <si>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</si>
  <si>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</si>
  <si>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</si>
  <si>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</si>
  <si>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</si>
  <si>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</si>
  <si>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</si>
  <si>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</si>
  <si>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</si>
  <si>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</si>
  <si>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</si>
  <si>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</si>
  <si>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</si>
  <si>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</si>
  <si>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</si>
  <si>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</si>
  <si>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</si>
  <si>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</si>
  <si>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</si>
  <si>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</si>
  <si>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</si>
  <si>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</si>
  <si>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</si>
  <si>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</si>
  <si>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</si>
  <si>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</si>
  <si>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</si>
  <si>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</si>
  <si>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</si>
  <si>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</si>
  <si>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</si>
  <si>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</si>
  <si>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</si>
  <si>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</si>
  <si>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</si>
  <si>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</si>
  <si>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</si>
  <si>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</si>
  <si>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</si>
  <si>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</si>
  <si>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</si>
  <si>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</si>
  <si>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</si>
  <si>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</si>
  <si>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</si>
  <si>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</si>
  <si>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</si>
  <si>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</si>
  <si>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</si>
  <si>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</si>
  <si>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</si>
  <si>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</si>
  <si>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</si>
  <si>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</si>
  <si>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</si>
  <si>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</si>
  <si>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</si>
  <si>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</si>
  <si>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</si>
  <si>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</si>
  <si>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</si>
  <si>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</si>
  <si>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</si>
  <si>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</si>
  <si>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</si>
  <si>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</si>
  <si>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</si>
  <si>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</si>
  <si>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</si>
  <si>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</si>
  <si>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</si>
  <si>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</si>
  <si>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</si>
  <si>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</si>
  <si>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</si>
  <si>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</si>
  <si>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</si>
  <si>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</si>
  <si>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</si>
  <si>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</si>
  <si>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</si>
  <si>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</si>
  <si>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</si>
  <si>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</si>
  <si>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</si>
  <si>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</si>
  <si>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</si>
  <si>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</si>
  <si>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</si>
  <si>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</si>
  <si>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</si>
  <si>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</si>
  <si>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</si>
  <si>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</si>
  <si>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</si>
  <si>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</si>
  <si>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</si>
  <si>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</si>
  <si>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</si>
  <si>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</si>
  <si>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</si>
  <si>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</si>
  <si>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</si>
  <si>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</si>
  <si>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</si>
  <si>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</si>
  <si>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</si>
  <si>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</si>
  <si>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</si>
  <si>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</si>
  <si>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</si>
  <si>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</si>
  <si>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</si>
  <si>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</si>
  <si>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</si>
  <si>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</si>
  <si>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</si>
  <si>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</si>
  <si>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</si>
  <si>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</si>
  <si>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</si>
  <si>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</si>
  <si>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</si>
  <si>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</si>
  <si>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</si>
  <si>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</si>
  <si>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</si>
  <si>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</si>
  <si>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</si>
  <si>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</si>
  <si>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</si>
  <si>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</si>
  <si>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</si>
  <si>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</si>
  <si>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</si>
  <si>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</si>
  <si>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</si>
  <si>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</si>
  <si>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</si>
  <si>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</si>
  <si>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</si>
  <si>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</si>
  <si>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</si>
  <si>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</si>
  <si>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</si>
  <si>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</si>
  <si>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</si>
  <si>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</si>
  <si>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</si>
  <si>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</si>
  <si>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</si>
  <si>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</si>
  <si>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</si>
  <si>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</si>
  <si>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</si>
  <si>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</si>
  <si>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</si>
  <si>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</si>
  <si>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</si>
  <si>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</si>
  <si>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</si>
  <si>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</si>
  <si>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</si>
  <si>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</si>
  <si>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</si>
  <si>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</si>
  <si>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</si>
  <si>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</si>
  <si>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</si>
  <si>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</si>
  <si>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</si>
  <si>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</si>
  <si>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</si>
  <si>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</si>
  <si>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</si>
  <si>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</si>
  <si>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</si>
  <si>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</si>
  <si>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</si>
  <si>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</si>
  <si>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</si>
  <si>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</si>
  <si>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</si>
  <si>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</si>
  <si>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</si>
  <si>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</si>
  <si>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</si>
  <si>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</si>
  <si>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</si>
  <si>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</si>
  <si>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</si>
  <si>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</si>
  <si>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</si>
  <si>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</si>
  <si>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</si>
  <si>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</si>
  <si>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</si>
  <si>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</si>
  <si>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</si>
  <si>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</si>
  <si>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</si>
  <si>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</si>
  <si>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</si>
  <si>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</si>
  <si>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</si>
  <si>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</si>
  <si>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</si>
  <si>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</si>
  <si>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</si>
  <si>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</si>
  <si>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</si>
  <si>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</si>
  <si>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</si>
  <si>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</si>
  <si>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</si>
  <si>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</si>
  <si>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</si>
  <si>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</si>
  <si>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</si>
  <si>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</si>
  <si>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</si>
  <si>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</si>
  <si>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</si>
  <si>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</si>
  <si>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</si>
  <si>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</si>
  <si>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</si>
  <si>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</si>
  <si>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</si>
  <si>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</si>
  <si>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</si>
  <si>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</si>
  <si>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</si>
  <si>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</si>
  <si>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</si>
  <si>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</si>
  <si>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</si>
  <si>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</si>
  <si>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</si>
  <si>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</si>
  <si>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</si>
  <si>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</si>
  <si>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</si>
  <si>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</si>
  <si>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</si>
  <si>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</si>
  <si>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</si>
  <si>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</si>
  <si>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</si>
  <si>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</si>
  <si>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</si>
  <si>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</si>
  <si>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</si>
  <si>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</si>
  <si>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</si>
  <si>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</si>
  <si>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</si>
  <si>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</si>
  <si>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</si>
  <si>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</si>
  <si>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</si>
  <si>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</si>
  <si>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</si>
  <si>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</si>
  <si>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</si>
  <si>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</si>
  <si>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</si>
  <si>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</si>
  <si>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</si>
  <si>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</si>
  <si>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</si>
  <si>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</si>
  <si>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</si>
  <si>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</si>
  <si>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</si>
  <si>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</si>
  <si>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</si>
  <si>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</si>
  <si>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</si>
  <si>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</si>
  <si>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</si>
  <si>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</si>
  <si>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</si>
  <si>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</si>
  <si>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</si>
  <si>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</si>
  <si>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</si>
  <si>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</si>
  <si>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</si>
  <si>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</si>
  <si>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</si>
  <si>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</si>
  <si>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</si>
  <si>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</si>
  <si>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</si>
  <si>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</si>
  <si>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</si>
  <si>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</si>
  <si>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</si>
  <si>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</si>
  <si>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</si>
  <si>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</si>
  <si>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</si>
  <si>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</si>
  <si>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</si>
  <si>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</si>
  <si>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</si>
  <si>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</si>
  <si>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</si>
  <si>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</si>
  <si>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</si>
  <si>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</si>
  <si>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</si>
  <si>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</si>
  <si>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</si>
  <si>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</si>
  <si>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</si>
  <si>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</si>
  <si>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</si>
  <si>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</si>
  <si>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</si>
  <si>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</si>
  <si>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</si>
  <si>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</si>
  <si>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</si>
  <si>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</si>
  <si>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</si>
  <si>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</si>
  <si>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</si>
  <si>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</si>
  <si>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</si>
  <si>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</si>
  <si>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</si>
  <si>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</si>
  <si>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</si>
  <si>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</si>
  <si>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</si>
  <si>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</si>
  <si>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</si>
  <si>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</si>
  <si>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</si>
  <si>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</si>
  <si>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</si>
  <si>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</si>
  <si>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</si>
  <si>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</si>
  <si>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</si>
  <si>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</si>
  <si>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</si>
  <si>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</si>
  <si>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</si>
  <si>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</si>
  <si>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</si>
  <si>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</si>
  <si>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</si>
  <si>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</si>
  <si>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</si>
  <si>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</si>
  <si>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</si>
  <si>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</si>
  <si>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</si>
  <si>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</si>
  <si>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</si>
  <si>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</si>
  <si>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</si>
  <si>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</si>
  <si>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</si>
  <si>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</si>
  <si>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</si>
  <si>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</si>
  <si>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</si>
  <si>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</si>
  <si>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</si>
  <si>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</si>
  <si>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</si>
  <si>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</si>
  <si>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</si>
  <si>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</si>
  <si>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</si>
  <si>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</si>
  <si>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</si>
  <si>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</si>
  <si>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</si>
  <si>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</si>
  <si>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</si>
  <si>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</si>
  <si>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</si>
  <si>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</si>
  <si>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</si>
  <si>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</si>
  <si>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</si>
  <si>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</si>
  <si>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</si>
  <si>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</si>
  <si>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</si>
  <si>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</si>
  <si>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</si>
  <si>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</si>
  <si>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</si>
  <si>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</si>
  <si>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</si>
  <si>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</si>
  <si>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</si>
  <si>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</si>
  <si>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</si>
  <si>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</si>
  <si>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</si>
  <si>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</si>
  <si>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</si>
  <si>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</si>
  <si>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</si>
  <si>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</si>
  <si>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</si>
  <si>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</si>
  <si>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</si>
  <si>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</si>
  <si>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</si>
  <si>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</si>
  <si>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</si>
  <si>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</si>
  <si>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</si>
  <si>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</si>
  <si>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</si>
  <si>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</si>
  <si>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</si>
  <si>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</si>
  <si>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</si>
  <si>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</si>
  <si>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</si>
  <si>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</si>
  <si>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</si>
  <si>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</si>
  <si>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</si>
  <si>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</si>
  <si>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</si>
  <si>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</si>
  <si>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</si>
  <si>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</si>
  <si>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</si>
  <si>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</si>
  <si>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</si>
  <si>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</si>
  <si>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</si>
  <si>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</si>
  <si>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</si>
  <si>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</si>
  <si>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</si>
  <si>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</si>
  <si>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</si>
  <si>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</si>
  <si>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</si>
  <si>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</si>
  <si>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</si>
  <si>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</si>
  <si>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</si>
  <si>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</si>
  <si>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</si>
  <si>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</si>
  <si>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</si>
  <si>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</si>
  <si>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</si>
  <si>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</si>
  <si>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</si>
  <si>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</si>
  <si>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</si>
  <si>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</si>
  <si>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</si>
  <si>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</si>
  <si>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</si>
  <si>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</si>
  <si>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</si>
  <si>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</si>
  <si>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</si>
  <si>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</si>
  <si>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</si>
  <si>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</si>
  <si>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</si>
  <si>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</si>
  <si>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</si>
  <si>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</si>
  <si>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</si>
  <si>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</si>
  <si>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</si>
  <si>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</si>
  <si>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</si>
  <si>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</si>
  <si>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</si>
  <si>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</si>
  <si>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</si>
  <si>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</si>
  <si>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</si>
  <si>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</si>
  <si>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</si>
  <si>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</si>
  <si>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</si>
  <si>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</si>
  <si>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</si>
  <si>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</si>
  <si>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</si>
  <si>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</si>
  <si>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</si>
  <si>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</si>
  <si>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</si>
  <si>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</si>
  <si>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</si>
  <si>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</si>
  <si>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</si>
  <si>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</si>
  <si>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</si>
  <si>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</si>
  <si>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</si>
  <si>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</si>
  <si>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</si>
  <si>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</si>
  <si>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</si>
  <si>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</si>
  <si>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</si>
  <si>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</si>
  <si>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</si>
  <si>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</si>
  <si>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</si>
  <si>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</si>
  <si>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</si>
  <si>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</si>
  <si>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</si>
  <si>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</si>
  <si>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</si>
  <si>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</si>
  <si>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</si>
  <si>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</si>
  <si>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</si>
  <si>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</si>
  <si>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</si>
  <si>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</si>
  <si>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</si>
  <si>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</si>
  <si>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</si>
  <si>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</si>
  <si>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</si>
  <si>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</si>
  <si>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</si>
  <si>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</si>
  <si>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</si>
  <si>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</si>
  <si>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</si>
  <si>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</si>
  <si>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</si>
  <si>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</si>
  <si>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</si>
  <si>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</si>
  <si>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</si>
  <si>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</si>
  <si>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</si>
  <si>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</si>
  <si>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</si>
  <si>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</si>
  <si>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</si>
  <si>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</si>
  <si>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</si>
  <si>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</si>
  <si>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</si>
  <si>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</si>
  <si>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</si>
  <si>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</si>
  <si>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</si>
  <si>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</si>
  <si>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</si>
  <si>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</si>
  <si>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</si>
  <si>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</si>
  <si>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</si>
  <si>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</si>
  <si>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</si>
  <si>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</si>
  <si>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</si>
  <si>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</si>
  <si>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</si>
  <si>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</si>
  <si>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</si>
  <si>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</si>
  <si>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</si>
  <si>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</si>
  <si>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</si>
  <si>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</si>
  <si>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</si>
  <si>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</si>
  <si>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</si>
  <si>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</si>
  <si>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</si>
  <si>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</si>
  <si>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</si>
  <si>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</si>
  <si>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</si>
  <si>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</si>
  <si>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</si>
  <si>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</si>
  <si>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</si>
  <si>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</si>
  <si>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</si>
  <si>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</si>
  <si>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</si>
  <si>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</si>
  <si>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</si>
  <si>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</si>
  <si>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</si>
  <si>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</si>
  <si>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</si>
  <si>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</si>
  <si>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</si>
  <si>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</si>
  <si>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</si>
  <si>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</si>
  <si>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</si>
  <si>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</si>
  <si>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</si>
  <si>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</si>
  <si>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</si>
  <si>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</si>
  <si>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</si>
  <si>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</si>
  <si>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</si>
  <si>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</si>
  <si>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</si>
  <si>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</si>
  <si>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</si>
  <si>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</si>
  <si>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</si>
  <si>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</si>
  <si>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</si>
  <si>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</si>
  <si>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</si>
  <si>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</si>
  <si>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</si>
  <si>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</si>
  <si>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</si>
  <si>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</si>
  <si>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</si>
  <si>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</si>
  <si>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</si>
  <si>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</si>
  <si>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</si>
  <si>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</si>
  <si>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</si>
  <si>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</si>
  <si>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</si>
  <si>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</si>
  <si>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</si>
  <si>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</si>
  <si>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</si>
  <si>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</si>
  <si>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</si>
  <si>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</si>
  <si>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</si>
  <si>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</si>
  <si>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</si>
  <si>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</si>
  <si>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</si>
  <si>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</si>
  <si>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</si>
  <si>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</si>
  <si>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</si>
  <si>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</si>
  <si>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</si>
  <si>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</si>
  <si>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</si>
  <si>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</si>
  <si>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</si>
  <si>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</si>
  <si>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</si>
  <si>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</si>
  <si>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</si>
  <si>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</si>
  <si>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</si>
  <si>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</si>
  <si>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</si>
  <si>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</si>
  <si>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</si>
  <si>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</si>
  <si>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</si>
  <si>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</si>
  <si>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</si>
  <si>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</si>
  <si>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</si>
  <si>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</si>
  <si>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</si>
  <si>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</si>
  <si>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</si>
  <si>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</si>
  <si>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</si>
  <si>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</si>
  <si>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</si>
  <si>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</si>
  <si>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</si>
  <si>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</si>
  <si>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</si>
  <si>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</si>
  <si>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</si>
  <si>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</si>
  <si>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</si>
  <si>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</si>
  <si>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</si>
  <si>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</si>
  <si>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</si>
  <si>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</si>
  <si>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</si>
  <si>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</si>
  <si>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</si>
  <si>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</si>
  <si>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</si>
  <si>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</si>
  <si>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</si>
  <si>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</si>
  <si>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</si>
  <si>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</si>
  <si>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</si>
  <si>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</si>
  <si>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</si>
  <si>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</si>
  <si>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</si>
  <si>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</si>
  <si>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</si>
  <si>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</si>
  <si>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</si>
  <si>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</si>
  <si>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</si>
  <si>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</si>
  <si>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</si>
  <si>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</si>
  <si>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</si>
  <si>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</si>
  <si>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</si>
  <si>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</si>
  <si>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</si>
  <si>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</si>
  <si>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</si>
  <si>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</si>
  <si>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</si>
  <si>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</si>
  <si>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</si>
  <si>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</si>
  <si>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</si>
  <si>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</si>
  <si>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</si>
  <si>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</si>
  <si>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</si>
  <si>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</si>
  <si>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</si>
  <si>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</si>
  <si>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</si>
  <si>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</si>
  <si>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</si>
  <si>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</si>
  <si>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</si>
  <si>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</si>
  <si>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</si>
  <si>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</si>
  <si>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</si>
  <si>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</si>
  <si>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</si>
  <si>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</si>
  <si>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</si>
  <si>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</si>
  <si>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</si>
  <si>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</si>
  <si>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</si>
  <si>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</si>
  <si>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</si>
  <si>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</si>
  <si>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</si>
  <si>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</si>
  <si>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</si>
  <si>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</si>
  <si>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</si>
  <si>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</si>
  <si>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</si>
  <si>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</si>
  <si>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</si>
  <si>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</si>
  <si>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</si>
  <si>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</si>
  <si>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</si>
  <si>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</si>
  <si>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</si>
  <si>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</si>
  <si>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</si>
  <si>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</si>
  <si>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</si>
  <si>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</si>
  <si>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</si>
  <si>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</si>
  <si>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</si>
  <si>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</si>
  <si>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</si>
  <si>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</si>
  <si>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</si>
  <si>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</si>
  <si>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</si>
  <si>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</si>
  <si>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</si>
  <si>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</si>
  <si>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</si>
  <si>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</si>
  <si>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</si>
  <si>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</si>
  <si>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</si>
  <si>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</si>
  <si>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</si>
  <si>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</si>
  <si>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</si>
  <si>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</si>
  <si>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</si>
  <si>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</si>
  <si>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</si>
  <si>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</si>
  <si>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</si>
  <si>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</si>
  <si>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</si>
  <si>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</si>
  <si>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</si>
  <si>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</si>
  <si>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</si>
  <si>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</si>
  <si>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</si>
  <si>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</si>
  <si>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</si>
  <si>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</si>
  <si>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</si>
  <si>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</si>
  <si>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</si>
  <si>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</si>
  <si>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</si>
  <si>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</si>
  <si>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</si>
  <si>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</si>
  <si>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</si>
  <si>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</si>
  <si>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</si>
  <si>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</si>
  <si>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</si>
  <si>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</si>
  <si>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</si>
  <si>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</si>
  <si>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</si>
  <si>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</si>
  <si>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</si>
  <si>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</si>
  <si>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</si>
  <si>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</si>
  <si>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</si>
  <si>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</si>
  <si>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</si>
  <si>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</si>
  <si>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</si>
  <si>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</si>
  <si>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</si>
  <si>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</si>
  <si>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</si>
  <si>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</si>
  <si>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</si>
  <si>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</si>
  <si>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</si>
  <si>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</si>
  <si>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</si>
  <si>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</si>
  <si>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</si>
  <si>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</si>
  <si>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</si>
  <si>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</si>
  <si>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</si>
  <si>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</si>
  <si>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</si>
  <si>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</si>
  <si>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</si>
  <si>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</si>
  <si>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</si>
  <si>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</si>
  <si>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</si>
  <si>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</si>
  <si>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</si>
  <si>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</si>
  <si>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</si>
  <si>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</si>
  <si>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</si>
  <si>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</si>
  <si>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</si>
  <si>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</si>
  <si>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</si>
  <si>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</si>
  <si>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</si>
  <si>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</si>
  <si>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</si>
  <si>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</si>
  <si>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</si>
  <si>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</si>
  <si>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</si>
  <si>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</si>
  <si>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</si>
  <si>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</si>
  <si>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</si>
  <si>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</si>
  <si>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</si>
  <si>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</si>
  <si>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</si>
  <si>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</si>
  <si>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</si>
  <si>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</si>
  <si>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</si>
  <si>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</si>
  <si>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</si>
  <si>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</si>
  <si>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</si>
  <si>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</si>
  <si>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</si>
  <si>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</si>
  <si>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</si>
  <si>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</si>
  <si>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</si>
  <si>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</si>
  <si>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</si>
  <si>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</si>
  <si>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</si>
  <si>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</si>
  <si>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</si>
  <si>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</si>
  <si>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</si>
  <si>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</si>
  <si>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</si>
  <si>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</si>
  <si>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</si>
  <si>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</si>
  <si>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</si>
  <si>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</si>
  <si>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</si>
  <si>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</si>
  <si>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</si>
  <si>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</si>
  <si>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</si>
  <si>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</si>
  <si>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</si>
  <si>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</si>
  <si>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</si>
  <si>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</si>
  <si>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</si>
  <si>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</si>
  <si>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</si>
  <si>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</si>
  <si>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</si>
  <si>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</si>
  <si>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</si>
  <si>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</si>
  <si>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</si>
  <si>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</si>
  <si>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</si>
  <si>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</si>
  <si>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</si>
  <si>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</si>
  <si>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</si>
  <si>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</si>
  <si>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</si>
  <si>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</si>
  <si>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</si>
  <si>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</si>
  <si>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</si>
  <si>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</si>
  <si>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</si>
  <si>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</si>
  <si>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</si>
  <si>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</si>
  <si>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</si>
  <si>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</si>
  <si>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</si>
  <si>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</si>
  <si>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</si>
  <si>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</si>
  <si>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</si>
  <si>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</si>
  <si>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</si>
  <si>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</si>
  <si>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</si>
  <si>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</si>
  <si>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</si>
  <si>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</si>
  <si>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</si>
  <si>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</si>
  <si>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</si>
  <si>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</si>
  <si>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</si>
  <si>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</si>
  <si>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</si>
  <si>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</si>
  <si>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</si>
  <si>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</si>
  <si>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</si>
  <si>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</si>
  <si>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</si>
  <si>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</si>
  <si>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</si>
  <si>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</si>
  <si>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</si>
  <si>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</si>
  <si>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</si>
  <si>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</si>
  <si>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</si>
  <si>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</si>
  <si>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</si>
  <si>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</si>
  <si>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</si>
  <si>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</si>
  <si>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</si>
  <si>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</si>
  <si>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</si>
  <si>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</si>
  <si>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</si>
  <si>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</si>
  <si>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</si>
  <si>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</si>
  <si>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</si>
  <si>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</si>
  <si>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</si>
  <si>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</si>
  <si>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</si>
  <si>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</si>
  <si>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</si>
  <si>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</si>
  <si>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</si>
  <si>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</si>
  <si>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</si>
  <si>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</si>
  <si>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</si>
  <si>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</si>
  <si>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</si>
  <si>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</si>
  <si>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</si>
  <si>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</si>
  <si>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</si>
  <si>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</si>
  <si>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</si>
  <si>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</si>
  <si>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</si>
  <si>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</si>
  <si>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</si>
  <si>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</si>
  <si>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</si>
  <si>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</si>
  <si>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</si>
  <si>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</si>
  <si>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</si>
  <si>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</si>
  <si>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</si>
  <si>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</si>
  <si>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</si>
  <si>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</si>
  <si>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</si>
  <si>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</si>
  <si>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</si>
  <si>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</si>
  <si>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</si>
  <si>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</si>
  <si>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</si>
  <si>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</si>
  <si>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</si>
  <si>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</si>
  <si>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</si>
  <si>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</si>
  <si>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</si>
  <si>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</si>
  <si>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</si>
  <si>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</si>
  <si>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</si>
  <si>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</si>
  <si>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</si>
  <si>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</si>
  <si>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</si>
  <si>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</si>
  <si>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</si>
  <si>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</si>
  <si>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</si>
  <si>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</si>
  <si>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</si>
  <si>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</si>
  <si>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</si>
  <si>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</si>
  <si>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</si>
  <si>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</si>
  <si>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</si>
  <si>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</si>
  <si>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</si>
  <si>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</si>
  <si>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</si>
  <si>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</si>
  <si>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</si>
  <si>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</si>
  <si>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</si>
  <si>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</si>
  <si>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</si>
  <si>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</si>
  <si>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</si>
  <si>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</si>
  <si>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</si>
  <si>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</si>
  <si>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</si>
  <si>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</si>
  <si>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</si>
  <si>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</si>
  <si>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</si>
  <si>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</si>
  <si>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</si>
  <si>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</si>
  <si>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</si>
  <si>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</si>
  <si>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</si>
  <si>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</si>
  <si>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</si>
  <si>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</si>
  <si>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</si>
  <si>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</si>
  <si>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</si>
  <si>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</si>
  <si>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</si>
  <si>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</si>
  <si>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</si>
  <si>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</si>
  <si>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</si>
  <si>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</si>
  <si>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</si>
  <si>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</si>
  <si>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</si>
  <si>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</si>
  <si>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</si>
  <si>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</si>
  <si>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</si>
  <si>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</si>
  <si>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</si>
  <si>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</si>
  <si>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</si>
  <si>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</si>
  <si>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</si>
  <si>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</si>
  <si>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</si>
  <si>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</si>
  <si>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</si>
  <si>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</si>
  <si>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</si>
  <si>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</si>
  <si>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</si>
  <si>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</si>
  <si>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</si>
  <si>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</si>
  <si>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</si>
  <si>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</si>
  <si>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</si>
  <si>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</si>
  <si>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</si>
  <si>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</si>
  <si>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</si>
  <si>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</si>
  <si>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</si>
  <si>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</si>
  <si>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</si>
  <si>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</si>
  <si>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</si>
  <si>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</si>
  <si>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</si>
  <si>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</si>
  <si>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</si>
  <si>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</si>
  <si>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</si>
  <si>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</si>
  <si>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</si>
  <si>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</si>
  <si>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</si>
  <si>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</si>
  <si>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</si>
  <si>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</si>
  <si>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</si>
  <si>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</si>
  <si>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</si>
  <si>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</si>
  <si>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</si>
  <si>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</si>
  <si>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</si>
  <si>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</si>
  <si>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</si>
  <si>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</si>
  <si>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</si>
  <si>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</si>
  <si>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</si>
  <si>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</si>
  <si>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</si>
  <si>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</si>
  <si>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</si>
  <si>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</si>
  <si>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</si>
  <si>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</si>
  <si>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</si>
  <si>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</si>
  <si>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</si>
  <si>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</si>
  <si>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</si>
  <si>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</si>
  <si>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</si>
  <si>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</si>
  <si>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</si>
  <si>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</si>
  <si>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</si>
  <si>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</si>
  <si>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</si>
  <si>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</si>
  <si>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</si>
  <si>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</si>
  <si>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</si>
  <si>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</si>
  <si>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</si>
  <si>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</si>
  <si>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</si>
  <si>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</si>
  <si>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</si>
  <si>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</si>
  <si>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</si>
  <si>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</si>
  <si>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</si>
  <si>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</si>
  <si>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</si>
  <si>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</si>
  <si>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</si>
  <si>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</si>
  <si>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</si>
  <si>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</si>
  <si>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</si>
  <si>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</si>
  <si>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</si>
  <si>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</si>
  <si>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</si>
  <si>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</si>
  <si>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</si>
  <si>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</si>
  <si>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</si>
  <si>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</si>
  <si>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</si>
  <si>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</si>
  <si>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</si>
  <si>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</si>
  <si>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</si>
  <si>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</si>
  <si>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</si>
  <si>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</si>
  <si>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</si>
  <si>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</si>
  <si>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</si>
  <si>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</si>
  <si>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</si>
  <si>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</si>
  <si>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</si>
  <si>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</si>
  <si>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</si>
  <si>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</si>
  <si>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</si>
  <si>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</si>
  <si>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</si>
  <si>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</si>
  <si>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</si>
  <si>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</si>
  <si>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</si>
  <si>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</si>
  <si>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</si>
  <si>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</si>
  <si>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</si>
  <si>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</si>
  <si>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</si>
  <si>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</si>
  <si>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</si>
  <si>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</si>
  <si>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</si>
  <si>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</si>
  <si>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</si>
  <si>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</si>
  <si>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</si>
  <si>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</si>
  <si>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</si>
  <si>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</si>
  <si>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</si>
  <si>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</si>
  <si>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</si>
  <si>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</si>
  <si>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</si>
  <si>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</si>
  <si>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</si>
  <si>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</si>
  <si>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</si>
  <si>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</si>
  <si>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</si>
  <si>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</si>
  <si>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</si>
  <si>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</si>
  <si>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</si>
  <si>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</si>
  <si>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</si>
  <si>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</si>
  <si>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</si>
  <si>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</si>
  <si>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</si>
  <si>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</si>
  <si>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</si>
  <si>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</si>
  <si>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</si>
  <si>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</si>
  <si>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</si>
  <si>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</si>
  <si>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</si>
  <si>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</si>
  <si>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</si>
  <si>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</si>
  <si>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</si>
  <si>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</si>
  <si>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</si>
  <si>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</si>
  <si>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</si>
  <si>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</si>
  <si>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</si>
  <si>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</si>
  <si>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</si>
  <si>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</si>
  <si>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</si>
  <si>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</si>
  <si>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</si>
  <si>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</si>
  <si>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</si>
  <si>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</si>
  <si>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</si>
  <si>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</si>
  <si>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</si>
  <si>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</si>
  <si>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</si>
  <si>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</si>
  <si>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</si>
  <si>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</si>
  <si>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</si>
  <si>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</si>
  <si>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</si>
  <si>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</si>
  <si>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</si>
  <si>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</si>
  <si>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</si>
  <si>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</si>
  <si>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</si>
  <si>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</si>
  <si>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</si>
  <si>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</si>
  <si>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</si>
  <si>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</si>
  <si>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</si>
  <si>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</si>
  <si>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</si>
  <si>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</si>
  <si>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</si>
  <si>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</si>
  <si>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</si>
  <si>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</si>
  <si>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</si>
  <si>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</si>
  <si>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</si>
  <si>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</si>
  <si>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</si>
  <si>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</si>
  <si>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</si>
  <si>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</si>
  <si>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</si>
  <si>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</si>
  <si>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</si>
  <si>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</si>
  <si>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</si>
  <si>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</si>
  <si>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</si>
  <si>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</si>
  <si>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</si>
  <si>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</si>
  <si>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</si>
  <si>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</si>
  <si>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</si>
  <si>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</si>
  <si>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</si>
  <si>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</si>
  <si>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</si>
  <si>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</si>
  <si>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</si>
  <si>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</si>
  <si>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</si>
  <si>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</si>
  <si>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</si>
  <si>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</si>
  <si>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</si>
  <si>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</si>
  <si>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</si>
  <si>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</si>
  <si>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</si>
  <si>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</si>
  <si>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</si>
  <si>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</si>
  <si>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</si>
  <si>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</si>
  <si>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</si>
  <si>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</si>
  <si>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</si>
  <si>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</si>
  <si>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</si>
  <si>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</si>
  <si>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</si>
  <si>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</si>
  <si>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</si>
  <si>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</si>
  <si>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</si>
  <si>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</si>
  <si>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</si>
  <si>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</si>
  <si>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</si>
  <si>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</si>
  <si>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</si>
  <si>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</si>
  <si>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</si>
  <si>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</si>
  <si>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</si>
  <si>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</si>
  <si>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</si>
  <si>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</si>
  <si>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</si>
  <si>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</si>
  <si>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</si>
  <si>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</si>
  <si>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</si>
  <si>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</si>
  <si>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</si>
  <si>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</si>
  <si>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</si>
  <si>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</si>
  <si>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</si>
  <si>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</si>
  <si>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</si>
  <si>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</si>
  <si>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</si>
  <si>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</si>
  <si>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</si>
  <si>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</si>
  <si>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</si>
  <si>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</si>
  <si>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</si>
  <si>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</si>
  <si>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</si>
  <si>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</si>
  <si>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</si>
  <si>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</si>
  <si>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</si>
  <si>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</si>
  <si>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</si>
  <si>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</si>
  <si>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</si>
  <si>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</si>
  <si>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</si>
  <si>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</si>
  <si>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</si>
  <si>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</si>
  <si>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</si>
  <si>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</si>
  <si>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</si>
  <si>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</si>
  <si>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</si>
  <si>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</si>
  <si>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</si>
  <si>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</si>
  <si>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</si>
  <si>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</si>
  <si>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</si>
  <si>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</si>
  <si>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</si>
  <si>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</si>
  <si>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</si>
  <si>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</si>
  <si>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</si>
  <si>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</si>
  <si>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</si>
  <si>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</si>
  <si>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</si>
  <si>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</si>
  <si>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</si>
  <si>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</si>
  <si>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</si>
  <si>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</si>
  <si>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</si>
  <si>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</si>
  <si>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</si>
  <si>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</si>
  <si>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</si>
  <si>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</si>
  <si>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</si>
  <si>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</si>
  <si>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</si>
  <si>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</si>
  <si>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</si>
  <si>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</si>
  <si>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</si>
  <si>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</si>
  <si>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</si>
  <si>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</si>
  <si>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</si>
  <si>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</si>
  <si>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</si>
  <si>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</si>
  <si>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</si>
  <si>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</si>
  <si>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</si>
  <si>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</si>
  <si>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</si>
  <si>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</si>
  <si>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</si>
  <si>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</si>
  <si>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</si>
  <si>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</si>
  <si>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</si>
  <si>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</si>
  <si>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</si>
  <si>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</si>
  <si>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</si>
  <si>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</si>
  <si>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</si>
  <si>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</si>
  <si>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</si>
  <si>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</si>
  <si>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</si>
  <si>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</si>
  <si>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</si>
  <si>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</si>
  <si>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</si>
  <si>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</si>
  <si>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</si>
  <si>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</si>
  <si>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</si>
  <si>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</si>
  <si>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</si>
  <si>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</si>
  <si>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</si>
  <si>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</si>
  <si>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</si>
  <si>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</si>
  <si>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</si>
  <si>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</si>
  <si>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</si>
  <si>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</si>
  <si>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</si>
  <si>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</si>
  <si>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</si>
  <si>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</si>
  <si>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</si>
  <si>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</si>
  <si>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</si>
  <si>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</si>
  <si>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</si>
  <si>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</si>
  <si>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</si>
  <si>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</si>
  <si>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</si>
  <si>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</si>
  <si>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</si>
  <si>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</si>
  <si>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</si>
  <si>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</si>
  <si>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</si>
  <si>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</si>
  <si>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</si>
  <si>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</si>
  <si>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</si>
  <si>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</si>
  <si>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</si>
  <si>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</si>
  <si>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</si>
  <si>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</si>
  <si>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</si>
  <si>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</si>
  <si>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</si>
  <si>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</si>
  <si>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</si>
  <si>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</si>
  <si>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</si>
  <si>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</si>
  <si>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</si>
  <si>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</si>
  <si>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</si>
  <si>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</si>
  <si>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</si>
  <si>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</si>
  <si>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</si>
  <si>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</si>
  <si>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</si>
  <si>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</si>
  <si>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</si>
  <si>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</si>
  <si>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</si>
  <si>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</si>
  <si>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</si>
  <si>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</si>
  <si>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</si>
  <si>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</si>
  <si>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</si>
  <si>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</si>
  <si>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</si>
  <si>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</si>
  <si>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</si>
  <si>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</si>
  <si>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</si>
  <si>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</si>
  <si>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</si>
  <si>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</si>
  <si>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</si>
  <si>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</si>
  <si>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</si>
  <si>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</si>
  <si>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</si>
  <si>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</si>
  <si>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</si>
  <si>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</si>
  <si>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</si>
  <si>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</si>
  <si>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</si>
  <si>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</si>
  <si>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</si>
  <si>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</si>
  <si>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</si>
  <si>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</si>
  <si>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</si>
  <si>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</si>
  <si>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</si>
  <si>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</si>
  <si>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</si>
  <si>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</si>
  <si>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</si>
  <si>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</si>
  <si>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</si>
  <si>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</si>
  <si>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</si>
  <si>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</si>
  <si>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</si>
  <si>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</si>
  <si>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</si>
  <si>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</si>
  <si>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</si>
  <si>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</si>
  <si>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</si>
  <si>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</si>
  <si>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</si>
  <si>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</si>
  <si>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</si>
  <si>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</si>
  <si>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</si>
  <si>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</si>
  <si>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</si>
  <si>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</si>
  <si>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</si>
  <si>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</si>
  <si>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</si>
  <si>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</si>
  <si>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</si>
  <si>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</si>
  <si>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</si>
  <si>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</si>
  <si>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</si>
  <si>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</si>
  <si>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</si>
  <si>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</si>
  <si>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</si>
  <si>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</si>
  <si>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</si>
  <si>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</si>
  <si>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</si>
  <si>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</si>
  <si>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</si>
  <si>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</si>
  <si>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</si>
  <si>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</si>
  <si>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</si>
  <si>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</si>
  <si>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</si>
  <si>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</si>
  <si>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</si>
  <si>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</si>
  <si>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</si>
  <si>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</si>
  <si>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</si>
  <si>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</si>
  <si>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</si>
  <si>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</si>
  <si>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</si>
  <si>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</si>
  <si>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</si>
  <si>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</si>
  <si>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</si>
  <si>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</si>
  <si>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</si>
  <si>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</si>
  <si>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</si>
  <si>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</si>
  <si>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</si>
  <si>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</si>
  <si>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</si>
  <si>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</si>
  <si>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</si>
  <si>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</si>
  <si>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</si>
  <si>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</si>
  <si>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</si>
  <si>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</si>
  <si>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</si>
  <si>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</si>
  <si>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</si>
  <si>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</si>
  <si>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</si>
  <si>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</si>
  <si>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</si>
  <si>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</si>
  <si>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</si>
  <si>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</si>
  <si>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</si>
  <si>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</si>
  <si>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</si>
  <si>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</si>
  <si>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</si>
  <si>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</si>
  <si>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</si>
  <si>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</si>
  <si>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</si>
  <si>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</si>
  <si>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</si>
  <si>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</si>
  <si>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</si>
  <si>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</si>
  <si>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</si>
  <si>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</si>
  <si>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</si>
  <si>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</si>
  <si>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</si>
  <si>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</si>
  <si>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</si>
  <si>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</si>
  <si>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</si>
  <si>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</si>
  <si>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</si>
  <si>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</si>
  <si>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</si>
  <si>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</si>
  <si>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</si>
  <si>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</si>
  <si>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</si>
  <si>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</si>
  <si>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</si>
  <si>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</si>
  <si>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</si>
  <si>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</si>
  <si>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</si>
  <si>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</si>
  <si>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</si>
  <si>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</si>
  <si>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</si>
  <si>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</si>
  <si>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</si>
  <si>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</si>
  <si>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</si>
  <si>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</si>
  <si>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</si>
  <si>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</si>
  <si>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</si>
  <si>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</si>
  <si>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</si>
  <si>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</si>
  <si>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</si>
  <si>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</si>
  <si>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</si>
  <si>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</si>
  <si>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</si>
  <si>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</si>
  <si>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</si>
  <si>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</si>
  <si>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</si>
  <si>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</si>
  <si>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</si>
  <si>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</si>
  <si>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</si>
  <si>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</si>
  <si>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</si>
  <si>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</si>
  <si>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</si>
  <si>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</si>
  <si>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</si>
  <si>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</si>
  <si>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</si>
  <si>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</si>
  <si>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</si>
  <si>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</si>
  <si>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</si>
  <si>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</si>
  <si>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</si>
  <si>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</si>
  <si>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</si>
  <si>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</si>
  <si>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</si>
  <si>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</si>
  <si>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</si>
  <si>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</si>
  <si>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</si>
  <si>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</si>
  <si>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</si>
  <si>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</si>
  <si>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</si>
  <si>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</si>
  <si>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</si>
  <si>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</si>
  <si>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</si>
  <si>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</si>
  <si>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</si>
  <si>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</si>
  <si>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</si>
  <si>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</si>
  <si>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</si>
  <si>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</si>
  <si>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</si>
  <si>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</si>
  <si>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</si>
  <si>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</si>
  <si>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</si>
  <si>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</si>
  <si>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</si>
  <si>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</si>
  <si>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</si>
  <si>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</si>
  <si>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</si>
  <si>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</si>
  <si>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</si>
  <si>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</si>
  <si>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</si>
  <si>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</si>
  <si>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</si>
  <si>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</si>
  <si>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</si>
  <si>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</si>
  <si>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</si>
  <si>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</si>
  <si>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</si>
  <si>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</si>
  <si>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</si>
  <si>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</si>
  <si>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</si>
  <si>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</si>
  <si>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</si>
  <si>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</si>
  <si>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</si>
  <si>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</si>
  <si>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</si>
  <si>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</si>
  <si>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</si>
  <si>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</si>
  <si>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</si>
  <si>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</si>
  <si>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</si>
  <si>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</si>
  <si>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</si>
  <si>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</si>
  <si>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</si>
  <si>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</si>
  <si>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</si>
  <si>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</si>
  <si>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</si>
  <si>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</si>
  <si>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</si>
  <si>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</si>
  <si>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</si>
  <si>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</si>
  <si>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</si>
  <si>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</si>
  <si>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</si>
  <si>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</si>
  <si>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</si>
  <si>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</si>
  <si>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</si>
  <si>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</si>
  <si>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</si>
  <si>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</si>
  <si>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</si>
  <si>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</si>
  <si>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</si>
  <si>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</si>
  <si>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</si>
  <si>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</si>
  <si>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</si>
  <si>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</si>
  <si>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</si>
  <si>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</si>
  <si>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</si>
  <si>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</si>
  <si>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</si>
  <si>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</si>
  <si>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</si>
  <si>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</si>
  <si>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</si>
  <si>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</si>
  <si>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</si>
  <si>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</si>
  <si>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</si>
  <si>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</si>
  <si>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</si>
  <si>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</si>
  <si>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</si>
  <si>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</si>
  <si>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</si>
  <si>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</si>
  <si>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</si>
  <si>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</si>
  <si>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</si>
  <si>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</si>
  <si>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</si>
  <si>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</si>
  <si>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</si>
  <si>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</si>
  <si>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</si>
  <si>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</si>
  <si>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</si>
  <si>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</si>
  <si>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</si>
  <si>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</si>
  <si>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</si>
  <si>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</si>
  <si>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</si>
  <si>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</si>
  <si>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</si>
  <si>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</si>
  <si>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</si>
  <si>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</si>
  <si>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</si>
  <si>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</si>
  <si>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</si>
  <si>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</si>
  <si>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</si>
  <si>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</si>
  <si>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</si>
  <si>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</si>
  <si>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</si>
  <si>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</si>
  <si>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</si>
  <si>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</si>
  <si>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</si>
  <si>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</si>
  <si>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</si>
  <si>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</si>
  <si>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</si>
  <si>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</si>
  <si>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</si>
  <si>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</si>
  <si>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</si>
  <si>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</si>
  <si>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</si>
  <si>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</si>
  <si>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</si>
  <si>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</si>
  <si>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</si>
  <si>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</si>
  <si>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</si>
  <si>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</si>
  <si>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</si>
  <si>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</si>
  <si>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</si>
  <si>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</si>
  <si>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</si>
  <si>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</si>
  <si>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</si>
  <si>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</si>
  <si>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</si>
  <si>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</si>
  <si>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</si>
  <si>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</si>
  <si>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</si>
  <si>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</si>
  <si>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</si>
  <si>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</si>
  <si>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</si>
  <si>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</si>
  <si>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</si>
  <si>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</si>
  <si>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</si>
  <si>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</si>
  <si>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</si>
  <si>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</si>
  <si>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</si>
  <si>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</si>
  <si>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</si>
  <si>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</si>
  <si>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</si>
  <si>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</si>
  <si>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</si>
  <si>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</si>
  <si>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</si>
  <si>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</si>
  <si>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</si>
  <si>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</si>
  <si>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</si>
  <si>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</si>
  <si>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</si>
  <si>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</si>
  <si>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</si>
  <si>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</si>
  <si>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</si>
  <si>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</si>
  <si>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</si>
  <si>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</si>
  <si>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</si>
  <si>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</si>
  <si>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</si>
  <si>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</si>
  <si>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</si>
  <si>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</si>
  <si>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</si>
  <si>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</si>
  <si>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</si>
  <si>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</si>
  <si>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</si>
  <si>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</si>
  <si>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</si>
  <si>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</si>
  <si>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</si>
  <si>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</si>
  <si>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</si>
  <si>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</si>
  <si>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</si>
  <si>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</si>
  <si>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</si>
  <si>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</si>
  <si>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</si>
  <si>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</si>
  <si>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</si>
  <si>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</si>
  <si>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</si>
  <si>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</si>
  <si>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</si>
  <si>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</si>
  <si>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</si>
  <si>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</si>
  <si>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</si>
  <si>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</si>
  <si>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</si>
  <si>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</si>
  <si>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</si>
  <si>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</si>
  <si>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</si>
  <si>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</si>
  <si>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</si>
  <si>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</si>
  <si>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</si>
  <si>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</si>
  <si>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</si>
  <si>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</si>
  <si>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</si>
  <si>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</si>
  <si>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</si>
  <si>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</si>
  <si>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</si>
  <si>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</si>
  <si>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</si>
  <si>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</si>
  <si>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</si>
  <si>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</si>
  <si>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</si>
  <si>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</si>
  <si>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</si>
  <si>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</si>
  <si>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</si>
  <si>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</si>
  <si>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</si>
  <si>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</si>
  <si>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</si>
  <si>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</si>
  <si>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</si>
  <si>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</si>
  <si>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</si>
  <si>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</si>
  <si>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</si>
  <si>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</si>
  <si>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</si>
  <si>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</si>
  <si>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</si>
  <si>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</si>
  <si>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</si>
  <si>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</si>
  <si>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</si>
  <si>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</si>
  <si>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</si>
  <si>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</si>
  <si>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</si>
  <si>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</si>
  <si>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</si>
  <si>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</si>
  <si>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</si>
  <si>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</si>
  <si>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</si>
  <si>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</si>
  <si>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</si>
  <si>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</si>
  <si>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</si>
  <si>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</si>
  <si>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</si>
  <si>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</si>
  <si>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</si>
  <si>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</si>
  <si>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</si>
  <si>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</si>
  <si>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</si>
  <si>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</si>
  <si>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</si>
  <si>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</si>
  <si>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</si>
  <si>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</si>
  <si>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</si>
  <si>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</si>
  <si>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</si>
  <si>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</si>
  <si>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</si>
  <si>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</si>
  <si>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</si>
  <si>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</si>
  <si>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</si>
  <si>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</si>
  <si>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</si>
  <si>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</si>
  <si>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</si>
  <si>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</si>
  <si>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</si>
  <si>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</si>
  <si>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</si>
  <si>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</si>
  <si>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</si>
  <si>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</si>
  <si>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</si>
  <si>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</si>
  <si>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</si>
  <si>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</si>
  <si>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</si>
  <si>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</si>
  <si>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</si>
  <si>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</si>
  <si>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</si>
  <si>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</si>
  <si>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</si>
  <si>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</si>
  <si>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</si>
  <si>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</si>
  <si>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</si>
  <si>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</si>
  <si>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</si>
  <si>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</si>
  <si>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</si>
  <si>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</si>
  <si>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</si>
  <si>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</si>
  <si>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</si>
  <si>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</si>
  <si>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</si>
  <si>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</si>
  <si>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</si>
  <si>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</si>
  <si>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</si>
  <si>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</si>
  <si>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</si>
  <si>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</si>
  <si>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</si>
  <si>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</si>
  <si>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</si>
  <si>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</si>
  <si>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</si>
  <si>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</si>
  <si>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</si>
  <si>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</si>
  <si>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</si>
  <si>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</si>
  <si>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</si>
  <si>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</si>
  <si>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</si>
  <si>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</si>
  <si>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</si>
  <si>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</si>
  <si>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</si>
  <si>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</si>
  <si>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</si>
  <si>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</si>
  <si>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</si>
  <si>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</si>
  <si>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</si>
  <si>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</si>
  <si>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</si>
  <si>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</si>
  <si>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</si>
  <si>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</si>
  <si>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</si>
  <si>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</si>
  <si>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</si>
  <si>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</si>
  <si>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</si>
  <si>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</si>
  <si>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</si>
  <si>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</si>
  <si>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</si>
  <si>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</si>
  <si>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</si>
  <si>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</si>
  <si>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</si>
  <si>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</si>
  <si>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</si>
  <si>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</si>
  <si>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</si>
  <si>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</si>
  <si>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</si>
  <si>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</si>
  <si>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</si>
  <si>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</si>
  <si>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</si>
  <si>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</si>
  <si>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</si>
  <si>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</si>
  <si>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</si>
  <si>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</si>
  <si>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</si>
  <si>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</si>
  <si>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</si>
  <si>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</si>
  <si>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</si>
  <si>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</si>
  <si>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</si>
  <si>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</si>
  <si>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</si>
  <si>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</si>
  <si>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</si>
  <si>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</si>
  <si>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</si>
  <si>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</si>
  <si>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</si>
  <si>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</si>
  <si>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</si>
  <si>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</si>
  <si>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</si>
  <si>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</si>
  <si>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</si>
  <si>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</si>
  <si>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</si>
  <si>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</si>
  <si>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</si>
  <si>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</si>
  <si>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</si>
  <si>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</si>
  <si>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</si>
  <si>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</si>
  <si>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</si>
  <si>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</si>
  <si>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</si>
  <si>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</si>
  <si>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</si>
  <si>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</si>
  <si>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</si>
  <si>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</si>
  <si>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</si>
  <si>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</si>
  <si>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</si>
  <si>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</si>
  <si>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</si>
  <si>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</si>
  <si>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</si>
  <si>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</si>
  <si>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</si>
  <si>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</si>
  <si>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</si>
  <si>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</si>
  <si>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</si>
  <si>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</si>
  <si>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</si>
  <si>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</si>
  <si>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</si>
  <si>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</si>
  <si>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</si>
  <si>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</si>
  <si>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</si>
  <si>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</si>
  <si>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</si>
  <si>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</si>
  <si>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</si>
  <si>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</si>
  <si>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</si>
  <si>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七通</t>
    <phoneticPr fontId="24" type="noConversion"/>
  </si>
  <si>
    <t>平层</t>
  </si>
  <si>
    <t>平层</t>
    <phoneticPr fontId="24" type="noConversion"/>
  </si>
  <si>
    <t>跃层</t>
    <phoneticPr fontId="24" type="noConversion"/>
  </si>
  <si>
    <t>简单装修</t>
    <phoneticPr fontId="24" type="noConversion"/>
  </si>
  <si>
    <t>物业公司管理</t>
  </si>
  <si>
    <t>物业公司管理</t>
    <phoneticPr fontId="24" type="noConversion"/>
  </si>
  <si>
    <t>比较法-住宅</t>
  </si>
  <si>
    <t>成本法 (元)</t>
  </si>
  <si>
    <t>塔楼</t>
    <phoneticPr fontId="24" type="noConversion"/>
  </si>
  <si>
    <t>六通</t>
    <phoneticPr fontId="24" type="noConversion"/>
  </si>
  <si>
    <t>预售</t>
    <phoneticPr fontId="24" type="noConversion"/>
  </si>
  <si>
    <t>七通</t>
  </si>
  <si>
    <t>毛坯</t>
  </si>
  <si>
    <t>毛坯</t>
    <phoneticPr fontId="24" type="noConversion"/>
  </si>
  <si>
    <t>预售</t>
    <phoneticPr fontId="24" type="noConversion"/>
  </si>
  <si>
    <t>一般</t>
  </si>
  <si>
    <t>二手房</t>
    <phoneticPr fontId="24" type="noConversion"/>
  </si>
  <si>
    <t>一手房</t>
    <phoneticPr fontId="24" type="noConversion"/>
  </si>
  <si>
    <t>多层板楼</t>
    <phoneticPr fontId="24" type="noConversion"/>
  </si>
  <si>
    <t>高层板楼</t>
    <phoneticPr fontId="24" type="noConversion"/>
  </si>
  <si>
    <t>环境质量</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</si>
  <si>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</si>
  <si>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</si>
  <si>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</si>
  <si>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</si>
  <si>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</si>
  <si>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</si>
  <si>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</si>
  <si>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</si>
  <si>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</si>
  <si>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</si>
  <si>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</si>
  <si>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</si>
  <si>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</si>
  <si>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</si>
  <si>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</si>
  <si>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</si>
  <si>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</si>
  <si>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</si>
  <si>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</si>
  <si>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</si>
  <si>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钢混</t>
    <phoneticPr fontId="24" type="noConversion"/>
  </si>
  <si>
    <r>
      <rPr>
        <sz val="11"/>
        <color indexed="8"/>
        <rFont val="宋体"/>
        <family val="3"/>
        <charset val="134"/>
      </rPr>
      <t>朝向</t>
    </r>
    <phoneticPr fontId="24" type="noConversion"/>
  </si>
  <si>
    <t>未包含在土地购买价格中</t>
  </si>
  <si>
    <t>已包含在土地取得成本中</t>
  </si>
  <si>
    <t>南北</t>
  </si>
  <si>
    <t>砖混</t>
    <phoneticPr fontId="24" type="noConversion"/>
  </si>
  <si>
    <t>南北西</t>
    <phoneticPr fontId="24" type="noConversion"/>
  </si>
  <si>
    <t>南北</t>
    <phoneticPr fontId="24" type="noConversion"/>
  </si>
  <si>
    <t>城镇住宅用地</t>
  </si>
  <si>
    <t>1000米以外</t>
  </si>
  <si>
    <t>与级别开发程度一致</t>
  </si>
  <si>
    <t>自定义容积率</t>
  </si>
  <si>
    <t>较好</t>
  </si>
  <si>
    <t>好</t>
  </si>
  <si>
    <t>不临65条商业街</t>
  </si>
  <si>
    <t>北京市昌平区</t>
  </si>
  <si>
    <t>郭岩</t>
  </si>
  <si>
    <t>张文静</t>
  </si>
  <si>
    <t>南</t>
  </si>
  <si>
    <t>南</t>
    <phoneticPr fontId="24" type="noConversion"/>
  </si>
  <si>
    <t>钢混</t>
  </si>
  <si>
    <t>高层板楼</t>
  </si>
  <si>
    <t>中心城区以外</t>
  </si>
  <si>
    <t>Ⅷ-昌1</t>
  </si>
  <si>
    <t>有</t>
  </si>
  <si>
    <t>序号</t>
  </si>
  <si>
    <t>2024-3-12777-RB</t>
  </si>
  <si>
    <t>上海浦东发展银行股份有限公司北京分行</t>
  </si>
  <si>
    <t>景文东路2号院3号楼18层1802</t>
  </si>
  <si>
    <t>北郡嘉源</t>
  </si>
  <si>
    <t>18（-01）</t>
  </si>
  <si>
    <t>2024-3-03699-RB</t>
  </si>
  <si>
    <t>彭兴全</t>
  </si>
  <si>
    <t>景文东路2号院11号楼9层2单元903</t>
  </si>
  <si>
    <t>12（-01）</t>
  </si>
  <si>
    <t>2024-3-00428-RB</t>
  </si>
  <si>
    <t>景文东路2号院8号楼10层1单元1004</t>
  </si>
  <si>
    <t>13（-01）</t>
  </si>
  <si>
    <t>2023-3-39730-RB</t>
  </si>
  <si>
    <t>牛晨琛</t>
  </si>
  <si>
    <t>景文东路2号院10号楼11层2单元1103</t>
  </si>
  <si>
    <t>14（-01）</t>
  </si>
  <si>
    <t>2023-3-37062-RB</t>
  </si>
  <si>
    <t>王永强</t>
  </si>
  <si>
    <t>景文东路2号院14号楼10层1单元1003</t>
  </si>
  <si>
    <t>2023-3-35631-RB</t>
  </si>
  <si>
    <t>闫盼红</t>
  </si>
  <si>
    <t>景文东路2号院5号楼7层1单元0702</t>
  </si>
  <si>
    <t>11（-01）</t>
  </si>
  <si>
    <t>2023-3-28932-RB</t>
  </si>
  <si>
    <t>李立清</t>
  </si>
  <si>
    <t>景文东路2号院8号楼7层2单元0703</t>
  </si>
  <si>
    <t>2023-3-16763-RB</t>
  </si>
  <si>
    <t>唐红雪</t>
  </si>
  <si>
    <t>景文东路2号院2号楼18层3单元1804</t>
  </si>
  <si>
    <t>2022-3-36191-RB</t>
  </si>
  <si>
    <t>景文东路2号院2号楼8层1单元0801</t>
  </si>
  <si>
    <t xml:space="preserve"> 北京市昌平区景文东路2号院1号楼16层1603</t>
    <phoneticPr fontId="3" type="noConversion"/>
  </si>
  <si>
    <r>
      <t>16/18</t>
    </r>
    <r>
      <rPr>
        <sz val="11"/>
        <color indexed="8"/>
        <rFont val="宋体"/>
        <family val="3"/>
        <charset val="134"/>
      </rPr>
      <t>（高层）</t>
    </r>
    <phoneticPr fontId="24" type="noConversion"/>
  </si>
  <si>
    <r>
      <t>10/13</t>
    </r>
    <r>
      <rPr>
        <sz val="11"/>
        <color indexed="8"/>
        <rFont val="宋体"/>
        <family val="3"/>
        <charset val="134"/>
      </rPr>
      <t>（高层）</t>
    </r>
    <phoneticPr fontId="24" type="noConversion"/>
  </si>
  <si>
    <r>
      <t>9/12</t>
    </r>
    <r>
      <rPr>
        <sz val="11"/>
        <color indexed="8"/>
        <rFont val="宋体"/>
        <family val="3"/>
        <charset val="134"/>
      </rPr>
      <t>（高层）</t>
    </r>
    <phoneticPr fontId="24" type="noConversion"/>
  </si>
  <si>
    <r>
      <t>11/14</t>
    </r>
    <r>
      <rPr>
        <sz val="11"/>
        <color indexed="8"/>
        <rFont val="宋体"/>
        <family val="3"/>
        <charset val="134"/>
      </rPr>
      <t>（高层）</t>
    </r>
    <phoneticPr fontId="24" type="noConversion"/>
  </si>
  <si>
    <r>
      <t>11/14</t>
    </r>
    <r>
      <rPr>
        <sz val="11"/>
        <color indexed="8"/>
        <rFont val="宋体"/>
        <family val="3"/>
        <charset val="134"/>
      </rPr>
      <t>（高层）</t>
    </r>
    <phoneticPr fontId="24" type="noConversion"/>
  </si>
  <si>
    <t>南</t>
    <phoneticPr fontId="24" type="noConversion"/>
  </si>
  <si>
    <t>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</si>
</sst>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
      <patternFill patternType="solid">
        <fgColor theme="6"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128" fillId="0" borderId="41" xfId="0" applyNumberFormat="1" applyFont="1" applyFill="1" applyBorder="1" applyAlignment="1" applyProtection="1">
      <alignment horizontal="center" vertical="center" wrapText="1"/>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128" fillId="0" borderId="5" xfId="0"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protection locked="0"/>
    </xf>
    <xf numFmtId="0" fontId="270" fillId="22" borderId="177" xfId="0" applyFont="1" applyFill="1" applyBorder="1" applyAlignment="1">
      <alignment horizontal="center" vertical="center" wrapText="1"/>
    </xf>
    <xf numFmtId="31" fontId="270" fillId="22" borderId="177" xfId="0" applyNumberFormat="1" applyFont="1" applyFill="1" applyBorder="1" applyAlignment="1">
      <alignment horizontal="center" vertical="center" wrapText="1"/>
    </xf>
    <xf numFmtId="49" fontId="128" fillId="0" borderId="41" xfId="0" applyNumberFormat="1" applyFont="1" applyFill="1" applyBorder="1" applyAlignment="1" applyProtection="1">
      <alignment horizontal="center" vertical="center" wrapText="1"/>
      <protection locked="0"/>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44"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23" borderId="176" xfId="0"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31" fontId="271" fillId="24" borderId="177" xfId="0" applyNumberFormat="1"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0" fontId="270" fillId="24" borderId="176" xfId="0" applyFont="1" applyFill="1" applyBorder="1" applyAlignment="1">
      <alignment horizontal="center" vertical="center" wrapText="1"/>
    </xf>
    <xf numFmtId="31" fontId="270" fillId="24" borderId="176" xfId="0" applyNumberFormat="1" applyFont="1" applyFill="1" applyBorder="1" applyAlignment="1">
      <alignment horizontal="center" vertical="center" wrapText="1"/>
    </xf>
    <xf numFmtId="49" fontId="128" fillId="0" borderId="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601980</xdr:colOff>
      <xdr:row>33</xdr:row>
      <xdr:rowOff>160020</xdr:rowOff>
    </xdr:from>
    <xdr:to>
      <xdr:col>17</xdr:col>
      <xdr:colOff>350520</xdr:colOff>
      <xdr:row>52</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7917180" y="6195060"/>
          <a:ext cx="3406140" cy="3406140"/>
        </a:xfrm>
        <a:prstGeom prst="rect">
          <a:avLst/>
        </a:prstGeom>
      </xdr:spPr>
    </xdr:pic>
    <xdr:clientData/>
  </xdr:twoCellAnchor>
  <xdr:twoCellAnchor editAs="oneCell">
    <xdr:from>
      <xdr:col>3</xdr:col>
      <xdr:colOff>68580</xdr:colOff>
      <xdr:row>34</xdr:row>
      <xdr:rowOff>137160</xdr:rowOff>
    </xdr:from>
    <xdr:to>
      <xdr:col>12</xdr:col>
      <xdr:colOff>305989</xdr:colOff>
      <xdr:row>54</xdr:row>
      <xdr:rowOff>89084</xdr:rowOff>
    </xdr:to>
    <xdr:pic>
      <xdr:nvPicPr>
        <xdr:cNvPr id="3" name="图片 2"/>
        <xdr:cNvPicPr>
          <a:picLocks noChangeAspect="1"/>
        </xdr:cNvPicPr>
      </xdr:nvPicPr>
      <xdr:blipFill>
        <a:blip xmlns:r="http://schemas.openxmlformats.org/officeDocument/2006/relationships" r:embed="rId2"/>
        <a:stretch>
          <a:fillRect/>
        </a:stretch>
      </xdr:blipFill>
      <xdr:spPr>
        <a:xfrm>
          <a:off x="2506980" y="6355080"/>
          <a:ext cx="5723809" cy="3609524"/>
        </a:xfrm>
        <a:prstGeom prst="rect">
          <a:avLst/>
        </a:prstGeom>
      </xdr:spPr>
    </xdr:pic>
    <xdr:clientData/>
  </xdr:twoCellAnchor>
  <xdr:twoCellAnchor editAs="oneCell">
    <xdr:from>
      <xdr:col>0</xdr:col>
      <xdr:colOff>0</xdr:colOff>
      <xdr:row>41</xdr:row>
      <xdr:rowOff>0</xdr:rowOff>
    </xdr:from>
    <xdr:to>
      <xdr:col>6</xdr:col>
      <xdr:colOff>9067</xdr:colOff>
      <xdr:row>56</xdr:row>
      <xdr:rowOff>56800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98080"/>
          <a:ext cx="3666667" cy="2800000"/>
        </a:xfrm>
        <a:prstGeom prst="rect">
          <a:avLst/>
        </a:prstGeom>
      </xdr:spPr>
    </xdr:pic>
    <xdr:clientData/>
  </xdr:twoCellAnchor>
  <xdr:twoCellAnchor editAs="oneCell">
    <xdr:from>
      <xdr:col>2</xdr:col>
      <xdr:colOff>1</xdr:colOff>
      <xdr:row>26</xdr:row>
      <xdr:rowOff>0</xdr:rowOff>
    </xdr:from>
    <xdr:to>
      <xdr:col>15</xdr:col>
      <xdr:colOff>228144</xdr:colOff>
      <xdr:row>35</xdr:row>
      <xdr:rowOff>154080</xdr:rowOff>
    </xdr:to>
    <xdr:pic>
      <xdr:nvPicPr>
        <xdr:cNvPr id="5" name="图片 4"/>
        <xdr:cNvPicPr>
          <a:picLocks noChangeAspect="1"/>
        </xdr:cNvPicPr>
      </xdr:nvPicPr>
      <xdr:blipFill>
        <a:blip xmlns:r="http://schemas.openxmlformats.org/officeDocument/2006/relationships" r:embed="rId4"/>
        <a:stretch>
          <a:fillRect/>
        </a:stretch>
      </xdr:blipFill>
      <xdr:spPr>
        <a:xfrm>
          <a:off x="1219201" y="7094220"/>
          <a:ext cx="8152943" cy="1800000"/>
        </a:xfrm>
        <a:prstGeom prst="rect">
          <a:avLst/>
        </a:prstGeom>
      </xdr:spPr>
    </xdr:pic>
    <xdr:clientData/>
  </xdr:twoCellAnchor>
  <xdr:twoCellAnchor editAs="oneCell">
    <xdr:from>
      <xdr:col>1</xdr:col>
      <xdr:colOff>586740</xdr:colOff>
      <xdr:row>17</xdr:row>
      <xdr:rowOff>83820</xdr:rowOff>
    </xdr:from>
    <xdr:to>
      <xdr:col>18</xdr:col>
      <xdr:colOff>143902</xdr:colOff>
      <xdr:row>27</xdr:row>
      <xdr:rowOff>55020</xdr:rowOff>
    </xdr:to>
    <xdr:pic>
      <xdr:nvPicPr>
        <xdr:cNvPr id="6" name="图片 5"/>
        <xdr:cNvPicPr>
          <a:picLocks noChangeAspect="1"/>
        </xdr:cNvPicPr>
      </xdr:nvPicPr>
      <xdr:blipFill>
        <a:blip xmlns:r="http://schemas.openxmlformats.org/officeDocument/2006/relationships" r:embed="rId5"/>
        <a:stretch>
          <a:fillRect/>
        </a:stretch>
      </xdr:blipFill>
      <xdr:spPr>
        <a:xfrm>
          <a:off x="1196340" y="5532120"/>
          <a:ext cx="9920362" cy="1800000"/>
        </a:xfrm>
        <a:prstGeom prst="rect">
          <a:avLst/>
        </a:prstGeom>
      </xdr:spPr>
    </xdr:pic>
    <xdr:clientData/>
  </xdr:twoCellAnchor>
  <xdr:twoCellAnchor editAs="oneCell">
    <xdr:from>
      <xdr:col>2</xdr:col>
      <xdr:colOff>1</xdr:colOff>
      <xdr:row>10</xdr:row>
      <xdr:rowOff>0</xdr:rowOff>
    </xdr:from>
    <xdr:to>
      <xdr:col>14</xdr:col>
      <xdr:colOff>478614</xdr:colOff>
      <xdr:row>19</xdr:row>
      <xdr:rowOff>154080</xdr:rowOff>
    </xdr:to>
    <xdr:pic>
      <xdr:nvPicPr>
        <xdr:cNvPr id="7" name="图片 6"/>
        <xdr:cNvPicPr>
          <a:picLocks noChangeAspect="1"/>
        </xdr:cNvPicPr>
      </xdr:nvPicPr>
      <xdr:blipFill>
        <a:blip xmlns:r="http://schemas.openxmlformats.org/officeDocument/2006/relationships" r:embed="rId6"/>
        <a:stretch>
          <a:fillRect/>
        </a:stretch>
      </xdr:blipFill>
      <xdr:spPr>
        <a:xfrm>
          <a:off x="1219201" y="4168140"/>
          <a:ext cx="7793813"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估价对象为北京市房地产，为所有。根据《国有土地使用证》[]，估价对象（分摊）出让国有建设用地使用权面积为0平方米，建筑面积为80.66平方米。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估价对象为北京市房地产,属开发建设的，该项目尚在开发建设中。根据《国有土地使用证》[]，估价对象（分摊）出让国有建设用地使用权面积为0平方米，规划建筑面积为80.66平方米。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2024年3月20日</v>
      </c>
    </row>
    <row r="13" spans="1:2" s="1203" customFormat="1">
      <c r="A13" s="1201" t="s">
        <v>529</v>
      </c>
      <c r="B13" s="1202" t="str">
        <f>'预评函-1'!A18</f>
        <v>本次估价的“房地产价值”是指在正常市场情况下，在价值时点2024年3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80.66</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2" t="s">
        <v>2580</v>
      </c>
      <c r="J2" s="3522"/>
      <c r="K2" s="3522"/>
      <c r="L2" s="3522"/>
      <c r="M2" s="3522"/>
      <c r="N2" s="3522"/>
      <c r="O2" s="3522"/>
      <c r="P2" s="3522"/>
      <c r="Q2" s="3522"/>
      <c r="R2" s="3522"/>
    </row>
    <row r="3" spans="1:18">
      <c r="A3" s="3020" t="s">
        <v>2501</v>
      </c>
      <c r="B3" s="3021">
        <f>项目基本情况!D3</f>
        <v>45371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2.75</v>
      </c>
      <c r="D5" s="3025">
        <f>IF(ISERROR(ROUND(POWER(1+E5,A5-C5)*(POWER(1+E5,C5)-1)/(POWER(1+E5,A5)-1),3)),0,ROUND(POWER(1+E5,A5-C5)*(POWER(1+E5,C5)-1)/(POWER(1+E5,A5)-1),4))</f>
        <v>0.12909999999999999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12.75</v>
      </c>
      <c r="D6" s="3025">
        <f>IF(ISERROR(ROUND(POWER(1+E6,A6-C6)*(POWER(1+E6,C6)-1)/(POWER(1+E6,A6)-1),3)),0,ROUND(POWER(1+E6,A6-C6)*(POWER(1+E6,C6)-1)/(POWER(1+E6,A6)-1),4))</f>
        <v>0.45789999999999997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32.770000000000003</v>
      </c>
      <c r="D7" s="3025">
        <f>IF(ISERROR(ROUND(POWER(1+E7,A7-C7)*(POWER(1+E7,C7)-1)/(POWER(1+E7,A7)-1),3)),0,ROUND(POWER(1+E7,A7-C7)*(POWER(1+E7,C7)-1)/(POWER(1+E7,A7)-1),4))</f>
        <v>0.77310000000000001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5" thickBot="1">
      <c r="A18" s="3031" t="s">
        <v>2516</v>
      </c>
      <c r="B18" s="3032">
        <f>ROUND(B17*F11/F12,2)</f>
        <v>5541.87</v>
      </c>
      <c r="C18" s="3032">
        <f>ROUND(F11/F12,4)</f>
        <v>1.1521999999999999</v>
      </c>
      <c r="D18" s="3033"/>
      <c r="E18" s="3033"/>
      <c r="F18" s="3034"/>
    </row>
    <row r="19" spans="1:13" ht="15" thickBot="1"/>
    <row r="20" spans="1:13" s="3069" customFormat="1" ht="1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2" sqref="I4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31" t="str">
        <f>IF(B10="北京市","北京市",C10)&amp;F10&amp;IF(结果表!G1="在建","出让国有建设用地使用权及在建建筑物",IF(结果表!G1="土地","出让国有建设用地使用权",))&amp;B9&amp;"预评估"</f>
        <v>北京市房地产市场价值预评估</v>
      </c>
      <c r="C1" s="3532"/>
      <c r="D1" s="3532"/>
      <c r="E1" s="3532"/>
      <c r="F1" s="3532"/>
      <c r="G1" s="3532"/>
      <c r="H1" s="3532"/>
      <c r="I1" s="353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45371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3384</v>
      </c>
      <c r="C8" s="2390"/>
      <c r="D8" s="3534" t="s">
        <v>2176</v>
      </c>
      <c r="E8" s="2391"/>
      <c r="F8" s="2392"/>
      <c r="G8" s="2663"/>
      <c r="H8" s="2663"/>
      <c r="I8" s="2663"/>
      <c r="J8" s="2439"/>
      <c r="K8" s="2614"/>
      <c r="L8" s="2613"/>
      <c r="M8" s="2613"/>
      <c r="N8" s="2439"/>
      <c r="O8" s="2450"/>
      <c r="P8" s="2439"/>
      <c r="Q8" s="2439"/>
      <c r="R8" s="2439"/>
    </row>
    <row r="9" spans="1:30" ht="13.8" thickBot="1">
      <c r="A9" s="2393" t="s">
        <v>2177</v>
      </c>
      <c r="B9" s="2394" t="s">
        <v>3385</v>
      </c>
      <c r="C9" s="2395"/>
      <c r="D9" s="3535"/>
      <c r="E9" s="2394"/>
      <c r="F9" s="2396"/>
      <c r="G9" s="2665"/>
      <c r="H9" s="2665"/>
      <c r="I9" s="2665"/>
      <c r="J9" s="2439"/>
      <c r="K9" s="2616"/>
      <c r="L9" s="2613"/>
      <c r="M9" s="2613"/>
      <c r="N9" s="2439"/>
      <c r="O9" s="2450"/>
      <c r="P9" s="2439"/>
      <c r="Q9" s="2439"/>
      <c r="R9" s="2439"/>
    </row>
    <row r="10" spans="1:30" ht="13.8"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3383</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2576</v>
      </c>
      <c r="J12" s="3062"/>
      <c r="K12" s="2613"/>
      <c r="L12" s="2613"/>
      <c r="M12" s="2439"/>
      <c r="N12" s="2450"/>
      <c r="O12" s="2439"/>
      <c r="P12" s="2439"/>
      <c r="Q12" s="2439"/>
      <c r="AD12" s="1745"/>
    </row>
    <row r="13" spans="1:30">
      <c r="A13" s="3423" t="s">
        <v>3331</v>
      </c>
      <c r="B13" s="2407" t="s">
        <v>2189</v>
      </c>
      <c r="C13" s="856">
        <v>66088</v>
      </c>
      <c r="D13" s="856"/>
      <c r="E13" s="856"/>
      <c r="F13" s="856"/>
      <c r="G13" s="856"/>
      <c r="H13" s="856"/>
      <c r="I13" s="856"/>
      <c r="J13" s="3062"/>
      <c r="K13" s="2613"/>
      <c r="L13" s="2613"/>
      <c r="M13" s="2439"/>
      <c r="N13" s="2450"/>
      <c r="O13" s="2439"/>
      <c r="P13" s="2439"/>
      <c r="Q13" s="2439"/>
      <c r="AD13" s="1745"/>
    </row>
    <row r="14" spans="1:30">
      <c r="A14" s="1081"/>
      <c r="B14" s="2407" t="s">
        <v>2190</v>
      </c>
      <c r="C14" s="2408">
        <v>70</v>
      </c>
      <c r="D14" s="2408"/>
      <c r="E14" s="2408"/>
      <c r="F14" s="2408"/>
      <c r="G14" s="2408"/>
      <c r="H14" s="2408"/>
      <c r="I14" s="2408"/>
      <c r="J14" s="3063"/>
      <c r="K14" s="2613"/>
      <c r="L14" s="2613"/>
      <c r="M14" s="2439"/>
      <c r="N14" s="2450"/>
      <c r="O14" s="2439"/>
      <c r="P14" s="2439"/>
      <c r="Q14" s="2439"/>
      <c r="AD14" s="1745"/>
    </row>
    <row r="15" spans="1:30">
      <c r="A15" s="320"/>
      <c r="B15" s="2409" t="s">
        <v>2191</v>
      </c>
      <c r="C15" s="2410">
        <f>IF(A13="出让",IF(C13="","",ROUNDDOWN(MIN((C13-$D$3)/365,C14),2)),C14)</f>
        <v>56.75</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1"/>
      <c r="C16" s="3542"/>
      <c r="D16" s="3543"/>
      <c r="E16" s="2413" t="s">
        <v>2193</v>
      </c>
      <c r="F16" s="3544"/>
      <c r="G16" s="3545"/>
      <c r="H16" s="3545"/>
      <c r="I16" s="3546"/>
      <c r="J16" s="2439"/>
      <c r="K16" s="2617"/>
      <c r="L16" s="2451"/>
      <c r="M16" s="2451"/>
      <c r="N16" s="2509"/>
      <c r="O16" s="2451"/>
      <c r="P16" s="2509"/>
      <c r="Q16" s="2439"/>
      <c r="R16" s="2439"/>
    </row>
    <row r="17" spans="1:28">
      <c r="A17" s="313" t="s">
        <v>2194</v>
      </c>
      <c r="B17" s="302" t="s">
        <v>2195</v>
      </c>
      <c r="C17" s="8">
        <f>'数据-汇总表'!E3</f>
        <v>80.66</v>
      </c>
      <c r="D17" s="2322" t="s">
        <v>2196</v>
      </c>
      <c r="E17" s="3547" t="s">
        <v>2197</v>
      </c>
      <c r="F17" s="3548"/>
      <c r="G17" s="3548"/>
      <c r="H17" s="3548"/>
      <c r="I17" s="3549"/>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0</v>
      </c>
      <c r="D18" s="1092" t="s">
        <v>2200</v>
      </c>
      <c r="E18" s="3550" t="s">
        <v>2201</v>
      </c>
      <c r="F18" s="3551"/>
      <c r="G18" s="3551"/>
      <c r="H18" s="3551"/>
      <c r="I18" s="3552"/>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7" t="s">
        <v>2205</v>
      </c>
      <c r="C20" s="3538"/>
      <c r="D20" s="3539" t="s">
        <v>2206</v>
      </c>
      <c r="E20" s="3540"/>
      <c r="F20" s="2647" t="s">
        <v>1056</v>
      </c>
      <c r="G20" s="2664"/>
      <c r="H20" s="2664"/>
      <c r="I20" s="2664"/>
      <c r="J20" s="2439"/>
      <c r="K20" s="353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2217</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3" t="s">
        <v>2227</v>
      </c>
      <c r="T34" s="2428" t="str">
        <f>NUMBERSTRING(7-K34,1)&amp;"通"</f>
        <v>七通</v>
      </c>
      <c r="U34" s="2439"/>
      <c r="V34" s="2439"/>
    </row>
    <row r="35" spans="1:30">
      <c r="A35" s="2429"/>
      <c r="B35" s="3530" t="s">
        <v>2228</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2579</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305</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t="s">
        <v>3467</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80.66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80.66</v>
      </c>
      <c r="H5" s="13">
        <f t="shared" ref="H5:AT5" si="0">SUM(H13:H656)</f>
        <v>80.66</v>
      </c>
      <c r="I5" s="13">
        <f t="shared" si="0"/>
        <v>80.66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80.66</v>
      </c>
      <c r="BA5" s="15">
        <f t="shared" si="1"/>
        <v>80.66</v>
      </c>
      <c r="BB5" s="15">
        <f t="shared" si="1"/>
        <v>80.66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3388</v>
      </c>
      <c r="E13" s="13">
        <f>IF($C$3="是",ROUND($A$3*G13/$B$3,2),ROUND($A$3*(G13-AT13)/$B$3,2))</f>
        <v>0</v>
      </c>
      <c r="F13" s="29"/>
      <c r="G13" s="30">
        <f>H13+AC13+AT13</f>
        <v>80.66</v>
      </c>
      <c r="H13" s="17">
        <f>SUMIF(I$12:AB$12,"总值",I13:AB13)</f>
        <v>80.66</v>
      </c>
      <c r="I13" s="1626">
        <v>80.66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80.66</v>
      </c>
      <c r="BA13" s="13">
        <f>SUM(BB13:BK13)</f>
        <v>80.66</v>
      </c>
      <c r="BB13" s="13">
        <f>IF($D13="是",I13-J13,0)</f>
        <v>80.66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2" t="s">
        <v>1131</v>
      </c>
      <c r="B2" s="3562"/>
      <c r="C2" s="3562"/>
      <c r="D2" s="796" t="s">
        <v>1107</v>
      </c>
      <c r="E2" s="1639" t="s">
        <v>1108</v>
      </c>
      <c r="F2" s="2659"/>
      <c r="G2" s="2650"/>
      <c r="H2" s="2651"/>
      <c r="I2" s="2325" t="s">
        <v>1132</v>
      </c>
      <c r="J2" s="2659"/>
      <c r="K2" s="2659"/>
      <c r="L2" s="2659"/>
      <c r="M2" s="2659"/>
      <c r="N2" s="2661"/>
      <c r="O2" s="2659"/>
      <c r="P2" s="2659"/>
    </row>
    <row r="3" spans="1:16" ht="15" thickBot="1">
      <c r="A3" s="3563" t="s">
        <v>1105</v>
      </c>
      <c r="B3" s="3563"/>
      <c r="C3" s="3563"/>
      <c r="D3" s="43">
        <f>'数据-基础表'!AY6</f>
        <v>0</v>
      </c>
      <c r="E3" s="43">
        <f>'数据-基础表'!AZ5</f>
        <v>80.66</v>
      </c>
      <c r="F3" s="2659"/>
      <c r="G3" s="1145"/>
      <c r="H3" s="1026" t="s">
        <v>1106</v>
      </c>
      <c r="I3" s="855" t="e">
        <f>ROUND('数据-基础表'!B3/'数据-基础表'!A3,2)</f>
        <v>#DIV/0!</v>
      </c>
      <c r="J3" s="2659"/>
      <c r="K3" s="2659"/>
      <c r="L3" s="2659"/>
      <c r="M3" s="2659"/>
      <c r="N3" s="2661"/>
      <c r="O3" s="2659"/>
      <c r="P3" s="2659"/>
    </row>
    <row r="4" spans="1:16" ht="14.4">
      <c r="A4" s="3564"/>
      <c r="B4" s="3565"/>
      <c r="C4" s="356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7" t="s">
        <v>1110</v>
      </c>
      <c r="C5" s="3567"/>
      <c r="D5" s="45">
        <f>ROUND($D$3*E5/$E$3,2)</f>
        <v>0</v>
      </c>
      <c r="E5" s="46">
        <f>SUMIF('数据-基础表'!$11:$11,"住宅",'数据-基础表'!$5:$5)</f>
        <v>80.66</v>
      </c>
      <c r="F5" s="2659"/>
      <c r="G5" s="1145"/>
      <c r="H5" s="1026" t="s">
        <v>1106</v>
      </c>
      <c r="I5" s="855" t="e">
        <f>ROUND(E31/D31,2)</f>
        <v>#DIV/0!</v>
      </c>
      <c r="J5" s="2659"/>
      <c r="K5" s="2659"/>
      <c r="L5" s="2659"/>
      <c r="M5" s="2659"/>
      <c r="N5" s="2659"/>
      <c r="O5" s="2659"/>
      <c r="P5" s="2659"/>
    </row>
    <row r="6" spans="1:16" ht="15" thickBot="1">
      <c r="A6" s="1644"/>
      <c r="B6" s="3567" t="s">
        <v>1111</v>
      </c>
      <c r="C6" s="356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9"/>
      <c r="B7" s="3560"/>
      <c r="C7" s="3561"/>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80.66</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80.66</v>
      </c>
      <c r="F16" s="2659"/>
      <c r="G16" s="2660"/>
      <c r="H16" s="1648" t="s">
        <v>1135</v>
      </c>
      <c r="I16" s="1649"/>
      <c r="J16" s="1139"/>
      <c r="K16" s="3556" t="s">
        <v>1135</v>
      </c>
      <c r="L16" s="3557"/>
      <c r="M16" s="3557"/>
      <c r="N16" s="3557"/>
      <c r="O16" s="3557"/>
      <c r="P16" s="3558"/>
    </row>
    <row r="17" spans="1:19" ht="14.4">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3389</v>
      </c>
      <c r="D19" s="45">
        <f>ROUND($D$3*E19/$E$3,2)</f>
        <v>0</v>
      </c>
      <c r="E19" s="53">
        <f t="shared" ref="E19:E26" si="1">SUM(F19:G19)</f>
        <v>80.66</v>
      </c>
      <c r="F19" s="2795">
        <f>'数据-基础表'!I13</f>
        <v>80.66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80.66</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80.66</v>
      </c>
      <c r="F27" s="1140">
        <f>IF(SUM(F19:F26)=E8,SUM(F19:F26),"地上面积有误")</f>
        <v>80.66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80.66</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80.66</v>
      </c>
      <c r="F31" s="677">
        <f>F27+F30</f>
        <v>80.66</v>
      </c>
      <c r="G31" s="678">
        <f>G27+G30</f>
        <v>0</v>
      </c>
      <c r="H31" s="2659"/>
      <c r="I31" s="2659"/>
      <c r="J31" s="2659"/>
      <c r="K31" s="2659"/>
      <c r="L31" s="2659"/>
      <c r="M31" s="2659"/>
      <c r="N31" s="2659"/>
      <c r="O31" s="2659"/>
      <c r="P31" s="2659"/>
    </row>
    <row r="32" spans="1:19" ht="14.4">
      <c r="A32" s="1643"/>
      <c r="B32" s="1643" t="s">
        <v>1159</v>
      </c>
      <c r="C32" s="1643"/>
      <c r="D32" s="1643"/>
      <c r="E32" s="1053">
        <f>SUMIF(C19:C26,"*住宅*",E19:E26)</f>
        <v>80.66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21" activePane="bottomRight" state="frozen"/>
      <selection activeCell="C50" sqref="C50"/>
      <selection pane="topRight" activeCell="C50" sqref="C50"/>
      <selection pane="bottomLeft" activeCell="C50" sqref="C50"/>
      <selection pane="bottomRight" activeCell="B22" sqref="B22"/>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45371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66088</v>
      </c>
      <c r="F6" s="64">
        <f>SUMIF(项目基本情况!C$12:I$12,C6,项目基本情况!C$15:I$15)</f>
        <v>56.75</v>
      </c>
      <c r="G6" s="65">
        <f>IF(ISERROR(ROUND(POWER(1+H6,D6-F6)*(POWER(1+H6,F6)-1)/(POWER(1+H6,D6)-1),3)),0,ROUND(POWER(1+H6,D6-F6)*(POWER(1+H6,F6)-1)/(POWER(1+H6,D6)-1),3))</f>
        <v>0</v>
      </c>
      <c r="H6" s="732"/>
      <c r="I6" s="732">
        <v>0.05</v>
      </c>
      <c r="J6" s="66"/>
      <c r="K6" s="1030">
        <f>SUMIF('数据-汇总表'!C$19:C$33,A6,'数据-汇总表'!E$19:E$33)</f>
        <v>80.66</v>
      </c>
      <c r="L6" s="733">
        <v>3000</v>
      </c>
      <c r="M6" s="67">
        <f t="shared" ref="M6:M14" si="0">ROUND(K6*L6/10000,0)</f>
        <v>24</v>
      </c>
      <c r="N6" s="3455">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0.01</v>
      </c>
      <c r="AL6" s="79">
        <v>1E-3</v>
      </c>
      <c r="AM6" s="80">
        <v>0.01</v>
      </c>
      <c r="AN6" s="1715"/>
      <c r="AO6" s="52" t="e">
        <f ca="1">SUMIF(INDIRECT("'"&amp;AN6&amp;"'"&amp;"!A:A"),"总价",INDIRECT("'"&amp;AN6&amp;"'"&amp;"!B:B"))</f>
        <v>#REF!</v>
      </c>
      <c r="AP6" s="1716">
        <f>IF(C6="住宅",K6*L6,0)</f>
        <v>241980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80.66</v>
      </c>
      <c r="L16" s="93">
        <f>ROUND(M16*10000/SUM(K6:K14),0)</f>
        <v>2975</v>
      </c>
      <c r="M16" s="93">
        <f>SUM(M6:M14)</f>
        <v>24</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f>1-(2024-2013)/60</f>
        <v>0.81666666666666665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2294</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2296</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3391</v>
      </c>
      <c r="B40" s="1078">
        <f ca="1">IF(A40="利息：取LPR",存贷款利率!G1,存贷款利率!G1+C40)</f>
        <v>3.4500000000000003E-2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2306</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8" t="s">
        <v>2285</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80.66</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45371</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255</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80.66</v>
      </c>
      <c r="C14" s="2518"/>
      <c r="D14" s="2518">
        <f ca="1">结果表!G19</f>
        <v>255</v>
      </c>
      <c r="E14" s="2518">
        <f ca="1">ROUND(D14*10000/B14,0)</f>
        <v>31614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北京市房地产</v>
      </c>
      <c r="B2" s="3605"/>
      <c r="C2" s="3605"/>
      <c r="D2" s="3605"/>
      <c r="E2" s="3605"/>
      <c r="F2" s="3605"/>
      <c r="G2" s="3605"/>
      <c r="H2" s="3605"/>
      <c r="I2" s="3606"/>
    </row>
    <row r="3" spans="1:12" ht="13.2">
      <c r="A3" s="3608" t="s">
        <v>1264</v>
      </c>
      <c r="B3" s="3609"/>
      <c r="C3" s="3609"/>
      <c r="D3" s="3609"/>
      <c r="E3" s="3609"/>
      <c r="F3" s="3609"/>
      <c r="G3" s="3609"/>
      <c r="H3" s="3609"/>
      <c r="I3" s="3609"/>
    </row>
    <row r="4" spans="1:12" ht="14.4">
      <c r="A4" s="1754" t="s">
        <v>1265</v>
      </c>
      <c r="B4" s="1755" t="s">
        <v>1266</v>
      </c>
      <c r="C4" s="1756" t="s">
        <v>3409</v>
      </c>
      <c r="D4" s="1756" t="s">
        <v>3410</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4" t="s">
        <v>1268</v>
      </c>
      <c r="B5" s="3571">
        <v>25</v>
      </c>
      <c r="C5" s="3587">
        <v>8</v>
      </c>
      <c r="D5" s="3607">
        <f>10-C5</f>
        <v>2</v>
      </c>
      <c r="E5" s="131" t="s">
        <v>1269</v>
      </c>
      <c r="F5" s="1757"/>
      <c r="G5" s="1757"/>
      <c r="H5" s="1757"/>
      <c r="I5" s="1373"/>
    </row>
    <row r="6" spans="1:12" ht="13.2">
      <c r="A6" s="3584"/>
      <c r="B6" s="3571"/>
      <c r="C6" s="3588"/>
      <c r="D6" s="3607"/>
      <c r="E6" s="131" t="s">
        <v>1270</v>
      </c>
      <c r="F6" s="1757"/>
      <c r="G6" s="1757"/>
      <c r="H6" s="1757"/>
      <c r="I6" s="1373"/>
    </row>
    <row r="7" spans="1:12" ht="13.2">
      <c r="A7" s="3584"/>
      <c r="B7" s="3571"/>
      <c r="C7" s="3589"/>
      <c r="D7" s="3607"/>
      <c r="E7" s="131" t="s">
        <v>1271</v>
      </c>
      <c r="F7" s="1757"/>
      <c r="G7" s="1757"/>
      <c r="H7" s="1757"/>
      <c r="I7" s="1373"/>
    </row>
    <row r="8" spans="1:12" ht="13.2">
      <c r="A8" s="3584" t="s">
        <v>1272</v>
      </c>
      <c r="B8" s="3571">
        <v>15</v>
      </c>
      <c r="C8" s="3587"/>
      <c r="D8" s="3607"/>
      <c r="E8" s="131" t="s">
        <v>1273</v>
      </c>
      <c r="F8" s="1757"/>
      <c r="G8" s="1757"/>
      <c r="H8" s="1757"/>
      <c r="I8" s="1373"/>
    </row>
    <row r="9" spans="1:12" ht="13.2">
      <c r="A9" s="3584"/>
      <c r="B9" s="3571"/>
      <c r="C9" s="3589"/>
      <c r="D9" s="3607"/>
      <c r="E9" s="131" t="s">
        <v>1274</v>
      </c>
      <c r="F9" s="1757"/>
      <c r="G9" s="1757"/>
      <c r="H9" s="1757"/>
      <c r="I9" s="1373"/>
    </row>
    <row r="10" spans="1:12" ht="13.2">
      <c r="A10" s="3584" t="s">
        <v>1275</v>
      </c>
      <c r="B10" s="3571">
        <v>15</v>
      </c>
      <c r="C10" s="3587"/>
      <c r="D10" s="3607"/>
      <c r="E10" s="131" t="s">
        <v>1276</v>
      </c>
      <c r="F10" s="1757"/>
      <c r="G10" s="1757"/>
      <c r="H10" s="1757"/>
      <c r="I10" s="1373"/>
    </row>
    <row r="11" spans="1:12" ht="13.2">
      <c r="A11" s="3584"/>
      <c r="B11" s="3571"/>
      <c r="C11" s="3589"/>
      <c r="D11" s="3607"/>
      <c r="E11" s="131" t="s">
        <v>1277</v>
      </c>
      <c r="F11" s="1757"/>
      <c r="G11" s="1757"/>
      <c r="H11" s="1757"/>
      <c r="I11" s="1373"/>
    </row>
    <row r="12" spans="1:12" ht="13.2">
      <c r="A12" s="3584" t="s">
        <v>1278</v>
      </c>
      <c r="B12" s="3571">
        <v>15</v>
      </c>
      <c r="C12" s="3587"/>
      <c r="D12" s="3607"/>
      <c r="E12" s="131" t="s">
        <v>1279</v>
      </c>
      <c r="F12" s="1757"/>
      <c r="G12" s="1757"/>
      <c r="H12" s="1757"/>
      <c r="I12" s="1373"/>
    </row>
    <row r="13" spans="1:12" ht="13.2">
      <c r="A13" s="3584"/>
      <c r="B13" s="3571"/>
      <c r="C13" s="3589"/>
      <c r="D13" s="3607"/>
      <c r="E13" s="131" t="s">
        <v>1280</v>
      </c>
      <c r="F13" s="1757"/>
      <c r="G13" s="1757"/>
      <c r="H13" s="1757"/>
      <c r="I13" s="1373"/>
    </row>
    <row r="14" spans="1:12" ht="13.2">
      <c r="A14" s="3584" t="s">
        <v>1281</v>
      </c>
      <c r="B14" s="3571">
        <v>30</v>
      </c>
      <c r="C14" s="3587"/>
      <c r="D14" s="3607"/>
      <c r="E14" s="131" t="s">
        <v>1282</v>
      </c>
      <c r="F14" s="1757"/>
      <c r="G14" s="1757"/>
      <c r="H14" s="1757"/>
      <c r="I14" s="1373"/>
    </row>
    <row r="15" spans="1:12" ht="13.2">
      <c r="A15" s="3584"/>
      <c r="B15" s="3571"/>
      <c r="C15" s="3588"/>
      <c r="D15" s="3607"/>
      <c r="E15" s="131" t="s">
        <v>1283</v>
      </c>
      <c r="F15" s="1757"/>
      <c r="G15" s="1757"/>
      <c r="H15" s="1757"/>
      <c r="I15" s="1373"/>
    </row>
    <row r="16" spans="1:12" ht="13.2">
      <c r="A16" s="3584"/>
      <c r="B16" s="3571"/>
      <c r="C16" s="3589"/>
      <c r="D16" s="3607"/>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4" t="s">
        <v>2130</v>
      </c>
      <c r="F18" s="3595"/>
      <c r="G18" s="3595"/>
      <c r="H18" s="3595"/>
      <c r="I18" s="3595"/>
      <c r="K18" s="302" t="s">
        <v>1289</v>
      </c>
      <c r="L18" s="302">
        <f>IF(C1="",'数据-汇总表'!E3,SUMIF(项目类型,C1,'数据-汇总表'!E17:E26)+SUMIF(项目类型,C1,'数据-汇总表'!I17:I26))</f>
        <v>80.66</v>
      </c>
      <c r="M18" s="302">
        <f>IF(C1="",'数据-汇总表'!E3,SUMIF(项目类型,C1,'数据-汇总表'!E17:E26))</f>
        <v>80.66</v>
      </c>
    </row>
    <row r="19" spans="1:36" ht="14.4">
      <c r="A19" s="1761" t="s">
        <v>1290</v>
      </c>
      <c r="B19" s="1762" t="s">
        <v>1291</v>
      </c>
      <c r="C19" s="134">
        <f ca="1">SUMIF(INDIRECT("'"&amp;C4&amp;"'"&amp;"!A:A"),结果表!B19,INDIRECT("'"&amp;C4&amp;"'"&amp;"!B:B"))</f>
        <v>278.82549999999998</v>
      </c>
      <c r="D19" s="135">
        <f ca="1">SUMIF(INDIRECT("'"&amp;D4&amp;"'"&amp;"!A:A"),结果表!B19,INDIRECT("'"&amp;D4&amp;"'"&amp;"!B:B"))</f>
        <v>160.19059999999999</v>
      </c>
      <c r="E19" s="1761" t="s">
        <v>1292</v>
      </c>
      <c r="F19" s="1762" t="s">
        <v>1291</v>
      </c>
      <c r="G19" s="136">
        <f ca="1">ROUND(C19*$C$18+D19*$D$18,0)</f>
        <v>255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34568</v>
      </c>
      <c r="D20" s="138">
        <f ca="1">SUMIF(INDIRECT("'"&amp;D4&amp;"'"&amp;"!A:A"),结果表!B20,INDIRECT("'"&amp;D4&amp;"'"&amp;"!B:B"))</f>
        <v>19860</v>
      </c>
      <c r="E20" s="1764"/>
      <c r="F20" s="1026" t="s">
        <v>1295</v>
      </c>
      <c r="G20" s="139">
        <f ca="1">ROUND(C20*$C$18+D20*$D$18,0)</f>
        <v>31626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0.74058590204418984</v>
      </c>
      <c r="E22" s="129"/>
      <c r="F22" s="129"/>
      <c r="G22" s="129"/>
      <c r="H22" s="129"/>
      <c r="I22" s="129"/>
    </row>
    <row r="23" spans="1:36" ht="13.8" thickBot="1">
      <c r="A23" s="1747"/>
      <c r="B23" s="1747"/>
      <c r="C23" s="1747"/>
      <c r="D23" s="1747"/>
      <c r="E23" s="129"/>
      <c r="F23" s="129"/>
      <c r="G23" s="129"/>
      <c r="H23" s="129"/>
      <c r="I23" s="129"/>
    </row>
    <row r="24" spans="1:36" ht="14.4">
      <c r="A24" s="3578" t="s">
        <v>1299</v>
      </c>
      <c r="B24" s="1762" t="s">
        <v>1291</v>
      </c>
      <c r="C24" s="136">
        <f>IF(B30=0,0,D30)</f>
        <v>0</v>
      </c>
      <c r="D24" s="1769"/>
      <c r="E24" s="129"/>
      <c r="F24" s="129"/>
      <c r="G24" s="129"/>
      <c r="H24" s="129"/>
      <c r="I24" s="129"/>
    </row>
    <row r="25" spans="1:36" ht="14.4">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31626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8" t="s">
        <v>1312</v>
      </c>
      <c r="B36" s="1787" t="s">
        <v>1313</v>
      </c>
      <c r="C36" s="145"/>
      <c r="D36" s="1788"/>
      <c r="E36" s="1789"/>
      <c r="F36" s="1790"/>
      <c r="G36" s="129"/>
      <c r="H36" s="129"/>
      <c r="I36" s="129"/>
    </row>
    <row r="37" spans="1:15" ht="15" thickBot="1">
      <c r="A37" s="3599"/>
      <c r="B37" s="1674" t="s">
        <v>1314</v>
      </c>
      <c r="C37" s="147"/>
      <c r="D37" s="1139"/>
      <c r="E37" s="1139"/>
      <c r="F37" s="1790"/>
      <c r="G37" s="129"/>
      <c r="H37" s="129"/>
      <c r="I37" s="129"/>
    </row>
    <row r="38" spans="1:15" ht="15" thickBot="1">
      <c r="A38" s="360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45371</v>
      </c>
      <c r="N47" s="3655"/>
      <c r="O47" s="3655"/>
    </row>
    <row r="48" spans="1:15" ht="26.4">
      <c r="A48" s="3603" t="s">
        <v>1338</v>
      </c>
      <c r="B48" s="3586"/>
      <c r="C48" s="358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4" t="s">
        <v>1340</v>
      </c>
      <c r="L48" s="3634"/>
      <c r="M48" s="3656" t="e">
        <f ca="1">H101</f>
        <v>#REF!</v>
      </c>
      <c r="N48" s="3656"/>
      <c r="O48" s="3656"/>
    </row>
    <row r="49" spans="1:35" ht="25.5" customHeight="1">
      <c r="A49" s="2333" t="s">
        <v>1341</v>
      </c>
      <c r="B49" s="3570" t="s">
        <v>1342</v>
      </c>
      <c r="C49" s="3570"/>
      <c r="D49" s="1590">
        <v>0</v>
      </c>
      <c r="E49" s="324" t="s">
        <v>1343</v>
      </c>
      <c r="F49" s="2424" t="s">
        <v>28</v>
      </c>
      <c r="G49" s="3640"/>
      <c r="H49" s="2310" t="s">
        <v>2133</v>
      </c>
      <c r="I49" s="2311"/>
      <c r="J49" s="2523">
        <v>4</v>
      </c>
      <c r="K49" s="3634" t="str">
        <f>IF(项目基本情况!E8="房地产抵押价值","房地产抵押价值","抵押担保权已注销时的房地产抵押价值")</f>
        <v>抵押担保权已注销时的房地产抵押价值</v>
      </c>
      <c r="L49" s="3634"/>
      <c r="M49" s="3656" t="str">
        <f>IF(项目基本情况!E8="房地产抵押价值",H107,H109)</f>
        <v>——</v>
      </c>
      <c r="N49" s="3656"/>
      <c r="O49" s="3656"/>
    </row>
    <row r="50" spans="1:35" ht="25.5" customHeight="1">
      <c r="A50" s="2551"/>
      <c r="B50" s="3570" t="s">
        <v>1344</v>
      </c>
      <c r="C50" s="3570"/>
      <c r="D50" s="2552"/>
      <c r="E50" s="332"/>
      <c r="F50" s="2424"/>
      <c r="G50" s="3641"/>
      <c r="H50" s="2312" t="s">
        <v>2134</v>
      </c>
      <c r="I50" s="2311"/>
      <c r="J50" s="3653" t="s">
        <v>1345</v>
      </c>
      <c r="K50" s="3653"/>
      <c r="L50" s="3653"/>
      <c r="M50" s="3653"/>
      <c r="N50" s="3653"/>
      <c r="O50" s="3653"/>
    </row>
    <row r="51" spans="1:35" ht="20.399999999999999" customHeight="1">
      <c r="A51" s="2553"/>
      <c r="B51" s="3570" t="s">
        <v>1346</v>
      </c>
      <c r="C51" s="3570"/>
      <c r="D51" s="1087"/>
      <c r="E51" s="327"/>
      <c r="F51" s="2424"/>
      <c r="G51" s="3642"/>
      <c r="H51" s="2312" t="s">
        <v>2135</v>
      </c>
      <c r="I51" s="2311"/>
      <c r="J51" s="2524" t="s">
        <v>1347</v>
      </c>
      <c r="K51" s="3634" t="s">
        <v>1348</v>
      </c>
      <c r="L51" s="3634"/>
      <c r="M51" s="2524" t="s">
        <v>1349</v>
      </c>
      <c r="N51" s="2524" t="s">
        <v>1350</v>
      </c>
      <c r="O51" s="2524" t="s">
        <v>1351</v>
      </c>
    </row>
    <row r="52" spans="1:35" ht="24" customHeight="1">
      <c r="A52" s="2335" t="s">
        <v>1352</v>
      </c>
      <c r="B52" s="3570" t="s">
        <v>1353</v>
      </c>
      <c r="C52" s="3570"/>
      <c r="D52" s="1087" t="e">
        <f ca="1">ROUND(D45*'数据-取费表'!B41/(1+'数据-取费表'!C42),0)</f>
        <v>#REF!</v>
      </c>
      <c r="E52" s="2334" t="s">
        <v>1354</v>
      </c>
      <c r="F52" s="2554">
        <f>'数据-取费表'!B41</f>
        <v>5.6000000000000001E-2</v>
      </c>
      <c r="G52" s="2555"/>
      <c r="H52" s="2544"/>
      <c r="I52" s="1807"/>
      <c r="J52" s="2523">
        <v>1</v>
      </c>
      <c r="K52" s="3635" t="s">
        <v>1355</v>
      </c>
      <c r="L52" s="3635"/>
      <c r="M52" s="2525" t="b">
        <f>D48</f>
        <v>0</v>
      </c>
      <c r="N52" s="2523" t="str">
        <f>E48</f>
        <v>销售额×税（费）率</v>
      </c>
      <c r="O52" s="2526">
        <f>F48</f>
        <v>5.6000000000000001E-2</v>
      </c>
    </row>
    <row r="53" spans="1:35" ht="12" customHeight="1">
      <c r="A53" s="2335" t="s">
        <v>1356</v>
      </c>
      <c r="B53" s="3596" t="s">
        <v>2290</v>
      </c>
      <c r="C53" s="3597"/>
      <c r="D53" s="1087" t="e">
        <f ca="1">ROUND(D45*'数据-取费表'!B41/(1+'数据-取费表'!C42),0)</f>
        <v>#REF!</v>
      </c>
      <c r="E53" s="2334" t="s">
        <v>1354</v>
      </c>
      <c r="F53" s="2554">
        <f>'数据-取费表'!B41</f>
        <v>5.6000000000000001E-2</v>
      </c>
      <c r="G53" s="2555"/>
      <c r="H53" s="2544"/>
      <c r="I53" s="1807"/>
      <c r="J53" s="2523">
        <v>2</v>
      </c>
      <c r="K53" s="3635" t="s">
        <v>1357</v>
      </c>
      <c r="L53" s="3635"/>
      <c r="M53" s="2525" t="e">
        <f t="shared" ref="M53:O54" ca="1" si="0">D55</f>
        <v>#REF!</v>
      </c>
      <c r="N53" s="2523" t="str">
        <f t="shared" si="0"/>
        <v>销售额×税（费）率</v>
      </c>
      <c r="O53" s="2526" t="str">
        <f t="shared" si="0"/>
        <v>免征</v>
      </c>
    </row>
    <row r="54" spans="1:35" ht="12" customHeight="1">
      <c r="A54" s="2335" t="s">
        <v>1358</v>
      </c>
      <c r="B54" s="3596" t="s">
        <v>2291</v>
      </c>
      <c r="C54" s="3597"/>
      <c r="D54" s="1087" t="e">
        <f ca="1">C68</f>
        <v>#REF!</v>
      </c>
      <c r="E54" s="327" t="s">
        <v>1359</v>
      </c>
      <c r="F54" s="2554">
        <f>'数据-取费表'!B41</f>
        <v>5.6000000000000001E-2</v>
      </c>
      <c r="G54" s="2555"/>
      <c r="H54" s="2556"/>
      <c r="I54" s="1807"/>
      <c r="J54" s="2523">
        <v>3</v>
      </c>
      <c r="K54" s="3635" t="s">
        <v>1360</v>
      </c>
      <c r="L54" s="3635"/>
      <c r="M54" s="2525" t="e">
        <f t="shared" ca="1" si="0"/>
        <v>#REF!</v>
      </c>
      <c r="N54" s="2523" t="str">
        <f t="shared" si="0"/>
        <v>增值额×税（费）率</v>
      </c>
      <c r="O54" s="2527" t="str">
        <f t="shared" si="0"/>
        <v>免征</v>
      </c>
    </row>
    <row r="55" spans="1:35" ht="24" customHeight="1">
      <c r="A55" s="3585" t="s">
        <v>1361</v>
      </c>
      <c r="B55" s="3586"/>
      <c r="C55" s="3586"/>
      <c r="D55" s="2324" t="e">
        <f ca="1">IF(H55="个人住宅",0,ROUND(D45*I55,0))</f>
        <v>#REF!</v>
      </c>
      <c r="E55" s="2334" t="s">
        <v>1362</v>
      </c>
      <c r="F55" s="2554" t="str">
        <f>IF(H55="正常",I55,"免征")</f>
        <v>免征</v>
      </c>
      <c r="G55" s="2555"/>
      <c r="H55" s="2550"/>
      <c r="I55" s="165">
        <f>'数据-取费表'!B49</f>
        <v>5.0000000000000001E-4</v>
      </c>
      <c r="J55" s="2523">
        <f>IF(H59="非个人房产","",4)</f>
        <v>4</v>
      </c>
      <c r="K55" s="3635" t="str">
        <f>IF(H59="非个人房产","——","个人所得税")</f>
        <v>个人所得税</v>
      </c>
      <c r="L55" s="3635"/>
      <c r="M55" s="2528" t="e">
        <f ca="1">D59</f>
        <v>#REF!</v>
      </c>
      <c r="N55" s="2040" t="str">
        <f>E59</f>
        <v>差额计税</v>
      </c>
      <c r="O55" s="2529">
        <f>F59</f>
        <v>0.01</v>
      </c>
    </row>
    <row r="56" spans="1:35" ht="25.2">
      <c r="A56" s="3585" t="s">
        <v>1363</v>
      </c>
      <c r="B56" s="3586"/>
      <c r="C56" s="3586"/>
      <c r="D56" s="2324" t="e">
        <f ca="1">IF(H56="个人住宅",D57,D58)</f>
        <v>#REF!</v>
      </c>
      <c r="E56" s="2334" t="s">
        <v>1364</v>
      </c>
      <c r="F56" s="2554" t="str">
        <f>IF(H56="正常",F58,"免征")</f>
        <v>免征</v>
      </c>
      <c r="G56" s="2557" t="s">
        <v>1365</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3.2">
      <c r="A57" s="2335" t="s">
        <v>1341</v>
      </c>
      <c r="B57" s="3596" t="s">
        <v>1366</v>
      </c>
      <c r="C57" s="3597"/>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0</v>
      </c>
      <c r="O57" s="2533"/>
      <c r="P57" s="2690" t="e">
        <f ca="1">N57/M49</f>
        <v>#VALUE!</v>
      </c>
    </row>
    <row r="58" spans="1:35" ht="25.2">
      <c r="A58" s="2335" t="s">
        <v>1352</v>
      </c>
      <c r="B58" s="3596" t="s">
        <v>1369</v>
      </c>
      <c r="C58" s="3570"/>
      <c r="D58" s="2324" t="e">
        <f ca="1">IF(H58="转让取得",C81,C97)</f>
        <v>#REF!</v>
      </c>
      <c r="E58" s="2334" t="s">
        <v>1364</v>
      </c>
      <c r="F58" s="302" t="s">
        <v>28</v>
      </c>
      <c r="G58" s="2555"/>
      <c r="H58" s="2558"/>
      <c r="I58" s="1808"/>
      <c r="J58" s="3635"/>
      <c r="K58" s="3635"/>
      <c r="L58" s="2530" t="s">
        <v>1370</v>
      </c>
      <c r="M58" s="2534"/>
      <c r="N58" s="2535" t="str">
        <f ca="1">NUMBERSTRING(INT(N57*10000),2)&amp;"元整"</f>
        <v>零元整</v>
      </c>
      <c r="O58" s="2536"/>
    </row>
    <row r="59" spans="1:35" ht="24.6" thickBot="1">
      <c r="A59" s="3638" t="s">
        <v>1371</v>
      </c>
      <c r="B59" s="3639"/>
      <c r="C59" s="363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36">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7"/>
      <c r="K60" s="3635"/>
      <c r="L60" s="2530" t="s">
        <v>1370</v>
      </c>
      <c r="M60" s="2534"/>
      <c r="N60" s="2535" t="e">
        <f ca="1">NUMBERSTRING(INT(N59*10000),2)&amp;"元整"</f>
        <v>#VALUE!</v>
      </c>
      <c r="O60" s="2536"/>
    </row>
    <row r="61" spans="1:35" ht="13.8" thickBot="1">
      <c r="A61" s="3583" t="s">
        <v>1373</v>
      </c>
      <c r="B61" s="3583"/>
      <c r="C61" s="3583"/>
      <c r="D61" s="3583"/>
      <c r="E61" s="3583"/>
      <c r="F61" s="1808"/>
      <c r="G61" s="1808"/>
      <c r="H61" s="1810"/>
      <c r="I61" s="129"/>
      <c r="J61" s="2523">
        <f>J59+1</f>
        <v>7</v>
      </c>
      <c r="K61" s="3635" t="s">
        <v>1374</v>
      </c>
      <c r="L61" s="3635"/>
      <c r="M61" s="2540"/>
      <c r="N61" s="2541" t="e">
        <f ca="1">ROUND(N59*10000/'数据-汇总表'!E3,0)</f>
        <v>#VALUE!</v>
      </c>
      <c r="O61" s="2542"/>
    </row>
    <row r="62" spans="1:35" ht="13.2">
      <c r="A62" s="3601" t="s">
        <v>1375</v>
      </c>
      <c r="B62" s="360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2" t="s">
        <v>2128</v>
      </c>
      <c r="H90" s="366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5" t="str">
        <f>C4</f>
        <v>比较法-住宅</v>
      </c>
      <c r="D101" s="2586" t="str">
        <f>D4</f>
        <v>成本法 (元)</v>
      </c>
      <c r="E101" s="3657" t="s">
        <v>1431</v>
      </c>
      <c r="F101" s="3614"/>
      <c r="G101" s="1827" t="s">
        <v>1432</v>
      </c>
      <c r="H101" s="2595" t="e">
        <f ca="1">H118</f>
        <v>#REF!</v>
      </c>
      <c r="I101" s="129"/>
    </row>
    <row r="102" spans="1:35" ht="18.75" customHeight="1">
      <c r="A102" s="3616" t="s">
        <v>1433</v>
      </c>
      <c r="B102" s="2584" t="s">
        <v>1432</v>
      </c>
      <c r="C102" s="2585">
        <f ca="1">IF(D32="楼面单价",ROUND(C19,0),C19)</f>
        <v>278.82549999999998</v>
      </c>
      <c r="D102" s="2586">
        <f ca="1">IF(D32="楼面单价",ROUND(D19,0),D19)</f>
        <v>160.19059999999999</v>
      </c>
      <c r="E102" s="3657"/>
      <c r="F102" s="3614"/>
      <c r="G102" s="1827" t="s">
        <v>1434</v>
      </c>
      <c r="H102" s="2555" t="e">
        <f ca="1">I118</f>
        <v>#REF!</v>
      </c>
      <c r="I102" s="129"/>
    </row>
    <row r="103" spans="1:35" ht="42.75" customHeight="1">
      <c r="A103" s="3616"/>
      <c r="B103" s="2584" t="s">
        <v>1434</v>
      </c>
      <c r="C103" s="2587">
        <f ca="1">C20</f>
        <v>34568</v>
      </c>
      <c r="D103" s="2588">
        <f ca="1">D20</f>
        <v>19860</v>
      </c>
      <c r="E103" s="3651" t="s">
        <v>1435</v>
      </c>
      <c r="F103" s="3652"/>
      <c r="G103" s="1828" t="s">
        <v>1436</v>
      </c>
      <c r="H103" s="2595">
        <f>IF(D36="正常操作",H104+H105+H106,H105+H106)</f>
        <v>0</v>
      </c>
      <c r="I103" s="129"/>
    </row>
    <row r="104" spans="1:35" ht="18.75" customHeight="1">
      <c r="A104" s="361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t="e">
        <f ca="1">IF(E107="——","——",H101-H103)</f>
        <v>#REF!</v>
      </c>
      <c r="I107" s="129"/>
    </row>
    <row r="108" spans="1:35" ht="18.75" customHeight="1">
      <c r="A108" s="129"/>
      <c r="B108" s="129"/>
      <c r="C108" s="129"/>
      <c r="D108" s="129"/>
      <c r="E108" s="3613"/>
      <c r="F108" s="3614"/>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80.66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4215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80.66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80.66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2</v>
      </c>
      <c r="D37" s="217">
        <f ca="1">D19</f>
        <v>80.66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6.9999999999999999E-4</v>
      </c>
      <c r="D44" s="238"/>
      <c r="E44" s="238"/>
      <c r="F44" s="239"/>
      <c r="G44" s="3666"/>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32</v>
      </c>
      <c r="D51" s="232"/>
      <c r="E51" s="232"/>
      <c r="F51" s="264"/>
      <c r="G51" s="234" t="s">
        <v>1560</v>
      </c>
    </row>
    <row r="52" spans="1:7" s="208" customFormat="1" ht="16.8" thickBot="1">
      <c r="A52" s="265" t="s">
        <v>1561</v>
      </c>
      <c r="B52" s="266"/>
      <c r="C52" s="267">
        <f ca="1">C31+C51</f>
        <v>34</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北京市房地产市场价值预评估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17" sqref="D1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80.66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91</v>
      </c>
      <c r="C2" s="1999" t="s">
        <v>1934</v>
      </c>
      <c r="D2" s="2000" t="s">
        <v>1935</v>
      </c>
      <c r="E2" s="3422" t="s">
        <v>3386</v>
      </c>
      <c r="F2" s="2000" t="s">
        <v>1936</v>
      </c>
      <c r="G2" s="2001" t="str">
        <f>IF(E2="商业",项目基本情况!B37,IF(E2="办公",项目基本情况!C37,IF(E2="住宅",项目基本情况!D37,IF(E2="工业",项目基本情况!E37,项目基本情况!F37))))</f>
        <v>八级</v>
      </c>
      <c r="H2" s="2000" t="s">
        <v>1937</v>
      </c>
      <c r="I2" s="2001" t="str">
        <f>IF(E2="商业",项目基本情况!B38,IF(E2="办公",项目基本情况!C38,IF(E2="住宅",项目基本情况!D38,IF(E2="工业",项目基本情况!E38,项目基本情况!F38))))</f>
        <v>Ⅷ-昌1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17339</v>
      </c>
      <c r="U2" s="1213"/>
      <c r="V2" s="3361">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11282</v>
      </c>
      <c r="C3" s="1999" t="s">
        <v>1940</v>
      </c>
      <c r="D3" s="2000" t="s">
        <v>1941</v>
      </c>
      <c r="E3" s="3420" t="s">
        <v>3452</v>
      </c>
      <c r="F3" s="2004" t="s">
        <v>3455</v>
      </c>
      <c r="G3" s="752">
        <f>IF(F3="宗地容积率",'数据-汇总表'!I4,IF(F3="估价对象容积率",'数据-汇总表'!I6,'数据-汇总表'!I7))</f>
        <v>1.5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13364</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74"/>
      <c r="B4" s="3675"/>
      <c r="C4" s="3675"/>
      <c r="D4" s="3676"/>
      <c r="E4" s="3676"/>
      <c r="F4" s="3676"/>
      <c r="G4" s="3676"/>
      <c r="H4" s="3676"/>
      <c r="I4" s="3676"/>
      <c r="J4" s="367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10902</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10441</v>
      </c>
      <c r="D5" s="1339">
        <f>ROUND(C6*C17+C20,0)</f>
        <v>9040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9255</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9040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8432</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八级</v>
      </c>
      <c r="Y7" s="1214" t="s">
        <v>1955</v>
      </c>
      <c r="Z7" s="1215">
        <f>G3</f>
        <v>1.5</v>
      </c>
      <c r="AA7" s="1216"/>
      <c r="AB7" s="1216"/>
      <c r="AC7" s="1217"/>
      <c r="AD7" s="1218"/>
      <c r="AE7" s="1218"/>
      <c r="AF7" s="1218"/>
      <c r="AG7" s="1218"/>
      <c r="AH7" s="1218"/>
      <c r="AI7" s="1218"/>
      <c r="AJ7" s="1219"/>
    </row>
    <row r="8" spans="1:36" ht="26.4">
      <c r="A8" s="3299"/>
      <c r="B8" s="170" t="s">
        <v>1956</v>
      </c>
      <c r="C8" s="2026" t="s">
        <v>3458</v>
      </c>
      <c r="D8" s="756" t="s">
        <v>112</v>
      </c>
      <c r="E8" s="757" t="e">
        <f>ROUND(C11/E7,4)</f>
        <v>#DIV/0!</v>
      </c>
      <c r="F8" s="2027" t="s">
        <v>1957</v>
      </c>
      <c r="G8" s="2028"/>
      <c r="H8" s="2028"/>
      <c r="I8" s="2028"/>
      <c r="J8" s="2029"/>
      <c r="K8" s="1119"/>
      <c r="L8" s="2003" t="s">
        <v>1958</v>
      </c>
      <c r="M8" s="864">
        <f>SUMPRODUCT((区片价!B234:B276=I2)*(区片价!C3:G3=E2)*(区片价!C234:G276))</f>
        <v>9040</v>
      </c>
      <c r="N8" s="866">
        <f>SUMPRODUCT((因素修正幅度!B234:B276=I2)*(因素修正幅度!C3:G3=E2)*(因素修正幅度!C234:G276))</f>
        <v>0.15</v>
      </c>
      <c r="O8" s="1119"/>
      <c r="P8" s="1119"/>
      <c r="Q8" s="1119"/>
      <c r="R8" s="1212">
        <v>7</v>
      </c>
      <c r="S8" s="1213"/>
      <c r="T8" s="3361">
        <f t="shared" si="0"/>
        <v>0</v>
      </c>
      <c r="U8" s="1213"/>
      <c r="V8" s="3361">
        <f t="shared" si="1"/>
        <v>0</v>
      </c>
      <c r="W8" s="3671" t="s">
        <v>1959</v>
      </c>
      <c r="X8" s="367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3"/>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1981</v>
      </c>
      <c r="C13" s="755">
        <f>ROUND(C16*D16*E16*F16*G16*H16*I16*J16,4)</f>
        <v>1.155</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1984</v>
      </c>
      <c r="C14" s="2041" t="s">
        <v>1985</v>
      </c>
      <c r="D14" s="1350" t="s">
        <v>1986</v>
      </c>
      <c r="E14" s="27" t="s">
        <v>1987</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3468</v>
      </c>
      <c r="D15" s="2044" t="s">
        <v>3468</v>
      </c>
      <c r="E15" s="2045" t="s">
        <v>3453</v>
      </c>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1988</v>
      </c>
      <c r="C16" s="3318">
        <v>1.1000000000000001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8" t="s">
        <v>3254</v>
      </c>
      <c r="B20" s="167" t="s">
        <v>1993</v>
      </c>
      <c r="C20" s="3325">
        <f>ROUND(IF(F21="与级别开发程度一致",0,(G21-E21)/C21),0)</f>
        <v>0</v>
      </c>
      <c r="D20" s="3341" t="s">
        <v>1997</v>
      </c>
      <c r="E20" s="3342"/>
      <c r="F20" s="3684" t="s">
        <v>1994</v>
      </c>
      <c r="G20" s="368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9"/>
      <c r="B21" s="2164" t="s">
        <v>1996</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3454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1.0659000000000001</v>
      </c>
      <c r="D23" s="2054" t="s">
        <v>2001</v>
      </c>
      <c r="E23" s="761">
        <v>44197</v>
      </c>
      <c r="F23" s="2054" t="s">
        <v>2002</v>
      </c>
      <c r="G23" s="762">
        <f>'数据-取费表'!B2</f>
        <v>45371</v>
      </c>
      <c r="H23" s="3343" t="s">
        <v>3255</v>
      </c>
      <c r="I23" s="3344" t="str">
        <f>IF(H23="季度增幅（自定义）",SUMIF(N25:N28,E2,O25:O28),"")</f>
        <v/>
      </c>
      <c r="J23" s="3446" t="s">
        <v>3466</v>
      </c>
      <c r="K23" s="1125"/>
      <c r="L23" s="2055" t="s">
        <v>2003</v>
      </c>
      <c r="M23" s="1328">
        <f>ROUND(SUMIF(地价!B2:G2,E2,地价!B16:G16),0)</f>
        <v>687</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0.96909999999999996</v>
      </c>
      <c r="D24" s="2060" t="s">
        <v>2006</v>
      </c>
      <c r="E24" s="1335">
        <f>存贷款利率!E26/100</f>
        <v>4.3499999999999997E-2</v>
      </c>
      <c r="F24" s="2060" t="s">
        <v>1998</v>
      </c>
      <c r="G24" s="768">
        <f>SUMIF(M30:Q30,E2,M33:Q33)</f>
        <v>0.05</v>
      </c>
      <c r="H24" s="2060" t="s">
        <v>2007</v>
      </c>
      <c r="I24" s="769">
        <f>SUMIF('数据-取费表'!C6:C15,E2,'数据-取费表'!F6:F15)/COUNTIF('数据-取费表'!C6:C15,E2)</f>
        <v>56.75</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5" t="s">
        <v>3256</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1.0427</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91</v>
      </c>
      <c r="D30" s="2083"/>
      <c r="E30" s="2046"/>
      <c r="F30" s="2084"/>
      <c r="G30" s="2046"/>
      <c r="H30" s="2046"/>
      <c r="I30" s="2046"/>
      <c r="J30" s="2085"/>
      <c r="K30" s="1119"/>
      <c r="L30" s="3351" t="s">
        <v>1935</v>
      </c>
      <c r="M30" s="3352" t="s">
        <v>1989</v>
      </c>
      <c r="N30" s="3352" t="s">
        <v>1990</v>
      </c>
      <c r="O30" s="3352" t="s">
        <v>1991</v>
      </c>
      <c r="P30" s="3352" t="s">
        <v>1992</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11246</v>
      </c>
      <c r="D33" s="2098">
        <f>'数据-汇总表'!F19</f>
        <v>80.66</v>
      </c>
      <c r="E33" s="773">
        <f>ROUND(C33*D33/10000,0)</f>
        <v>91</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f>ROUND(IF(E2="工业",C33*M42,IF(B25="楼层修正",SUM(V2:V16)*M41*10000/D34,C33*M41)),0)</f>
        <v>2812</v>
      </c>
      <c r="D34" s="2103"/>
      <c r="E34" s="773">
        <f>ROUND(IF(B25="楼层修正",SUM(V2:V16)*M40,C34*D34/10000),0)</f>
        <v>0</v>
      </c>
      <c r="F34" s="2104" t="s">
        <v>2031</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7" t="s">
        <v>3264</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2"/>
      <c r="B37" s="2113" t="s">
        <v>2035</v>
      </c>
      <c r="C37" s="175">
        <f>ROUND(D5*C22*C23*C24*C28*F37,0)</f>
        <v>4868</v>
      </c>
      <c r="D37" s="2098"/>
      <c r="E37" s="171">
        <f>ROUND(C37*D37/10000,0)</f>
        <v>0</v>
      </c>
      <c r="F37" s="171">
        <f>SUMIF(修正!A57:A68,G2,修正!B57:B68)</f>
        <v>0.5</v>
      </c>
      <c r="G37" s="171">
        <f>ROUND(IF(E2="工业",C37*$M$42,C37*$M$41),0)</f>
        <v>1217</v>
      </c>
      <c r="H37" s="171">
        <f>D37</f>
        <v>0</v>
      </c>
      <c r="I37" s="171">
        <f>ROUND(G37*H37/10000,0)</f>
        <v>0</v>
      </c>
      <c r="J37" s="3012"/>
      <c r="K37" s="3359" t="s">
        <v>3265</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3"/>
      <c r="B38" s="2041" t="s">
        <v>2036</v>
      </c>
      <c r="C38" s="175">
        <f>ROUND(D5*C22*C23*C24*C28*F38,0)</f>
        <v>1947</v>
      </c>
      <c r="D38" s="2098"/>
      <c r="E38" s="171">
        <f t="shared" ref="E38:E42" si="4">ROUND(C38*D38/10000,0)</f>
        <v>0</v>
      </c>
      <c r="F38" s="171">
        <f>SUMIF(修正!A57:A68,G2,修正!C57:C68)</f>
        <v>0.2</v>
      </c>
      <c r="G38" s="171">
        <f>ROUND(IF(E2="工业",C38*$M$42,C38*$M$41),0)</f>
        <v>487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83"/>
      <c r="B39" s="2041" t="s">
        <v>3258</v>
      </c>
      <c r="C39" s="175">
        <f>ROUND(D5*C22*C23*C24*C28*F39,0)</f>
        <v>1947</v>
      </c>
      <c r="D39" s="2098"/>
      <c r="E39" s="171">
        <f t="shared" si="4"/>
        <v>0</v>
      </c>
      <c r="F39" s="171">
        <f>SUMIF(修正!A57:A68,G2,修正!D57:D68)</f>
        <v>0.2</v>
      </c>
      <c r="G39" s="171">
        <f>ROUND(IF(E2="工业",C39*$M$42,C39*$M$41),0)</f>
        <v>487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1947</v>
      </c>
      <c r="D40" s="2098"/>
      <c r="E40" s="171">
        <f t="shared" si="4"/>
        <v>0</v>
      </c>
      <c r="F40" s="175">
        <f>SUMIF(修正!A57:A68,G2,修正!E57:E68)</f>
        <v>0.2</v>
      </c>
      <c r="G40" s="171">
        <f>ROUND(IF(E2="工业",C40*$M$42,C40*$M$41),0)</f>
        <v>487</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1.0427</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t="s">
        <v>3456</v>
      </c>
      <c r="D72" s="1065">
        <f t="shared" ref="D72:D80" si="17">SUMIF($J$71:$N$71,C72,J72:N72)</f>
        <v>1.2999999999999999E-2</v>
      </c>
      <c r="E72" s="744">
        <f>ROUND(SUM(D72:D80),4)</f>
        <v>4.2700000000000002E-2</v>
      </c>
      <c r="F72" s="1814">
        <f>IF(E2="住宅",SUMIF(L1:L12,G2,N1:N12),"——")</f>
        <v>0.15</v>
      </c>
      <c r="G72" s="1063">
        <v>1.2999999999999999E-2</v>
      </c>
      <c r="H72" s="1066">
        <f t="shared" ref="H72:H80" si="18">IFERROR(ROUNDDOWN($F$72*I72/2,4),"——")</f>
        <v>1.4999999999999999E-2</v>
      </c>
      <c r="I72" s="3367">
        <v>0.2</v>
      </c>
      <c r="J72" s="1064">
        <f t="shared" ref="J72:J80" si="19">K72+$G72</f>
        <v>2.5999999999999999E-2</v>
      </c>
      <c r="K72" s="1064">
        <f t="shared" ref="K72:K80" si="20">$L72+$G72</f>
        <v>1.2999999999999999E-2</v>
      </c>
      <c r="L72" s="1064">
        <v>0</v>
      </c>
      <c r="M72" s="1064">
        <f t="shared" ref="M72:N80" si="21">L72-$G72</f>
        <v>-1.2999999999999999E-2</v>
      </c>
      <c r="N72" s="1064">
        <f t="shared" si="21"/>
        <v>-2.5999999999999999E-2</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t="s">
        <v>3418</v>
      </c>
      <c r="D73" s="1065">
        <f t="shared" si="17"/>
        <v>0</v>
      </c>
      <c r="E73" s="747"/>
      <c r="F73" s="1814"/>
      <c r="G73" s="1063">
        <v>1.6899999999999998E-2</v>
      </c>
      <c r="H73" s="1066">
        <f t="shared" si="18"/>
        <v>1.95E-2</v>
      </c>
      <c r="I73" s="3367">
        <v>0.26</v>
      </c>
      <c r="J73" s="1064">
        <f t="shared" si="19"/>
        <v>3.3799999999999997E-2</v>
      </c>
      <c r="K73" s="1064">
        <f t="shared" si="20"/>
        <v>1.6899999999999998E-2</v>
      </c>
      <c r="L73" s="1064">
        <v>0</v>
      </c>
      <c r="M73" s="1064">
        <f t="shared" si="21"/>
        <v>-1.6899999999999998E-2</v>
      </c>
      <c r="N73" s="1064">
        <f t="shared" si="21"/>
        <v>-3.3799999999999997E-2</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t="s">
        <v>3456</v>
      </c>
      <c r="D74" s="1065">
        <f t="shared" si="17"/>
        <v>6.4999999999999997E-3</v>
      </c>
      <c r="E74" s="747"/>
      <c r="F74" s="1814"/>
      <c r="G74" s="1063">
        <v>6.4999999999999997E-3</v>
      </c>
      <c r="H74" s="1066">
        <f t="shared" si="18"/>
        <v>7.4999999999999997E-3</v>
      </c>
      <c r="I74" s="3367">
        <v>0.1</v>
      </c>
      <c r="J74" s="1064">
        <f t="shared" si="19"/>
        <v>1.2999999999999999E-2</v>
      </c>
      <c r="K74" s="1064">
        <f t="shared" si="20"/>
        <v>6.4999999999999997E-3</v>
      </c>
      <c r="L74" s="1064">
        <v>0</v>
      </c>
      <c r="M74" s="1064">
        <f t="shared" si="21"/>
        <v>-6.4999999999999997E-3</v>
      </c>
      <c r="N74" s="1064">
        <f t="shared" si="21"/>
        <v>-1.2999999999999999E-2</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t="s">
        <v>3418</v>
      </c>
      <c r="D75" s="1065">
        <f t="shared" si="17"/>
        <v>0</v>
      </c>
      <c r="E75" s="747"/>
      <c r="F75" s="1814"/>
      <c r="G75" s="1063">
        <v>3.2000000000000002E-3</v>
      </c>
      <c r="H75" s="1066">
        <f t="shared" si="18"/>
        <v>3.7000000000000002E-3</v>
      </c>
      <c r="I75" s="3367">
        <v>0.05</v>
      </c>
      <c r="J75" s="1064">
        <f t="shared" si="19"/>
        <v>6.4000000000000003E-3</v>
      </c>
      <c r="K75" s="1064">
        <f t="shared" si="20"/>
        <v>3.2000000000000002E-3</v>
      </c>
      <c r="L75" s="1064">
        <v>0</v>
      </c>
      <c r="M75" s="1064">
        <f t="shared" si="21"/>
        <v>-3.2000000000000002E-3</v>
      </c>
      <c r="N75" s="1064">
        <f t="shared" si="21"/>
        <v>-6.4000000000000003E-3</v>
      </c>
      <c r="O75" s="1119"/>
      <c r="P75" s="1119"/>
      <c r="Q75" s="1997"/>
      <c r="Z75" s="1998"/>
      <c r="AA75" s="2053"/>
      <c r="AG75" s="1121"/>
      <c r="AK75" s="2053"/>
    </row>
    <row r="76" spans="1:37" ht="26.4">
      <c r="A76" s="2130" t="s">
        <v>2058</v>
      </c>
      <c r="B76" s="1326" t="str">
        <f>估价对象房地状况!C21</f>
        <v>估价对象所在区域公共配套设施齐备情况</v>
      </c>
      <c r="C76" s="2044" t="s">
        <v>3456</v>
      </c>
      <c r="D76" s="1065">
        <f t="shared" si="17"/>
        <v>5.1999999999999998E-3</v>
      </c>
      <c r="E76" s="747"/>
      <c r="F76" s="1814"/>
      <c r="G76" s="1063">
        <v>5.1999999999999998E-3</v>
      </c>
      <c r="H76" s="1066">
        <f t="shared" si="18"/>
        <v>6.0000000000000001E-3</v>
      </c>
      <c r="I76" s="3367">
        <v>0.08</v>
      </c>
      <c r="J76" s="1064">
        <f t="shared" si="19"/>
        <v>1.04E-2</v>
      </c>
      <c r="K76" s="1064">
        <f t="shared" si="20"/>
        <v>5.1999999999999998E-3</v>
      </c>
      <c r="L76" s="1064">
        <v>0</v>
      </c>
      <c r="M76" s="1064">
        <f t="shared" si="21"/>
        <v>-5.1999999999999998E-3</v>
      </c>
      <c r="N76" s="1064">
        <f t="shared" si="21"/>
        <v>-1.04E-2</v>
      </c>
      <c r="O76" s="1119"/>
      <c r="P76" s="1119"/>
      <c r="Z76" s="1998"/>
      <c r="AA76" s="2053"/>
      <c r="AG76" s="1121"/>
      <c r="AK76" s="2053"/>
    </row>
    <row r="77" spans="1:37" ht="26.4">
      <c r="A77" s="2130" t="s">
        <v>2059</v>
      </c>
      <c r="B77" s="1326" t="str">
        <f>估价对象房地状况!C22</f>
        <v>估价对象所在区域基础设施水平</v>
      </c>
      <c r="C77" s="2044" t="s">
        <v>3457</v>
      </c>
      <c r="D77" s="1065">
        <f t="shared" si="17"/>
        <v>1.1599999999999999E-2</v>
      </c>
      <c r="E77" s="747"/>
      <c r="F77" s="1814"/>
      <c r="G77" s="1063">
        <v>5.7999999999999996E-3</v>
      </c>
      <c r="H77" s="1066">
        <f t="shared" si="18"/>
        <v>6.7000000000000002E-3</v>
      </c>
      <c r="I77" s="3367">
        <v>0.09</v>
      </c>
      <c r="J77" s="1064">
        <f t="shared" si="19"/>
        <v>1.1599999999999999E-2</v>
      </c>
      <c r="K77" s="1064">
        <f t="shared" si="20"/>
        <v>5.7999999999999996E-3</v>
      </c>
      <c r="L77" s="1064">
        <v>0</v>
      </c>
      <c r="M77" s="1064">
        <f t="shared" si="21"/>
        <v>-5.7999999999999996E-3</v>
      </c>
      <c r="N77" s="1064">
        <f t="shared" si="21"/>
        <v>-1.1599999999999999E-2</v>
      </c>
      <c r="O77" s="1119"/>
      <c r="P77" s="1119"/>
      <c r="Z77" s="1998"/>
      <c r="AA77" s="2053"/>
      <c r="AG77" s="1121"/>
      <c r="AK77" s="2053"/>
    </row>
    <row r="78" spans="1:37" ht="36">
      <c r="A78" s="2130" t="s">
        <v>2056</v>
      </c>
      <c r="B78" s="2136" t="s">
        <v>2057</v>
      </c>
      <c r="C78" s="2044" t="s">
        <v>3456</v>
      </c>
      <c r="D78" s="1065">
        <f t="shared" si="17"/>
        <v>3.2000000000000002E-3</v>
      </c>
      <c r="E78" s="747"/>
      <c r="F78" s="1814"/>
      <c r="G78" s="1063">
        <v>3.2000000000000002E-3</v>
      </c>
      <c r="H78" s="1066">
        <f t="shared" si="18"/>
        <v>3.7000000000000002E-3</v>
      </c>
      <c r="I78" s="3367">
        <v>0.05</v>
      </c>
      <c r="J78" s="1064">
        <f t="shared" si="19"/>
        <v>6.4000000000000003E-3</v>
      </c>
      <c r="K78" s="1064">
        <f t="shared" si="20"/>
        <v>3.2000000000000002E-3</v>
      </c>
      <c r="L78" s="1064">
        <v>0</v>
      </c>
      <c r="M78" s="1064">
        <f t="shared" si="21"/>
        <v>-3.2000000000000002E-3</v>
      </c>
      <c r="N78" s="1064">
        <f t="shared" si="21"/>
        <v>-6.4000000000000003E-3</v>
      </c>
      <c r="O78" s="1997"/>
      <c r="P78" s="1997"/>
      <c r="Z78" s="1998"/>
      <c r="AA78" s="2053"/>
      <c r="AG78" s="1121"/>
      <c r="AK78" s="2053"/>
    </row>
    <row r="79" spans="1:37" ht="39.6">
      <c r="A79" s="2130" t="s">
        <v>2060</v>
      </c>
      <c r="B79" s="2133" t="str">
        <f>估价对象房地状况!C20</f>
        <v>区域自然环境：；人文环境；综合评价环境状况一般</v>
      </c>
      <c r="C79" s="2044" t="s">
        <v>3418</v>
      </c>
      <c r="D79" s="1065">
        <f t="shared" si="17"/>
        <v>0</v>
      </c>
      <c r="E79" s="747"/>
      <c r="F79" s="1814"/>
      <c r="G79" s="1063">
        <v>7.7999999999999996E-3</v>
      </c>
      <c r="H79" s="1066">
        <f t="shared" si="18"/>
        <v>8.9999999999999993E-3</v>
      </c>
      <c r="I79" s="3367">
        <v>0.12</v>
      </c>
      <c r="J79" s="1064">
        <f t="shared" si="19"/>
        <v>1.5599999999999999E-2</v>
      </c>
      <c r="K79" s="1064">
        <f t="shared" si="20"/>
        <v>7.7999999999999996E-3</v>
      </c>
      <c r="L79" s="1064">
        <v>0</v>
      </c>
      <c r="M79" s="1064">
        <f t="shared" si="21"/>
        <v>-7.7999999999999996E-3</v>
      </c>
      <c r="N79" s="1064">
        <f t="shared" si="21"/>
        <v>-1.5599999999999999E-2</v>
      </c>
      <c r="Z79" s="1998"/>
      <c r="AA79" s="2053"/>
      <c r="AG79" s="1121"/>
      <c r="AK79" s="2053"/>
    </row>
    <row r="80" spans="1:37" ht="36.6" thickBot="1">
      <c r="A80" s="2138" t="s">
        <v>2067</v>
      </c>
      <c r="B80" s="2142"/>
      <c r="C80" s="2044" t="s">
        <v>3456</v>
      </c>
      <c r="D80" s="1065">
        <f t="shared" si="17"/>
        <v>3.2000000000000002E-3</v>
      </c>
      <c r="E80" s="748"/>
      <c r="F80" s="1814"/>
      <c r="G80" s="1063">
        <v>3.2000000000000002E-3</v>
      </c>
      <c r="H80" s="1066">
        <f t="shared" si="18"/>
        <v>3.7000000000000002E-3</v>
      </c>
      <c r="I80" s="3368">
        <v>0.05</v>
      </c>
      <c r="J80" s="1064">
        <f t="shared" si="19"/>
        <v>6.4000000000000003E-3</v>
      </c>
      <c r="K80" s="1064">
        <f t="shared" si="20"/>
        <v>3.2000000000000002E-3</v>
      </c>
      <c r="L80" s="1064">
        <v>0</v>
      </c>
      <c r="M80" s="1064">
        <f t="shared" si="21"/>
        <v>-3.2000000000000002E-3</v>
      </c>
      <c r="N80" s="1064">
        <f t="shared" si="21"/>
        <v>-6.4000000000000003E-3</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3269</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3272</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3268</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3273</v>
      </c>
      <c r="B96" s="3385" t="s">
        <v>3284</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3274</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3275</v>
      </c>
      <c r="B98" s="3386" t="s">
        <v>3285</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3276</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3277</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3278</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80" t="s">
        <v>3293</v>
      </c>
      <c r="B103" s="3680"/>
      <c r="C103" s="3680"/>
      <c r="D103" s="3680"/>
      <c r="E103" s="3680"/>
      <c r="F103" s="3680"/>
      <c r="G103" s="3680"/>
      <c r="H103" s="3680"/>
      <c r="I103" s="3680"/>
      <c r="J103" s="3680"/>
      <c r="K103" s="3390"/>
      <c r="L103" s="3390"/>
      <c r="M103" s="3390"/>
      <c r="N103" s="3390"/>
    </row>
    <row r="104" spans="1:14">
      <c r="A104" s="3681" t="s">
        <v>3294</v>
      </c>
      <c r="B104" s="3681" t="s">
        <v>3295</v>
      </c>
      <c r="C104" s="3391" t="s">
        <v>3296</v>
      </c>
      <c r="D104" s="3392"/>
      <c r="E104" s="3392"/>
      <c r="F104" s="3392"/>
      <c r="G104" s="3392"/>
      <c r="H104" s="3392"/>
      <c r="I104" s="3392"/>
      <c r="J104" s="3393"/>
      <c r="K104" s="3394"/>
      <c r="L104" s="3394"/>
      <c r="M104" s="3394"/>
      <c r="N104" s="3394"/>
    </row>
    <row r="105" spans="1:14">
      <c r="A105" s="3681"/>
      <c r="B105" s="3681"/>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67"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8"/>
      <c r="B111" s="3395" t="s">
        <v>3267</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70" t="s">
        <v>3310</v>
      </c>
      <c r="B113" s="3670"/>
      <c r="C113" s="3670"/>
      <c r="D113" s="3670"/>
      <c r="E113" s="3670"/>
      <c r="F113" s="3670"/>
      <c r="G113" s="3670"/>
      <c r="H113" s="3670"/>
      <c r="I113" s="3670"/>
      <c r="J113" s="367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1.5</v>
      </c>
      <c r="C116" s="3400" t="s">
        <v>3312</v>
      </c>
      <c r="D116" s="3401">
        <f>SUMPRODUCT((A118:A122=F116)*(B117:M117=H116)*B118:M122)</f>
        <v>0.76880000000000004</v>
      </c>
      <c r="E116" s="2000" t="s">
        <v>3313</v>
      </c>
      <c r="F116" s="3402" t="str">
        <f>E2</f>
        <v>住宅</v>
      </c>
      <c r="G116" s="2000" t="s">
        <v>3314</v>
      </c>
      <c r="H116" s="3402" t="str">
        <f>G2</f>
        <v>八级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3328</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3329</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3330</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2612</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8" priority="6" stopIfTrue="1" operator="notEqual">
      <formula>"——"</formula>
    </cfRule>
  </conditionalFormatting>
  <conditionalFormatting sqref="F61">
    <cfRule type="cellIs" dxfId="167" priority="5" stopIfTrue="1" operator="notEqual">
      <formula>"——"</formula>
    </cfRule>
  </conditionalFormatting>
  <conditionalFormatting sqref="F72">
    <cfRule type="cellIs" dxfId="166" priority="4" stopIfTrue="1" operator="notEqual">
      <formula>"——"</formula>
    </cfRule>
  </conditionalFormatting>
  <conditionalFormatting sqref="F83">
    <cfRule type="cellIs" dxfId="165" priority="3" stopIfTrue="1" operator="notEqual">
      <formula>"——"</formula>
    </cfRule>
  </conditionalFormatting>
  <conditionalFormatting sqref="H50:H58 H61:H69 H72:H80 H83:H91">
    <cfRule type="cellIs" dxfId="164" priority="2" operator="notEqual">
      <formula>"——"</formula>
    </cfRule>
  </conditionalFormatting>
  <conditionalFormatting sqref="H93:H101">
    <cfRule type="cellIs" dxfId="16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32" sqref="C3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3386</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160.19059999999999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19860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947675</v>
      </c>
      <c r="D5" s="211" t="s">
        <v>1469</v>
      </c>
      <c r="E5" s="212" t="s">
        <v>1470</v>
      </c>
      <c r="F5" s="212" t="s">
        <v>1471</v>
      </c>
      <c r="G5" s="213"/>
    </row>
    <row r="6" spans="1:8" s="214" customFormat="1" ht="13.5" customHeight="1">
      <c r="A6" s="778" t="s">
        <v>1472</v>
      </c>
      <c r="B6" s="215" t="s">
        <v>1473</v>
      </c>
      <c r="C6" s="216">
        <f>ROUND(基准地价修正!C33*基准地价修正!D33,0)</f>
        <v>907102</v>
      </c>
      <c r="D6" s="217"/>
      <c r="E6" s="218"/>
      <c r="F6" s="218"/>
      <c r="G6" s="219"/>
    </row>
    <row r="7" spans="1:8" s="214" customFormat="1" ht="13.5" customHeight="1">
      <c r="A7" s="778" t="s">
        <v>1474</v>
      </c>
      <c r="B7" s="215" t="s">
        <v>1475</v>
      </c>
      <c r="C7" s="220">
        <f>ROUND(C6*F7,0)</f>
        <v>27667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12906</v>
      </c>
      <c r="D8" s="222"/>
      <c r="E8" s="220"/>
      <c r="F8" s="221"/>
      <c r="G8" s="1856" t="s">
        <v>3446</v>
      </c>
    </row>
    <row r="9" spans="1:8" s="214" customFormat="1" ht="13.5" customHeight="1">
      <c r="A9" s="779" t="s">
        <v>355</v>
      </c>
      <c r="B9" s="224" t="s">
        <v>1478</v>
      </c>
      <c r="C9" s="225">
        <f ca="1">ROUND(D9*E9,0)</f>
        <v>12906</v>
      </c>
      <c r="D9" s="845">
        <f ca="1">IF(B1="",'数据-汇总表'!E5,IF(INDIRECT("'数据-取费表'!c"&amp;$G$1)="住宅",INDIRECT("'数据-取费表'!k"&amp;$G$1),0))</f>
        <v>80.66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80.66</v>
      </c>
      <c r="E19" s="211">
        <f>'数据-取费表'!B31</f>
        <v>200</v>
      </c>
      <c r="F19" s="231"/>
      <c r="G19" s="1856" t="s">
        <v>3447</v>
      </c>
    </row>
    <row r="20" spans="1:7" s="214" customFormat="1" ht="13.5" customHeight="1">
      <c r="A20" s="255" t="s">
        <v>1574</v>
      </c>
      <c r="B20" s="210" t="s">
        <v>1575</v>
      </c>
      <c r="C20" s="232">
        <f ca="1">ROUND((C5+C19)*F20,0)</f>
        <v>18954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67172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66518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654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144994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144994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1277134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310138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241980</v>
      </c>
      <c r="D34" s="217"/>
      <c r="E34" s="220"/>
      <c r="F34" s="257"/>
      <c r="G34" s="219"/>
    </row>
    <row r="35" spans="1:7" ht="13.5" customHeight="1">
      <c r="A35" s="780" t="s">
        <v>351</v>
      </c>
      <c r="B35" s="215" t="s">
        <v>1527</v>
      </c>
      <c r="C35" s="220">
        <f ca="1">ROUND(C34*F35,0)</f>
        <v>24198</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24198</v>
      </c>
      <c r="D36" s="220"/>
      <c r="E36" s="220"/>
      <c r="F36" s="259">
        <f>'数据-取费表'!B34</f>
        <v>0.1</v>
      </c>
      <c r="G36" s="260" t="s">
        <v>1530</v>
      </c>
    </row>
    <row r="37" spans="1:7" s="258" customFormat="1" ht="13.5" customHeight="1">
      <c r="A37" s="780" t="s">
        <v>353</v>
      </c>
      <c r="B37" s="215" t="s">
        <v>1531</v>
      </c>
      <c r="C37" s="249">
        <f ca="1">ROUND(E37*D37,0)</f>
        <v>16132</v>
      </c>
      <c r="D37" s="217">
        <f ca="1">D19</f>
        <v>80.66</v>
      </c>
      <c r="E37" s="249">
        <f>'数据-取费表'!B35</f>
        <v>200</v>
      </c>
      <c r="F37" s="259"/>
      <c r="G37" s="261"/>
    </row>
    <row r="38" spans="1:7" ht="13.5" customHeight="1">
      <c r="A38" s="780" t="s">
        <v>354</v>
      </c>
      <c r="B38" s="215" t="s">
        <v>1533</v>
      </c>
      <c r="C38" s="220">
        <f ca="1">ROUND(C34*F38,0)</f>
        <v>3630</v>
      </c>
      <c r="D38" s="220"/>
      <c r="E38" s="220"/>
      <c r="F38" s="259">
        <f>'数据-取费表'!B36</f>
        <v>1.4999999999999999E-2</v>
      </c>
      <c r="G38" s="219" t="s">
        <v>1528</v>
      </c>
    </row>
    <row r="39" spans="1:7" s="214" customFormat="1" ht="13.5" customHeight="1">
      <c r="A39" s="255" t="s">
        <v>1534</v>
      </c>
      <c r="B39" s="210" t="s">
        <v>1535</v>
      </c>
      <c r="C39" s="232">
        <f ca="1">ROUND(C33*F20,0)</f>
        <v>6203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10914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10700</v>
      </c>
      <c r="D42" s="238"/>
      <c r="E42" s="238"/>
      <c r="F42" s="239"/>
      <c r="G42" s="3664" t="s">
        <v>1591</v>
      </c>
    </row>
    <row r="43" spans="1:7" ht="13.5" customHeight="1">
      <c r="A43" s="780" t="s">
        <v>347</v>
      </c>
      <c r="B43" s="215" t="s">
        <v>1545</v>
      </c>
      <c r="C43" s="238">
        <f ca="1">ROUND(IF('数据-取费表'!B22&lt;=1,C39*F22*'数据-取费表'!B20/2,C39*(POWER((1+F22),'数据-取费表'!B20/2)-1)),0)</f>
        <v>214</v>
      </c>
      <c r="D43" s="238"/>
      <c r="E43" s="238"/>
      <c r="F43" s="239"/>
      <c r="G43" s="3665"/>
    </row>
    <row r="44" spans="1:7" ht="13.5" customHeight="1">
      <c r="A44" s="780" t="s">
        <v>348</v>
      </c>
      <c r="B44" s="215" t="s">
        <v>1546</v>
      </c>
      <c r="C44" s="238">
        <f ca="1">ROUND(IF('数据-取费表'!B22&lt;=1,C40*F22*'数据-取费表'!B20/2,C40*(POWER((1+F22),'数据-取费表'!B20/2)-1)),4)</f>
        <v>6.9999999999999999E-4</v>
      </c>
      <c r="D44" s="238"/>
      <c r="E44" s="238"/>
      <c r="F44" s="239"/>
      <c r="G44" s="3666"/>
    </row>
    <row r="45" spans="1:7" s="214" customFormat="1" ht="13.5" customHeight="1">
      <c r="A45" s="255" t="s">
        <v>1547</v>
      </c>
      <c r="B45" s="244" t="s">
        <v>1513</v>
      </c>
      <c r="C45" s="245">
        <f ca="1">C46</f>
        <v>47451</v>
      </c>
      <c r="D45" s="235">
        <f ca="1">C47</f>
        <v>3.0000000000000001E-3</v>
      </c>
      <c r="E45" s="236" t="s">
        <v>1539</v>
      </c>
      <c r="F45" s="246">
        <f ca="1">F27</f>
        <v>0.15</v>
      </c>
      <c r="G45" s="247" t="s">
        <v>1548</v>
      </c>
    </row>
    <row r="46" spans="1:7" s="214" customFormat="1" ht="13.5" customHeight="1">
      <c r="A46" s="780" t="s">
        <v>346</v>
      </c>
      <c r="B46" s="248" t="s">
        <v>1549</v>
      </c>
      <c r="C46" s="249">
        <f ca="1">ROUND((C33+C39)*F27,0)</f>
        <v>47451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405965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324772</v>
      </c>
      <c r="D51" s="232"/>
      <c r="E51" s="232"/>
      <c r="F51" s="264"/>
      <c r="G51" s="234" t="s">
        <v>1560</v>
      </c>
    </row>
    <row r="52" spans="1:7" s="208" customFormat="1" ht="16.8" thickBot="1">
      <c r="A52" s="265" t="s">
        <v>1561</v>
      </c>
      <c r="B52" s="266"/>
      <c r="C52" s="267">
        <f ca="1">C31+C51</f>
        <v>1601906</v>
      </c>
      <c r="D52" s="266"/>
      <c r="E52" s="266"/>
      <c r="F52" s="266"/>
      <c r="G52" s="268"/>
    </row>
    <row r="55" spans="1:7" ht="15">
      <c r="B55" s="270" t="s">
        <v>1562</v>
      </c>
      <c r="C55" s="271"/>
    </row>
    <row r="56" spans="1:7">
      <c r="B56" s="273" t="s">
        <v>802</v>
      </c>
      <c r="C56" s="275">
        <f ca="1">1-C57</f>
        <v>0.79699999999999993</v>
      </c>
    </row>
    <row r="57" spans="1:7">
      <c r="B57" s="273" t="s">
        <v>803</v>
      </c>
      <c r="C57" s="274">
        <f ca="1">ROUND(C51/C52,3)</f>
        <v>0.20300000000000001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-124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3386</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80.66</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80.66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80.66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80.66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8" t="s">
        <v>694</v>
      </c>
      <c r="C6" s="1074">
        <f ca="1">ROUND(F6*F8*F7*(1-F9)/10000,0)</f>
        <v>0</v>
      </c>
      <c r="D6" s="155" t="s">
        <v>2108</v>
      </c>
      <c r="E6" s="302" t="s">
        <v>696</v>
      </c>
      <c r="F6" s="303">
        <f ca="1">INDIRECT("'数据-取费表'!u"&amp;$G$1)</f>
        <v>0</v>
      </c>
      <c r="G6" s="1384"/>
      <c r="H6" s="1069" t="s">
        <v>398</v>
      </c>
      <c r="I6" s="3688" t="s">
        <v>694</v>
      </c>
      <c r="J6" s="301">
        <f ca="1">ROUND(M6*M8*M7*(1-M9)/10000,0)</f>
        <v>0</v>
      </c>
      <c r="K6" s="155" t="s">
        <v>2107</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0</v>
      </c>
      <c r="G7" s="1384"/>
      <c r="H7" s="304"/>
      <c r="I7" s="3689"/>
      <c r="J7" s="306"/>
      <c r="K7" s="307"/>
      <c r="L7" s="302" t="s">
        <v>697</v>
      </c>
      <c r="M7" s="303">
        <f ca="1">F7</f>
        <v>0</v>
      </c>
    </row>
    <row r="8" spans="1:37" ht="18" customHeight="1">
      <c r="A8" s="304"/>
      <c r="B8" s="3689"/>
      <c r="C8" s="306"/>
      <c r="D8" s="307"/>
      <c r="E8" s="302" t="s">
        <v>698</v>
      </c>
      <c r="F8" s="303">
        <f ca="1">INDIRECT("'数据-取费表'!ai"&amp;$G$1)</f>
        <v>0</v>
      </c>
      <c r="G8" s="1384"/>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86" t="s">
        <v>837</v>
      </c>
      <c r="L53" s="3687"/>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8" t="s">
        <v>694</v>
      </c>
      <c r="C6" s="1074">
        <f ca="1">ROUND(F6*F8*F7*(1-F9),0)</f>
        <v>0</v>
      </c>
      <c r="D6" s="155" t="s">
        <v>2105</v>
      </c>
      <c r="E6" s="302" t="s">
        <v>696</v>
      </c>
      <c r="F6" s="303">
        <f ca="1">INDIRECT("'数据-取费表'!u"&amp;$G$1)</f>
        <v>0</v>
      </c>
      <c r="G6" s="1384"/>
      <c r="H6" s="1069" t="s">
        <v>398</v>
      </c>
      <c r="I6" s="3688" t="s">
        <v>694</v>
      </c>
      <c r="J6" s="301">
        <f ca="1">ROUND(M6*M8*M7*(1-M9),0)</f>
        <v>0</v>
      </c>
      <c r="K6" s="1376" t="s">
        <v>2106</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0</v>
      </c>
      <c r="G7" s="1384"/>
      <c r="H7" s="304"/>
      <c r="I7" s="3689"/>
      <c r="J7" s="306"/>
      <c r="K7" s="307"/>
      <c r="L7" s="302" t="s">
        <v>697</v>
      </c>
      <c r="M7" s="303">
        <f ca="1">F7</f>
        <v>0</v>
      </c>
    </row>
    <row r="8" spans="1:37" ht="18" customHeight="1">
      <c r="A8" s="304"/>
      <c r="B8" s="3689"/>
      <c r="C8" s="306"/>
      <c r="D8" s="307"/>
      <c r="E8" s="302" t="s">
        <v>698</v>
      </c>
      <c r="F8" s="303">
        <f ca="1">INDIRECT("'数据-取费表'!ai"&amp;$G$1)</f>
        <v>0</v>
      </c>
      <c r="G8" s="1384"/>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2307</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t="e">
        <f ca="1">ROUND((C68-C40)/10000,4)</f>
        <v>#DIV/0!</v>
      </c>
      <c r="D45" s="3432" t="s">
        <v>3352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6" t="s">
        <v>837</v>
      </c>
      <c r="L53" s="3687"/>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3358</v>
      </c>
      <c r="E2" s="3444"/>
      <c r="F2" s="2846"/>
      <c r="G2" s="2847"/>
      <c r="H2" s="2848"/>
      <c r="I2" s="2849"/>
      <c r="J2" s="3697" t="s">
        <v>2317</v>
      </c>
      <c r="K2" s="3698"/>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99" t="s">
        <v>2327</v>
      </c>
      <c r="K3" s="3700"/>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99" t="s">
        <v>2329</v>
      </c>
      <c r="K4" s="3700"/>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705" t="s">
        <v>2333</v>
      </c>
      <c r="B6" s="3706"/>
      <c r="C6" s="3707"/>
      <c r="D6" s="2870"/>
      <c r="E6" s="2871"/>
      <c r="F6" s="2872"/>
      <c r="G6" s="2873"/>
      <c r="H6" s="2848"/>
      <c r="I6" s="2849"/>
      <c r="J6" s="3691">
        <v>1</v>
      </c>
      <c r="K6" s="369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91"/>
      <c r="K7" s="3693"/>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08" t="s">
        <v>2347</v>
      </c>
      <c r="C8" s="3709"/>
      <c r="D8" s="2889" t="s">
        <v>2348</v>
      </c>
      <c r="E8" s="2890" t="s">
        <v>2349</v>
      </c>
      <c r="F8" s="2891" t="s">
        <v>2350</v>
      </c>
      <c r="G8" s="2892"/>
      <c r="H8" s="2848"/>
      <c r="I8" s="2849"/>
      <c r="J8" s="3691"/>
      <c r="K8" s="3693"/>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08" t="s">
        <v>2353</v>
      </c>
      <c r="C9" s="3709"/>
      <c r="D9" s="2889">
        <f>ROUND(D6*E9,0)</f>
        <v>0</v>
      </c>
      <c r="E9" s="2893"/>
      <c r="F9" s="2894" t="s">
        <v>2354</v>
      </c>
      <c r="G9" s="2873"/>
      <c r="H9" s="2848"/>
      <c r="I9" s="2849"/>
      <c r="J9" s="3691"/>
      <c r="K9" s="3693"/>
      <c r="L9" s="2883" t="s">
        <v>2355</v>
      </c>
      <c r="M9" s="2884"/>
      <c r="N9" s="2860"/>
      <c r="O9" s="2885"/>
      <c r="P9" s="2885"/>
      <c r="Q9" s="2886">
        <v>365</v>
      </c>
      <c r="R9" s="2887">
        <f t="shared" si="0"/>
        <v>0</v>
      </c>
      <c r="S9" s="2841"/>
      <c r="T9" s="2841"/>
      <c r="U9" s="2841"/>
      <c r="V9" s="2849"/>
    </row>
    <row r="10" spans="1:22" s="2853" customFormat="1" ht="13.2" customHeight="1">
      <c r="A10" s="2888">
        <v>2</v>
      </c>
      <c r="B10" s="3708" t="s">
        <v>2356</v>
      </c>
      <c r="C10" s="3709"/>
      <c r="D10" s="2889">
        <f>ROUND(D6*E10,0)</f>
        <v>0</v>
      </c>
      <c r="E10" s="2893"/>
      <c r="F10" s="2894" t="s">
        <v>2357</v>
      </c>
      <c r="G10" s="2873"/>
      <c r="H10" s="2848"/>
      <c r="I10" s="2849"/>
      <c r="J10" s="3691"/>
      <c r="K10" s="3693"/>
      <c r="L10" s="2883" t="s">
        <v>2358</v>
      </c>
      <c r="M10" s="2884"/>
      <c r="N10" s="2860"/>
      <c r="O10" s="2885"/>
      <c r="P10" s="2885"/>
      <c r="Q10" s="2886">
        <v>365</v>
      </c>
      <c r="R10" s="2887">
        <f t="shared" si="0"/>
        <v>0</v>
      </c>
      <c r="S10" s="2841"/>
      <c r="T10" s="2841"/>
      <c r="U10" s="2841"/>
      <c r="V10" s="2849"/>
    </row>
    <row r="11" spans="1:22" s="2853" customFormat="1" ht="13.2" customHeight="1">
      <c r="A11" s="2888">
        <v>3</v>
      </c>
      <c r="B11" s="3708" t="s">
        <v>2359</v>
      </c>
      <c r="C11" s="3709"/>
      <c r="D11" s="2889">
        <f>D12+D14+D15+D16</f>
        <v>0</v>
      </c>
      <c r="E11" s="2895" t="e">
        <f>D11/D6</f>
        <v>#DIV/0!</v>
      </c>
      <c r="F11" s="2891"/>
      <c r="G11" s="2892"/>
      <c r="H11" s="2848"/>
      <c r="I11" s="2849"/>
      <c r="J11" s="3691"/>
      <c r="K11" s="3693"/>
      <c r="L11" s="2883" t="s">
        <v>2360</v>
      </c>
      <c r="M11" s="2884"/>
      <c r="N11" s="2860"/>
      <c r="O11" s="2885"/>
      <c r="P11" s="2885"/>
      <c r="Q11" s="2886">
        <v>365</v>
      </c>
      <c r="R11" s="2887">
        <f t="shared" si="0"/>
        <v>0</v>
      </c>
      <c r="S11" s="2841"/>
      <c r="T11" s="2841"/>
      <c r="U11" s="2841"/>
      <c r="V11" s="2849"/>
    </row>
    <row r="12" spans="1:22" s="2853" customFormat="1" ht="13.2" customHeight="1">
      <c r="A12" s="2896" t="s">
        <v>2361</v>
      </c>
      <c r="B12" s="3701" t="s">
        <v>2362</v>
      </c>
      <c r="C12" s="3702"/>
      <c r="D12" s="2897">
        <f>ROUND(D13*1.2%*(1-30%),0)</f>
        <v>0</v>
      </c>
      <c r="E12" s="2898">
        <v>1.2E-2</v>
      </c>
      <c r="F12" s="2891" t="s">
        <v>2363</v>
      </c>
      <c r="G12" s="2892"/>
      <c r="H12" s="2848"/>
      <c r="I12" s="2849"/>
      <c r="J12" s="3691"/>
      <c r="K12" s="3693"/>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91"/>
      <c r="K13" s="3693"/>
      <c r="L13" s="2883" t="s">
        <v>2366</v>
      </c>
      <c r="M13" s="2884"/>
      <c r="N13" s="2860"/>
      <c r="O13" s="2885"/>
      <c r="P13" s="2885"/>
      <c r="Q13" s="2886">
        <v>365</v>
      </c>
      <c r="R13" s="2887">
        <f t="shared" si="0"/>
        <v>0</v>
      </c>
      <c r="S13" s="2841"/>
      <c r="T13" s="2841"/>
      <c r="U13" s="2841"/>
      <c r="V13" s="2849"/>
    </row>
    <row r="14" spans="1:22" s="2853" customFormat="1" ht="13.2" customHeight="1">
      <c r="A14" s="2896" t="s">
        <v>2367</v>
      </c>
      <c r="B14" s="3701" t="s">
        <v>2368</v>
      </c>
      <c r="C14" s="3702"/>
      <c r="D14" s="2897">
        <f>ROUND(E14*B5/10000,0)</f>
        <v>0</v>
      </c>
      <c r="E14" s="2886"/>
      <c r="F14" s="2891" t="s">
        <v>2369</v>
      </c>
      <c r="G14" s="2892"/>
      <c r="H14" s="2848"/>
      <c r="I14" s="2849"/>
      <c r="J14" s="3691"/>
      <c r="K14" s="369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701" t="s">
        <v>2372</v>
      </c>
      <c r="C15" s="3702"/>
      <c r="D15" s="2897">
        <f>ROUND(D6*E15,0)</f>
        <v>0</v>
      </c>
      <c r="E15" s="2898">
        <v>5.5E-2</v>
      </c>
      <c r="F15" s="2891" t="s">
        <v>2373</v>
      </c>
      <c r="G15" s="2873"/>
      <c r="H15" s="2848"/>
      <c r="I15" s="2849"/>
      <c r="J15" s="3691">
        <v>2</v>
      </c>
      <c r="K15" s="369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701" t="s">
        <v>2381</v>
      </c>
      <c r="C16" s="3702"/>
      <c r="D16" s="2908">
        <f>D6*E16</f>
        <v>0</v>
      </c>
      <c r="E16" s="2909"/>
      <c r="F16" s="2894" t="s">
        <v>2382</v>
      </c>
      <c r="G16" s="2873"/>
      <c r="H16" s="2848"/>
      <c r="I16" s="2849"/>
      <c r="J16" s="3691"/>
      <c r="K16" s="3693"/>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703" t="s">
        <v>2384</v>
      </c>
      <c r="C17" s="3704"/>
      <c r="D17" s="2911">
        <f>ROUND(D6*E17,0)</f>
        <v>0</v>
      </c>
      <c r="E17" s="2912"/>
      <c r="F17" s="2913" t="s">
        <v>2385</v>
      </c>
      <c r="G17" s="2873"/>
      <c r="H17" s="2848"/>
      <c r="I17" s="2849"/>
      <c r="J17" s="3691"/>
      <c r="K17" s="3693"/>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91"/>
      <c r="K18" s="3693"/>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91"/>
      <c r="K19" s="369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1">
        <v>3</v>
      </c>
      <c r="K20" s="369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91"/>
      <c r="K21" s="3693"/>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91"/>
      <c r="K22" s="3693"/>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91"/>
      <c r="K23" s="3693"/>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91"/>
      <c r="K24" s="369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9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96"/>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97" t="s">
        <v>2317</v>
      </c>
      <c r="K32" s="3698"/>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99" t="s">
        <v>2327</v>
      </c>
      <c r="K33" s="3700"/>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99" t="s">
        <v>2329</v>
      </c>
      <c r="K34" s="3700"/>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91">
        <v>1</v>
      </c>
      <c r="K36" s="3692"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91"/>
      <c r="K37" s="3693"/>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1"/>
      <c r="K38" s="3693"/>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91"/>
      <c r="K39" s="3693"/>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91"/>
      <c r="K40" s="3694"/>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95">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96"/>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10" t="s">
        <v>1654</v>
      </c>
      <c r="C5" s="3711"/>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9" zoomScale="90" zoomScaleNormal="60" zoomScaleSheetLayoutView="90" workbookViewId="0">
      <selection activeCell="L26" sqref="L26"/>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3386</v>
      </c>
      <c r="E1" s="3426" t="s">
        <v>3392</v>
      </c>
      <c r="F1" s="1879" t="s">
        <v>3393</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278.82549999999998</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34568</v>
      </c>
      <c r="C3" s="354" t="s">
        <v>1665</v>
      </c>
      <c r="D3" s="353">
        <f>IF(D1="",'数据-汇总表'!E3,SUMIF('数据-汇总表'!$C19:$C33,D1,'数据-汇总表'!$E19:$E33))</f>
        <v>80.66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30" t="s">
        <v>1667</v>
      </c>
      <c r="D4" s="3731"/>
      <c r="E4" s="3732" t="s">
        <v>1668</v>
      </c>
      <c r="F4" s="3733"/>
      <c r="G4" s="3730" t="s">
        <v>1669</v>
      </c>
      <c r="H4" s="3731"/>
      <c r="I4" s="3730" t="s">
        <v>1670</v>
      </c>
      <c r="J4" s="3731"/>
      <c r="K4" s="1889" t="s">
        <v>1671</v>
      </c>
      <c r="L4" s="2715"/>
      <c r="M4" s="2716"/>
      <c r="N4" s="2716"/>
      <c r="O4" s="2716"/>
      <c r="P4" s="3734" t="s">
        <v>1672</v>
      </c>
      <c r="Q4" s="3735"/>
      <c r="R4" s="3740" t="s">
        <v>1668</v>
      </c>
      <c r="S4" s="3741"/>
      <c r="T4" s="3740" t="s">
        <v>1669</v>
      </c>
      <c r="U4" s="3741"/>
      <c r="V4" s="3746" t="s">
        <v>1670</v>
      </c>
      <c r="W4" s="3746"/>
      <c r="X4" s="1355"/>
      <c r="Y4" s="3740" t="s">
        <v>1672</v>
      </c>
      <c r="Z4" s="3741"/>
      <c r="AA4" s="3727" t="s">
        <v>1668</v>
      </c>
      <c r="AB4" s="3727" t="s">
        <v>1669</v>
      </c>
      <c r="AC4" s="3727" t="s">
        <v>1670</v>
      </c>
    </row>
    <row r="5" spans="1:29" ht="39.75" customHeight="1">
      <c r="A5" s="358"/>
      <c r="B5" s="359"/>
      <c r="C5" s="3754" t="s">
        <v>3501</v>
      </c>
      <c r="D5" s="3755"/>
      <c r="E5" s="3758" t="str">
        <f>Sheet1!E3</f>
        <v>景文东路2号院11号楼9层2单元903</v>
      </c>
      <c r="F5" s="3759"/>
      <c r="G5" s="3749" t="str">
        <f>Sheet1!E4</f>
        <v>景文东路2号院8号楼10层1单元1004</v>
      </c>
      <c r="H5" s="3750"/>
      <c r="I5" s="3749" t="str">
        <f>Sheet1!E5</f>
        <v>景文东路2号院10号楼11层2单元1103</v>
      </c>
      <c r="J5" s="3750"/>
      <c r="K5" s="1890"/>
      <c r="L5" s="2715"/>
      <c r="M5" s="2716"/>
      <c r="N5" s="2716"/>
      <c r="O5" s="2716"/>
      <c r="P5" s="3736"/>
      <c r="Q5" s="3737"/>
      <c r="R5" s="3742"/>
      <c r="S5" s="3743"/>
      <c r="T5" s="3742"/>
      <c r="U5" s="3743"/>
      <c r="V5" s="3746"/>
      <c r="W5" s="3746"/>
      <c r="X5" s="1355"/>
      <c r="Y5" s="3742"/>
      <c r="Z5" s="3743"/>
      <c r="AA5" s="3728"/>
      <c r="AB5" s="3728"/>
      <c r="AC5" s="3728"/>
    </row>
    <row r="6" spans="1:29" ht="15" thickBot="1">
      <c r="A6" s="360"/>
      <c r="B6" s="361"/>
      <c r="C6" s="3747"/>
      <c r="D6" s="3748"/>
      <c r="E6" s="3756"/>
      <c r="F6" s="3757"/>
      <c r="G6" s="3747"/>
      <c r="H6" s="3748"/>
      <c r="I6" s="3747"/>
      <c r="J6" s="3748"/>
      <c r="K6" s="1890" t="s">
        <v>1678</v>
      </c>
      <c r="L6" s="2715"/>
      <c r="M6" s="2716"/>
      <c r="N6" s="2716"/>
      <c r="O6" s="2716"/>
      <c r="P6" s="3738"/>
      <c r="Q6" s="3739"/>
      <c r="R6" s="3742"/>
      <c r="S6" s="3743"/>
      <c r="T6" s="3744"/>
      <c r="U6" s="3745"/>
      <c r="V6" s="3746"/>
      <c r="W6" s="3746"/>
      <c r="X6" s="1355"/>
      <c r="Y6" s="3744"/>
      <c r="Z6" s="3745"/>
      <c r="AA6" s="3729"/>
      <c r="AB6" s="3729"/>
      <c r="AC6" s="3729"/>
    </row>
    <row r="7" spans="1:29" s="108" customFormat="1" ht="15" thickBot="1">
      <c r="A7" s="362" t="s">
        <v>1679</v>
      </c>
      <c r="B7" s="363"/>
      <c r="C7" s="364">
        <f>'数据-取费表'!B2</f>
        <v>45371</v>
      </c>
      <c r="D7" s="365">
        <v>100</v>
      </c>
      <c r="E7" s="366">
        <f>Sheet1!T3</f>
        <v>45322</v>
      </c>
      <c r="F7" s="367">
        <f>SUMIF(58:58,YEAR(E7)&amp;"-"&amp;MONTH(E7),59:59)</f>
        <v>100.4</v>
      </c>
      <c r="G7" s="366">
        <f>Sheet1!T4</f>
        <v>45295</v>
      </c>
      <c r="H7" s="365">
        <f>SUMIF(58:58,YEAR(G7)&amp;"-"&amp;MONTH(G7),59:59)</f>
        <v>100.4</v>
      </c>
      <c r="I7" s="366">
        <f>Sheet1!T5</f>
        <v>45293</v>
      </c>
      <c r="J7" s="365">
        <f>SUMIF(58:58,YEAR(I7)&amp;"-"&amp;MONTH(I7),59:59)</f>
        <v>100.4</v>
      </c>
      <c r="K7" s="1891"/>
      <c r="L7" s="2717"/>
      <c r="M7" s="2718"/>
      <c r="N7" s="2718"/>
      <c r="O7" s="2718"/>
      <c r="P7" s="3751" t="s">
        <v>1680</v>
      </c>
      <c r="Q7" s="3753"/>
      <c r="R7" s="701" t="s">
        <v>20</v>
      </c>
      <c r="S7" s="702">
        <f t="shared" ref="S7:S15" si="0">F7</f>
        <v>100.4</v>
      </c>
      <c r="T7" s="701" t="s">
        <v>20</v>
      </c>
      <c r="U7" s="702">
        <f t="shared" ref="U7:U15" si="1">H7</f>
        <v>100.4</v>
      </c>
      <c r="V7" s="701" t="s">
        <v>20</v>
      </c>
      <c r="W7" s="702">
        <f t="shared" ref="W7:W15" si="2">J7</f>
        <v>100.4</v>
      </c>
      <c r="X7" s="703"/>
      <c r="Y7" s="3751" t="s">
        <v>1680</v>
      </c>
      <c r="Z7" s="3752"/>
      <c r="AA7" s="704">
        <f>D7/F7</f>
        <v>0.99601593625497997</v>
      </c>
      <c r="AB7" s="704">
        <f>D7/H7</f>
        <v>0.99601593625497997</v>
      </c>
      <c r="AC7" s="704">
        <f>D7/J7</f>
        <v>0.99601593625497997</v>
      </c>
    </row>
    <row r="8" spans="1:29" s="108" customFormat="1" ht="1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7"/>
      <c r="M8" s="2718"/>
      <c r="N8" s="2718"/>
      <c r="O8" s="2718"/>
      <c r="P8" s="3751" t="s">
        <v>1683</v>
      </c>
      <c r="Q8" s="3752"/>
      <c r="R8" s="701" t="s">
        <v>20</v>
      </c>
      <c r="S8" s="702">
        <f t="shared" si="0"/>
        <v>100</v>
      </c>
      <c r="T8" s="701" t="s">
        <v>20</v>
      </c>
      <c r="U8" s="702">
        <f t="shared" si="1"/>
        <v>100</v>
      </c>
      <c r="V8" s="701" t="s">
        <v>20</v>
      </c>
      <c r="W8" s="702">
        <f t="shared" si="2"/>
        <v>100</v>
      </c>
      <c r="X8" s="703"/>
      <c r="Y8" s="3751" t="s">
        <v>1683</v>
      </c>
      <c r="Z8" s="3752"/>
      <c r="AA8" s="704">
        <f t="shared" ref="AA8:AA19" si="3">D8/F8</f>
        <v>1</v>
      </c>
      <c r="AB8" s="704">
        <f t="shared" ref="AB8:AB19" si="4">D8/H8</f>
        <v>1</v>
      </c>
      <c r="AC8" s="704">
        <f t="shared" ref="AC8:AC19" si="5">D8/J8</f>
        <v>1</v>
      </c>
    </row>
    <row r="9" spans="1:29" s="108" customFormat="1" ht="14.4">
      <c r="A9" s="369" t="s">
        <v>1684</v>
      </c>
      <c r="B9" s="63" t="s">
        <v>1685</v>
      </c>
      <c r="C9" s="3449" t="s">
        <v>3395</v>
      </c>
      <c r="D9" s="126">
        <v>100</v>
      </c>
      <c r="E9" s="371" t="s">
        <v>3386</v>
      </c>
      <c r="F9" s="372">
        <f>SUMIF(63:63,E9,64:64)-SUMIF(63:63,C9,64:64)+100</f>
        <v>100</v>
      </c>
      <c r="G9" s="373" t="s">
        <v>3386</v>
      </c>
      <c r="H9" s="126">
        <f>SUMIF(63:63,G9,64:64)-SUMIF(63:63,C9,64:64)+100</f>
        <v>100</v>
      </c>
      <c r="I9" s="373" t="s">
        <v>3386</v>
      </c>
      <c r="J9" s="126">
        <f>SUMIF(63:63,I9,64:64)-SUMIF(63:63,C9,64:64)+100</f>
        <v>100</v>
      </c>
      <c r="K9" s="1891"/>
      <c r="L9" s="2717"/>
      <c r="M9" s="2718"/>
      <c r="N9" s="2718"/>
      <c r="O9" s="2718"/>
      <c r="P9" s="372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26"/>
      <c r="Q11" s="1343" t="str">
        <f t="shared" si="6"/>
        <v>容积率</v>
      </c>
      <c r="R11" s="701" t="s">
        <v>18</v>
      </c>
      <c r="S11" s="702">
        <f t="shared" si="0"/>
        <v>100</v>
      </c>
      <c r="T11" s="701" t="s">
        <v>18</v>
      </c>
      <c r="U11" s="702">
        <f t="shared" si="1"/>
        <v>100</v>
      </c>
      <c r="V11" s="701" t="s">
        <v>18</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469" t="s">
        <v>3419</v>
      </c>
      <c r="D12" s="384">
        <v>100</v>
      </c>
      <c r="E12" s="3469" t="s">
        <v>3419</v>
      </c>
      <c r="F12" s="376">
        <f>SUMIF(70:70,E12,71:71)-SUMIF(70:70,C12,71:71)+100</f>
        <v>100</v>
      </c>
      <c r="G12" s="3469" t="str">
        <f>C12</f>
        <v>二手房</v>
      </c>
      <c r="H12" s="127">
        <f>SUMIF(70:70,G12,71:71)-SUMIF(70:70,C12,71:71)+100</f>
        <v>100</v>
      </c>
      <c r="I12" s="3469" t="str">
        <f>C12</f>
        <v>二手房</v>
      </c>
      <c r="J12" s="127">
        <f>SUMIF(70:70,I12,71:71)-SUMIF(70:70,C12,71:71)+100</f>
        <v>100</v>
      </c>
      <c r="K12" s="1894"/>
      <c r="L12" s="2717"/>
      <c r="M12" s="2718"/>
      <c r="N12" s="2718"/>
      <c r="O12" s="2718"/>
      <c r="P12" s="3726"/>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6"/>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6"/>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5</v>
      </c>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t="s">
        <v>3418</v>
      </c>
      <c r="D18" s="401"/>
      <c r="E18" s="1902" t="s">
        <v>3418</v>
      </c>
      <c r="F18" s="401"/>
      <c r="G18" s="1903" t="s">
        <v>3418</v>
      </c>
      <c r="H18" s="399"/>
      <c r="I18" s="1903" t="s">
        <v>3418</v>
      </c>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t="s">
        <v>3423</v>
      </c>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s="3468" customFormat="1" ht="15">
      <c r="A26" s="382"/>
      <c r="B26" s="3474" t="s">
        <v>3445</v>
      </c>
      <c r="C26" s="3478" t="s">
        <v>3462</v>
      </c>
      <c r="D26" s="413">
        <v>100</v>
      </c>
      <c r="E26" s="3478" t="s">
        <v>3507</v>
      </c>
      <c r="F26" s="413">
        <f>SUMIF(88:88,E26,89:89)-SUMIF(88:88,C26,89:89)+100</f>
        <v>100</v>
      </c>
      <c r="G26" s="414" t="s">
        <v>3448</v>
      </c>
      <c r="H26" s="413">
        <f>SUMIF(88:88,G26,89:89)-SUMIF(88:88,C26,89:89)+100</f>
        <v>101</v>
      </c>
      <c r="I26" s="3834" t="s">
        <v>3508</v>
      </c>
      <c r="J26" s="413">
        <f>SUMIF(88:88,I26,89:89)-SUMIF(88:88,C26,89:89)+100</f>
        <v>100</v>
      </c>
      <c r="K26" s="3475">
        <v>1</v>
      </c>
      <c r="L26" s="3460"/>
      <c r="M26" s="3461"/>
      <c r="N26" s="3461"/>
      <c r="O26" s="3461"/>
      <c r="P26" s="3725"/>
      <c r="Q26" s="3462" t="str">
        <f t="shared" si="11"/>
        <v>朝向</v>
      </c>
      <c r="R26" s="3463" t="s">
        <v>18</v>
      </c>
      <c r="S26" s="3464">
        <f t="shared" si="12"/>
        <v>100</v>
      </c>
      <c r="T26" s="3463" t="s">
        <v>18</v>
      </c>
      <c r="U26" s="3464">
        <f t="shared" si="13"/>
        <v>101</v>
      </c>
      <c r="V26" s="3463" t="s">
        <v>18</v>
      </c>
      <c r="W26" s="3464">
        <f t="shared" si="14"/>
        <v>100</v>
      </c>
      <c r="X26" s="3465"/>
      <c r="Y26" s="3718"/>
      <c r="Z26" s="3466" t="str">
        <f>Q26</f>
        <v>朝向</v>
      </c>
      <c r="AA26" s="3467">
        <f t="shared" si="15"/>
        <v>1</v>
      </c>
      <c r="AB26" s="3467">
        <f t="shared" si="16"/>
        <v>0.99009900990099009</v>
      </c>
      <c r="AC26" s="3467">
        <f t="shared" si="17"/>
        <v>1</v>
      </c>
    </row>
    <row r="27" spans="1:29" s="108" customFormat="1" ht="15">
      <c r="A27" s="382"/>
      <c r="B27" s="3450" t="s">
        <v>3396</v>
      </c>
      <c r="C27" s="416" t="s">
        <v>3502</v>
      </c>
      <c r="D27" s="413">
        <v>100</v>
      </c>
      <c r="E27" s="416" t="s">
        <v>3504</v>
      </c>
      <c r="F27" s="413">
        <f>SUMIF(90:90,E27,91:91)-SUMIF(90:90,C27,91:91)+100</f>
        <v>100</v>
      </c>
      <c r="G27" s="414" t="s">
        <v>3503</v>
      </c>
      <c r="H27" s="413">
        <f>SUMIF(90:90,G27,91:91)-SUMIF(90:90,C27,91:91)+100</f>
        <v>100</v>
      </c>
      <c r="I27" s="414" t="s">
        <v>3505</v>
      </c>
      <c r="J27" s="413">
        <f>SUMIF(90:90,I27,91:91)-SUMIF(90:90,C27,91:91)+100</f>
        <v>100</v>
      </c>
      <c r="K27" s="1894"/>
      <c r="L27" s="2717"/>
      <c r="M27" s="2718"/>
      <c r="N27" s="2718"/>
      <c r="O27" s="2718"/>
      <c r="P27" s="3725"/>
      <c r="Q27" s="1343" t="str">
        <f t="shared" si="11"/>
        <v>楼层</v>
      </c>
      <c r="R27" s="701" t="s">
        <v>18</v>
      </c>
      <c r="S27" s="702">
        <f t="shared" si="12"/>
        <v>100</v>
      </c>
      <c r="T27" s="701" t="s">
        <v>18</v>
      </c>
      <c r="U27" s="702">
        <f t="shared" si="13"/>
        <v>100</v>
      </c>
      <c r="V27" s="701" t="s">
        <v>18</v>
      </c>
      <c r="W27" s="702">
        <f t="shared" si="14"/>
        <v>100</v>
      </c>
      <c r="X27" s="703"/>
      <c r="Y27" s="3718"/>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1693</v>
      </c>
      <c r="B32" s="63" t="s">
        <v>1694</v>
      </c>
      <c r="C32" s="1910" t="s">
        <v>3465</v>
      </c>
      <c r="D32" s="418">
        <v>100</v>
      </c>
      <c r="E32" s="1911" t="s">
        <v>3465</v>
      </c>
      <c r="F32" s="412">
        <f>SUMIF(100:100,E32,101:101)-SUMIF(100:100,C32,101:101)+100</f>
        <v>100</v>
      </c>
      <c r="G32" s="1910" t="s">
        <v>3465</v>
      </c>
      <c r="H32" s="418">
        <f>SUMIF(100:100,G32,101:101)-SUMIF(100:100,C32,101:101)+100</f>
        <v>100</v>
      </c>
      <c r="I32" s="1911" t="s">
        <v>3465</v>
      </c>
      <c r="J32" s="386">
        <f>SUMIF(100:100,I32,101:101)-SUMIF(100:100,C32,101:101)+100</f>
        <v>100</v>
      </c>
      <c r="K32" s="377">
        <v>1</v>
      </c>
      <c r="L32" s="2722"/>
      <c r="M32" s="2716"/>
      <c r="N32" s="2716"/>
      <c r="O32" s="2716"/>
      <c r="P32" s="3719" t="s">
        <v>1695</v>
      </c>
      <c r="Q32" s="1352" t="str">
        <f t="shared" si="11"/>
        <v>建筑类型</v>
      </c>
      <c r="R32" s="705" t="s">
        <v>18</v>
      </c>
      <c r="S32" s="706">
        <f t="shared" si="12"/>
        <v>100</v>
      </c>
      <c r="T32" s="705" t="s">
        <v>18</v>
      </c>
      <c r="U32" s="706">
        <f t="shared" si="13"/>
        <v>100</v>
      </c>
      <c r="V32" s="705" t="s">
        <v>18</v>
      </c>
      <c r="W32" s="706">
        <f t="shared" si="14"/>
        <v>100</v>
      </c>
      <c r="X32" s="1355"/>
      <c r="Y32" s="3722" t="s">
        <v>1695</v>
      </c>
      <c r="Z32" s="1356" t="str">
        <f t="shared" si="18"/>
        <v>建筑类型</v>
      </c>
      <c r="AA32" s="1353">
        <f t="shared" si="15"/>
        <v>1</v>
      </c>
      <c r="AB32" s="1353">
        <f t="shared" si="16"/>
        <v>1</v>
      </c>
      <c r="AC32" s="1353">
        <f t="shared" si="17"/>
        <v>1</v>
      </c>
    </row>
    <row r="33" spans="1:29" s="422" customFormat="1" ht="15">
      <c r="A33" s="419"/>
      <c r="B33" s="375" t="s">
        <v>1696</v>
      </c>
      <c r="C33" s="420">
        <f>'数据-汇总表'!F19</f>
        <v>80.66</v>
      </c>
      <c r="D33" s="127">
        <v>100</v>
      </c>
      <c r="E33" s="381">
        <f>Sheet1!I3</f>
        <v>62.06</v>
      </c>
      <c r="F33" s="376">
        <f>LOOKUP(E33,103:103,104:104)-LOOKUP(C33,103:103,104:104)+100</f>
        <v>102</v>
      </c>
      <c r="G33" s="380">
        <f>Sheet1!I4</f>
        <v>88.55</v>
      </c>
      <c r="H33" s="127">
        <f>LOOKUP(G33,103:103,104:104)-LOOKUP(C33,103:103,104:104)+100</f>
        <v>100</v>
      </c>
      <c r="I33" s="381">
        <f>Sheet1!I5</f>
        <v>61.45</v>
      </c>
      <c r="J33" s="386">
        <f>LOOKUP(I33,103:103,104:104)-LOOKUP(C33,103:103,104:104)+100</f>
        <v>102</v>
      </c>
      <c r="K33" s="1894"/>
      <c r="L33" s="2721"/>
      <c r="M33" s="2723"/>
      <c r="N33" s="2723"/>
      <c r="O33" s="2723"/>
      <c r="P33" s="3720"/>
      <c r="Q33" s="707" t="str">
        <f t="shared" si="11"/>
        <v>项目建筑规模</v>
      </c>
      <c r="R33" s="708" t="s">
        <v>18</v>
      </c>
      <c r="S33" s="709">
        <f t="shared" si="12"/>
        <v>102</v>
      </c>
      <c r="T33" s="708" t="s">
        <v>18</v>
      </c>
      <c r="U33" s="709">
        <f t="shared" si="13"/>
        <v>100</v>
      </c>
      <c r="V33" s="708" t="s">
        <v>18</v>
      </c>
      <c r="W33" s="709">
        <f t="shared" si="14"/>
        <v>102</v>
      </c>
      <c r="X33" s="710"/>
      <c r="Y33" s="3722"/>
      <c r="Z33" s="711" t="str">
        <f t="shared" si="18"/>
        <v>项目建筑规模</v>
      </c>
      <c r="AA33" s="1353">
        <f t="shared" si="15"/>
        <v>0.98039215686274506</v>
      </c>
      <c r="AB33" s="1353">
        <f t="shared" si="16"/>
        <v>1</v>
      </c>
      <c r="AC33" s="1353">
        <f t="shared" si="17"/>
        <v>0.98039215686274506</v>
      </c>
    </row>
    <row r="34" spans="1:29" ht="15">
      <c r="A34" s="423"/>
      <c r="B34" s="375" t="s">
        <v>1697</v>
      </c>
      <c r="C34" s="1912" t="s">
        <v>3464</v>
      </c>
      <c r="D34" s="386">
        <v>100</v>
      </c>
      <c r="E34" s="1913" t="s">
        <v>3464</v>
      </c>
      <c r="F34" s="412">
        <f>SUMIF(105:105,E34,106:106)-SUMIF(105:105,C34,106:106)+100</f>
        <v>100</v>
      </c>
      <c r="G34" s="1912" t="s">
        <v>3464</v>
      </c>
      <c r="H34" s="386">
        <f>SUMIF(105:105,G34,106:106)-SUMIF(105:105,C34,106:106)+100</f>
        <v>100</v>
      </c>
      <c r="I34" s="1913" t="s">
        <v>3464</v>
      </c>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1699</v>
      </c>
      <c r="C36" s="1906" t="s">
        <v>3400</v>
      </c>
      <c r="D36" s="386">
        <v>100</v>
      </c>
      <c r="E36" s="1907" t="s">
        <v>3400</v>
      </c>
      <c r="F36" s="412">
        <f>SUMIF(109:109,E36,110:110)-SUMIF(109:109,C36,110:110)+100</f>
        <v>100</v>
      </c>
      <c r="G36" s="1906" t="s">
        <v>3400</v>
      </c>
      <c r="H36" s="386">
        <f>SUMIF(109:109,G36,110:110)-SUMIF(109:109,C36,110:110)+100</f>
        <v>100</v>
      </c>
      <c r="I36" s="1907" t="s">
        <v>3400</v>
      </c>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1700</v>
      </c>
      <c r="C37" s="1906">
        <f>'数据-取费表'!N6</f>
        <v>0.8</v>
      </c>
      <c r="D37" s="386">
        <v>100</v>
      </c>
      <c r="E37" s="1907">
        <f>C37</f>
        <v>0.8</v>
      </c>
      <c r="F37" s="412">
        <f>LOOKUP(E37,112:112,113:113)-LOOKUP(C37,112:112,113:113)+100</f>
        <v>100</v>
      </c>
      <c r="G37" s="1906">
        <f>C37</f>
        <v>0.8</v>
      </c>
      <c r="H37" s="386">
        <f>LOOKUP(G37,112:112,113:113)-LOOKUP(C37,112:112,113:113)+100</f>
        <v>100</v>
      </c>
      <c r="I37" s="1907">
        <f>C37</f>
        <v>0.8</v>
      </c>
      <c r="J37" s="127">
        <f>LOOKUP(I37,112:112,113:113)-LOOKUP(C37,112:112,113:113)+100</f>
        <v>100</v>
      </c>
      <c r="K37" s="377">
        <v>0.5</v>
      </c>
      <c r="L37" s="2717"/>
      <c r="M37" s="2718"/>
      <c r="N37" s="2718"/>
      <c r="O37" s="2718"/>
      <c r="P37" s="3720"/>
      <c r="Q37" s="1343" t="str">
        <f t="shared" si="11"/>
        <v>成新度</v>
      </c>
      <c r="R37" s="701" t="s">
        <v>18</v>
      </c>
      <c r="S37" s="702">
        <f t="shared" si="12"/>
        <v>100</v>
      </c>
      <c r="T37" s="701" t="s">
        <v>18</v>
      </c>
      <c r="U37" s="702">
        <f t="shared" si="13"/>
        <v>100</v>
      </c>
      <c r="V37" s="701" t="s">
        <v>18</v>
      </c>
      <c r="W37" s="702">
        <f t="shared" si="14"/>
        <v>100</v>
      </c>
      <c r="X37" s="703"/>
      <c r="Y37" s="3722"/>
      <c r="Z37" s="52" t="str">
        <f t="shared" si="18"/>
        <v>成新度</v>
      </c>
      <c r="AA37" s="704">
        <f t="shared" si="15"/>
        <v>1</v>
      </c>
      <c r="AB37" s="704">
        <f t="shared" si="16"/>
        <v>1</v>
      </c>
      <c r="AC37" s="704">
        <f t="shared" si="17"/>
        <v>1</v>
      </c>
    </row>
    <row r="38" spans="1:29" ht="15">
      <c r="A38" s="423"/>
      <c r="B38" s="375" t="s">
        <v>1701</v>
      </c>
      <c r="C38" s="1906" t="s">
        <v>3407</v>
      </c>
      <c r="D38" s="386">
        <v>100</v>
      </c>
      <c r="E38" s="1907" t="s">
        <v>3407</v>
      </c>
      <c r="F38" s="412">
        <f>SUMIF(114:114,E38,115:115)-SUMIF(114:114,C38,115:115)+100</f>
        <v>100</v>
      </c>
      <c r="G38" s="1906" t="s">
        <v>3407</v>
      </c>
      <c r="H38" s="386">
        <f>SUMIF(114:114,G38,115:115)-SUMIF(114:114,C38,115:115)+100</f>
        <v>100</v>
      </c>
      <c r="I38" s="1907" t="s">
        <v>3407</v>
      </c>
      <c r="J38" s="386">
        <f>SUMIF(114:114,I38,115:115)-SUMIF(114:114,C38,115:115)+100</f>
        <v>100</v>
      </c>
      <c r="K38" s="377"/>
      <c r="L38" s="2722"/>
      <c r="M38" s="2716"/>
      <c r="N38" s="2716"/>
      <c r="O38" s="2716"/>
      <c r="P38" s="3720" t="s">
        <v>1695</v>
      </c>
      <c r="Q38" s="1352" t="str">
        <f t="shared" si="11"/>
        <v>物业管理</v>
      </c>
      <c r="R38" s="705" t="s">
        <v>18</v>
      </c>
      <c r="S38" s="706">
        <f t="shared" si="12"/>
        <v>100</v>
      </c>
      <c r="T38" s="705" t="s">
        <v>18</v>
      </c>
      <c r="U38" s="706">
        <f t="shared" si="13"/>
        <v>100</v>
      </c>
      <c r="V38" s="705" t="s">
        <v>18</v>
      </c>
      <c r="W38" s="706">
        <f t="shared" si="14"/>
        <v>100</v>
      </c>
      <c r="X38" s="1355"/>
      <c r="Y38" s="3722" t="s">
        <v>1695</v>
      </c>
      <c r="Z38" s="1356" t="str">
        <f t="shared" si="18"/>
        <v>物业管理</v>
      </c>
      <c r="AA38" s="1353">
        <f t="shared" si="15"/>
        <v>1</v>
      </c>
      <c r="AB38" s="1353">
        <f t="shared" si="16"/>
        <v>1</v>
      </c>
      <c r="AC38" s="1353">
        <f t="shared" si="17"/>
        <v>1</v>
      </c>
    </row>
    <row r="39" spans="1:29" ht="15">
      <c r="A39" s="423"/>
      <c r="B39" s="375" t="s">
        <v>1702</v>
      </c>
      <c r="C39" s="1906" t="s">
        <v>3414</v>
      </c>
      <c r="D39" s="386">
        <v>100</v>
      </c>
      <c r="E39" s="1907" t="s">
        <v>3414</v>
      </c>
      <c r="F39" s="412">
        <f>SUMIF(116:116,E39,117:117)-SUMIF(116:116,C39,117:117)+100</f>
        <v>100</v>
      </c>
      <c r="G39" s="1906" t="s">
        <v>3414</v>
      </c>
      <c r="H39" s="386">
        <f>SUMIF(116:116,G39,117:117)-SUMIF(116:116,C39,117:117)+100</f>
        <v>100</v>
      </c>
      <c r="I39" s="1907" t="s">
        <v>3414</v>
      </c>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1703</v>
      </c>
      <c r="C40" s="1906" t="s">
        <v>3403</v>
      </c>
      <c r="D40" s="386">
        <v>100</v>
      </c>
      <c r="E40" s="1907" t="s">
        <v>3403</v>
      </c>
      <c r="F40" s="412">
        <f>SUMIF(118:118,E40,119:119)-SUMIF(118:118,C40,119:119)+100</f>
        <v>100</v>
      </c>
      <c r="G40" s="1906" t="s">
        <v>3403</v>
      </c>
      <c r="H40" s="386">
        <f>SUMIF(118:118,G40,119:119)-SUMIF(118:118,C40,119:119)+100</f>
        <v>100</v>
      </c>
      <c r="I40" s="1907" t="s">
        <v>3403</v>
      </c>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1705</v>
      </c>
      <c r="C42" s="1906" t="s">
        <v>3415</v>
      </c>
      <c r="D42" s="386">
        <v>100</v>
      </c>
      <c r="E42" s="1907" t="s">
        <v>3400</v>
      </c>
      <c r="F42" s="412">
        <f>SUMIF(122:122,E42,123:123)-SUMIF(122:122,C42,123:123)+100</f>
        <v>102</v>
      </c>
      <c r="G42" s="1906" t="s">
        <v>3400</v>
      </c>
      <c r="H42" s="386">
        <f>SUMIF(122:122,G42,123:123)-SUMIF(122:122,C42,123:123)+100</f>
        <v>102</v>
      </c>
      <c r="I42" s="1907" t="s">
        <v>3400</v>
      </c>
      <c r="J42" s="386">
        <f>SUMIF(122:122,I42,123:123)-SUMIF(122:122,C42,123:123)+100</f>
        <v>102</v>
      </c>
      <c r="K42" s="377">
        <v>1</v>
      </c>
      <c r="L42" s="2722"/>
      <c r="M42" s="2716"/>
      <c r="N42" s="2716"/>
      <c r="O42" s="2716"/>
      <c r="P42" s="3720"/>
      <c r="Q42" s="1352" t="str">
        <f t="shared" si="11"/>
        <v>内部装修</v>
      </c>
      <c r="R42" s="705" t="s">
        <v>18</v>
      </c>
      <c r="S42" s="706">
        <f t="shared" si="12"/>
        <v>102</v>
      </c>
      <c r="T42" s="705" t="s">
        <v>18</v>
      </c>
      <c r="U42" s="706">
        <f t="shared" si="13"/>
        <v>102</v>
      </c>
      <c r="V42" s="705" t="s">
        <v>18</v>
      </c>
      <c r="W42" s="706">
        <f t="shared" si="14"/>
        <v>102</v>
      </c>
      <c r="X42" s="1355"/>
      <c r="Y42" s="3722"/>
      <c r="Z42" s="1356" t="str">
        <f t="shared" si="18"/>
        <v>内部装修</v>
      </c>
      <c r="AA42" s="1353">
        <f t="shared" si="15"/>
        <v>0.98039215686274506</v>
      </c>
      <c r="AB42" s="1353">
        <f t="shared" si="16"/>
        <v>0.98039215686274506</v>
      </c>
      <c r="AC42" s="1353">
        <f t="shared" si="17"/>
        <v>0.98039215686274506</v>
      </c>
    </row>
    <row r="43" spans="1:29" ht="28.8">
      <c r="A43" s="423"/>
      <c r="B43" s="375" t="s">
        <v>1706</v>
      </c>
      <c r="C43" s="1906" t="s">
        <v>3418</v>
      </c>
      <c r="D43" s="386">
        <v>100</v>
      </c>
      <c r="E43" s="1907" t="s">
        <v>3418</v>
      </c>
      <c r="F43" s="412">
        <f>SUMIF(124:124,E43,125:125)-SUMIF(124:124,C43,125:125)+100</f>
        <v>100</v>
      </c>
      <c r="G43" s="1906" t="s">
        <v>3418</v>
      </c>
      <c r="H43" s="386">
        <f>SUMIF(124:124,G43,125:125)-SUMIF(124:124,C43,125:125)+100</f>
        <v>100</v>
      </c>
      <c r="I43" s="1907" t="s">
        <v>3418</v>
      </c>
      <c r="J43" s="386">
        <f>SUMIF(124:124,I43,125:125)-SUMIF(124:124,C43,125:125)+100</f>
        <v>100</v>
      </c>
      <c r="K43" s="377">
        <v>1</v>
      </c>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3450">
        <v>111</v>
      </c>
      <c r="C44" s="3459"/>
      <c r="D44" s="127">
        <v>100</v>
      </c>
      <c r="E44" s="420"/>
      <c r="F44" s="376">
        <f>SUMIF(126:126,E44,127:127)-SUMIF(126:126,C44,127:127)+100</f>
        <v>100</v>
      </c>
      <c r="G44" s="3459"/>
      <c r="H44" s="127">
        <f>SUMIF(126:126,G44,127:127)-SUMIF(126:126,C44,127:127)+100</f>
        <v>100</v>
      </c>
      <c r="I44" s="3459"/>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4.4">
      <c r="A47" s="430" t="s">
        <v>1707</v>
      </c>
      <c r="B47" s="431"/>
      <c r="C47" s="1154" t="s">
        <v>16</v>
      </c>
      <c r="D47" s="1155"/>
      <c r="E47" s="1156">
        <f>Sheet1!Q3</f>
        <v>36255</v>
      </c>
      <c r="F47" s="1157"/>
      <c r="G47" s="1158">
        <f>Sheet1!Q4</f>
        <v>37041</v>
      </c>
      <c r="H47" s="1159"/>
      <c r="I47" s="3458">
        <f>Sheet1!Q5</f>
        <v>34662</v>
      </c>
      <c r="J47" s="1159"/>
      <c r="K47" s="1914"/>
      <c r="L47" s="2724"/>
      <c r="M47" s="2725"/>
      <c r="N47" s="2716"/>
      <c r="O47" s="2725"/>
      <c r="P47" s="3715" t="str">
        <f>A47</f>
        <v>成交单价（元/平方米）</v>
      </c>
      <c r="Q47" s="3715"/>
      <c r="R47" s="3716">
        <f>E47</f>
        <v>36255</v>
      </c>
      <c r="S47" s="3716"/>
      <c r="T47" s="3716">
        <f>G47</f>
        <v>37041</v>
      </c>
      <c r="U47" s="3716"/>
      <c r="V47" s="3716">
        <f>I47</f>
        <v>34662</v>
      </c>
      <c r="W47" s="3716"/>
      <c r="X47" s="690"/>
      <c r="Y47" s="712"/>
      <c r="Z47" s="690"/>
      <c r="AA47" s="690"/>
      <c r="AB47" s="690"/>
      <c r="AC47" s="690"/>
    </row>
    <row r="48" spans="1:29" ht="15" thickBot="1">
      <c r="A48" s="437" t="s">
        <v>1708</v>
      </c>
      <c r="B48" s="438"/>
      <c r="C48" s="1160">
        <f>R49</f>
        <v>34568</v>
      </c>
      <c r="D48" s="2317" t="s">
        <v>2137</v>
      </c>
      <c r="E48" s="1161">
        <f>R48</f>
        <v>34708</v>
      </c>
      <c r="F48" s="2318"/>
      <c r="G48" s="1160">
        <f>T48</f>
        <v>35812</v>
      </c>
      <c r="H48" s="2318"/>
      <c r="I48" s="1161">
        <f>V48</f>
        <v>33183</v>
      </c>
      <c r="J48" s="2318"/>
      <c r="K48" s="2319">
        <f>F48+H48+J48</f>
        <v>0</v>
      </c>
      <c r="L48" s="2724"/>
      <c r="M48" s="2725"/>
      <c r="N48" s="2725"/>
      <c r="O48" s="2725"/>
      <c r="P48" s="3715" t="str">
        <f>A48</f>
        <v>比较价值（元/平方米）</v>
      </c>
      <c r="Q48" s="3715"/>
      <c r="R48" s="3716">
        <f>IF(F1="售价",ROUND(PRODUCT(R47,AA7:AA46),0),ROUND(PRODUCT(R47,AA7:AA46),1))</f>
        <v>34708</v>
      </c>
      <c r="S48" s="3716"/>
      <c r="T48" s="3716">
        <f>IF(F1="售价",ROUND(PRODUCT(T47,AB7:AB46),0),ROUND(PRODUCT(T47,AB7:AB46),1))</f>
        <v>35812</v>
      </c>
      <c r="U48" s="3716"/>
      <c r="V48" s="3716">
        <f>IF(F1="售价",ROUND(PRODUCT(V47,AC7:AC46),0),ROUND(PRODUCT(V47,AC7:AC46),1))</f>
        <v>33183</v>
      </c>
      <c r="W48" s="3716"/>
      <c r="X48" s="690"/>
      <c r="Y48" s="690"/>
      <c r="Z48" s="690"/>
      <c r="AA48" s="690"/>
      <c r="AB48" s="690"/>
      <c r="AC48" s="690"/>
    </row>
    <row r="49" spans="1:29" ht="15" thickBot="1">
      <c r="A49" s="441" t="s">
        <v>1709</v>
      </c>
      <c r="B49" s="442"/>
      <c r="C49" s="1162">
        <f>R49</f>
        <v>34568</v>
      </c>
      <c r="D49" s="1163"/>
      <c r="E49" s="1163"/>
      <c r="F49" s="1163"/>
      <c r="G49" s="1163"/>
      <c r="H49" s="1163"/>
      <c r="I49" s="1163"/>
      <c r="J49" s="1163"/>
      <c r="K49" s="1915"/>
      <c r="L49" s="2724"/>
      <c r="M49" s="2725"/>
      <c r="N49" s="2725"/>
      <c r="O49" s="2725"/>
      <c r="P49" s="3712" t="str">
        <f>A49</f>
        <v>估价对象XX用房的比较价值（楼面单价，元/平方米）</v>
      </c>
      <c r="Q49" s="3713"/>
      <c r="R49" s="3714">
        <f>IF(F1="售价",ROUND(IF(D48="简单平均",AVERAGE(R48:V48),R48*F48+T48*H48+V48*J48),0),ROUND(IF(D48="简单平均",AVERAGE(R48:V48),R48*F48+T48*H48+V48*J48),1))</f>
        <v>34568</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f>IF(E47&lt;E48,E48/E47-1,E47/E48-1)</f>
        <v>4.4571856632476647E-2</v>
      </c>
      <c r="F52" s="449" t="str">
        <f>IF(OR(E52&gt;=0.3,E52&lt;=-0.3),"超过30%","")</f>
        <v/>
      </c>
      <c r="G52" s="448">
        <f>IF(G47&lt;G48,G48/G47-1,G47/G48-1)</f>
        <v>3.4318105662906273E-2</v>
      </c>
      <c r="H52" s="449" t="str">
        <f>IF(OR(G52&gt;=0.3,G52&lt;=-0.3),"超过30%","")</f>
        <v/>
      </c>
      <c r="I52" s="448">
        <f>IF(I47&lt;I48,I48/I47-1,I47/I48-1)</f>
        <v>4.4571015278907833E-2</v>
      </c>
      <c r="J52" s="449" t="str">
        <f>IF(OR(I52&gt;=0.3,I52&lt;=-0.3),"超过30%","")</f>
        <v/>
      </c>
      <c r="K52" s="2730"/>
      <c r="L52" s="2726"/>
      <c r="M52" s="2725"/>
      <c r="N52" s="2725"/>
      <c r="O52" s="2725"/>
    </row>
    <row r="53" spans="1:29" ht="13.5" customHeight="1">
      <c r="A53" s="2725"/>
      <c r="B53" s="2725"/>
      <c r="C53" s="446" t="s">
        <v>1711</v>
      </c>
      <c r="D53" s="450"/>
      <c r="E53" s="448">
        <f>IF(E48&lt;G48,G48/E48-1,E48/G48-1)</f>
        <v>3.1808228650455295E-2</v>
      </c>
      <c r="F53" s="449" t="str">
        <f>IF(OR(E53&gt;=0.2,E53&lt;=-0.2),"超过20%","")</f>
        <v/>
      </c>
      <c r="G53" s="448">
        <f>IF(G48&lt;I48,I48/G48-1,G48/I48-1)</f>
        <v>7.9227315191513714E-2</v>
      </c>
      <c r="H53" s="449" t="str">
        <f>IF(OR(G53&gt;=0.2,G53&lt;=-0.2),"超过20%","")</f>
        <v/>
      </c>
      <c r="I53" s="448">
        <f>IF(I48&lt;E48,E48/I48-1,I48/E48-1)</f>
        <v>4.595726727541205E-2</v>
      </c>
      <c r="J53" s="449" t="str">
        <f>IF(OR(I53&gt;=0.2,I53&lt;=-0.2),"超过20%","")</f>
        <v/>
      </c>
      <c r="K53" s="2730"/>
      <c r="L53" s="2726"/>
      <c r="M53" s="2725"/>
      <c r="N53" s="2725"/>
      <c r="O53" s="2725"/>
    </row>
    <row r="54" spans="1:29" s="451" customFormat="1" ht="13.5" customHeight="1">
      <c r="A54" s="2728"/>
      <c r="B54" s="2728"/>
      <c r="C54" s="446" t="s">
        <v>1712</v>
      </c>
      <c r="D54" s="450"/>
      <c r="E54" s="448">
        <f>IF(E47&lt;G47,G47/E47-1,E47/G47-1)</f>
        <v>2.1679768307819591E-2</v>
      </c>
      <c r="F54" s="449" t="str">
        <f>IF(OR(E54&gt;=0.3,E54&lt;=-0.3),"超过30%","")</f>
        <v/>
      </c>
      <c r="G54" s="448">
        <f>IF(G47&lt;I47,I47/G47-1,G47/I47-1)</f>
        <v>6.8634239224510951E-2</v>
      </c>
      <c r="H54" s="449" t="str">
        <f>IF(OR(G54&gt;=0.3,G54&lt;=-0.3),"超过30%","")</f>
        <v/>
      </c>
      <c r="I54" s="448">
        <f>IF(I47&lt;E47,E47/I47-1,I47/E47-1)</f>
        <v>4.5958109745542597E-2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c r="A59" s="458"/>
      <c r="B59" s="1919"/>
      <c r="C59" s="1183">
        <v>100</v>
      </c>
      <c r="D59" s="460">
        <v>100.2</v>
      </c>
      <c r="E59" s="461">
        <v>100.4</v>
      </c>
      <c r="F59" s="461"/>
      <c r="G59" s="461"/>
      <c r="H59" s="461"/>
      <c r="I59" s="461"/>
      <c r="J59" s="461"/>
      <c r="K59" s="461"/>
      <c r="L59" s="461"/>
      <c r="M59" s="462">
        <f>L59</f>
        <v>0</v>
      </c>
      <c r="N59" s="461">
        <f>L59</f>
        <v>0</v>
      </c>
      <c r="O59" s="462">
        <v>96</v>
      </c>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3457" t="s">
        <v>3413</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 thickTop="1">
      <c r="A70" s="502"/>
      <c r="B70" s="487">
        <f>B12</f>
        <v>111</v>
      </c>
      <c r="C70" s="3451" t="s">
        <v>3419</v>
      </c>
      <c r="D70" s="3451" t="s">
        <v>3420</v>
      </c>
      <c r="E70" s="503"/>
      <c r="F70" s="503"/>
      <c r="G70" s="503"/>
      <c r="H70" s="504"/>
      <c r="I70" s="504"/>
      <c r="J70" s="504"/>
      <c r="K70" s="504"/>
      <c r="L70" s="505"/>
      <c r="M70" s="506"/>
      <c r="N70" s="935"/>
      <c r="O70" s="935"/>
      <c r="P70" s="1923"/>
      <c r="Q70" s="508"/>
    </row>
    <row r="71" spans="1:17" s="422" customFormat="1" ht="14.4" thickBot="1">
      <c r="A71" s="502"/>
      <c r="B71" s="492"/>
      <c r="C71" s="509">
        <v>100</v>
      </c>
      <c r="D71" s="485">
        <v>105</v>
      </c>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1" t="s">
        <v>3450</v>
      </c>
      <c r="D88" s="3451" t="s">
        <v>3451</v>
      </c>
      <c r="E88" s="3451" t="s">
        <v>3463</v>
      </c>
      <c r="F88" s="3454"/>
      <c r="G88" s="3451"/>
      <c r="H88" s="3451"/>
      <c r="I88" s="3451"/>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9.4" thickTop="1">
      <c r="A90" s="502"/>
      <c r="B90" s="487" t="str">
        <f>B27</f>
        <v>楼层</v>
      </c>
      <c r="C90" s="503" t="str">
        <f>C27</f>
        <v>16/18（高层）</v>
      </c>
      <c r="D90" s="3456" t="str">
        <f>E27</f>
        <v>9/12（高层）</v>
      </c>
      <c r="E90" s="3456" t="str">
        <f>G27</f>
        <v>10/13（高层）</v>
      </c>
      <c r="F90" s="3456" t="s">
        <v>3506</v>
      </c>
      <c r="G90" s="503"/>
      <c r="H90" s="504"/>
      <c r="I90" s="504"/>
      <c r="J90" s="504"/>
      <c r="K90" s="504"/>
      <c r="L90" s="505"/>
      <c r="M90" s="506"/>
      <c r="N90" s="935"/>
      <c r="O90" s="935"/>
      <c r="P90" s="1923"/>
      <c r="Q90" s="508"/>
    </row>
    <row r="91" spans="1:17" s="422" customFormat="1" ht="14.4" thickBot="1">
      <c r="A91" s="502"/>
      <c r="B91" s="492"/>
      <c r="C91" s="509">
        <v>100</v>
      </c>
      <c r="D91" s="509">
        <v>100</v>
      </c>
      <c r="E91" s="509">
        <v>100</v>
      </c>
      <c r="F91" s="509">
        <v>100</v>
      </c>
      <c r="G91" s="509"/>
      <c r="H91" s="511"/>
      <c r="I91" s="511"/>
      <c r="J91" s="511"/>
      <c r="K91" s="511"/>
      <c r="L91" s="511"/>
      <c r="M91" s="512"/>
      <c r="N91" s="935"/>
      <c r="O91" s="935"/>
      <c r="P91" s="1923"/>
      <c r="Q91" s="508"/>
    </row>
    <row r="92" spans="1:17" ht="14.4" thickTop="1">
      <c r="A92" s="483"/>
      <c r="B92" s="487">
        <f>B28</f>
        <v>111</v>
      </c>
      <c r="E92" s="503"/>
      <c r="F92" s="503"/>
      <c r="G92" s="532"/>
      <c r="H92" s="532"/>
      <c r="I92" s="532"/>
      <c r="J92" s="532"/>
      <c r="K92" s="533"/>
      <c r="L92" s="534"/>
      <c r="M92" s="535"/>
      <c r="N92" s="933"/>
      <c r="O92" s="933"/>
      <c r="P92" s="1922"/>
      <c r="Q92" s="453"/>
    </row>
    <row r="93" spans="1:17" ht="14.4" thickBot="1">
      <c r="A93" s="483"/>
      <c r="B93" s="492"/>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3453" t="s">
        <v>3421</v>
      </c>
      <c r="D100" s="3453" t="s">
        <v>3422</v>
      </c>
      <c r="E100" s="3453" t="s">
        <v>3411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1736</v>
      </c>
      <c r="C102" s="527" t="str">
        <f>C103&amp;"(含)"&amp;"-"&amp;D103</f>
        <v>0(含)-65</v>
      </c>
      <c r="D102" s="527" t="str">
        <f t="shared" ref="D102:L102" si="26">D103&amp;"(含)"&amp;"-"&amp;E103</f>
        <v>65(含)-80</v>
      </c>
      <c r="E102" s="527" t="str">
        <f t="shared" si="26"/>
        <v>80(含)-95</v>
      </c>
      <c r="F102" s="527" t="str">
        <f t="shared" si="26"/>
        <v>95(含)-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65</v>
      </c>
      <c r="E103" s="544">
        <v>80</v>
      </c>
      <c r="F103" s="544">
        <v>95</v>
      </c>
      <c r="G103" s="544"/>
      <c r="H103" s="544"/>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84</v>
      </c>
      <c r="H104" s="485"/>
      <c r="I104" s="485"/>
      <c r="J104" s="485"/>
      <c r="K104" s="485"/>
      <c r="L104" s="485"/>
      <c r="M104" s="485"/>
      <c r="N104" s="934"/>
      <c r="O104" s="934"/>
      <c r="P104" s="1923"/>
      <c r="Q104" s="508"/>
    </row>
    <row r="105" spans="1:17" ht="15" thickTop="1">
      <c r="A105" s="548"/>
      <c r="B105" s="487" t="s">
        <v>1737</v>
      </c>
      <c r="C105" s="3451" t="s">
        <v>3444</v>
      </c>
      <c r="D105" s="3451" t="s">
        <v>3449</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2" t="s">
        <v>3397</v>
      </c>
      <c r="D107" s="3452" t="s">
        <v>3398</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3399</v>
      </c>
      <c r="D109" s="3451" t="s">
        <v>3401</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100.5</v>
      </c>
      <c r="E113" s="493">
        <f>D113+$K37</f>
        <v>101</v>
      </c>
      <c r="F113" s="493">
        <f>E113+$K37</f>
        <v>101.5</v>
      </c>
      <c r="G113" s="493">
        <f>F113+$K37</f>
        <v>102</v>
      </c>
      <c r="H113" s="493">
        <f>G113+$K37</f>
        <v>102.5</v>
      </c>
      <c r="I113" s="531"/>
      <c r="J113" s="556"/>
      <c r="K113" s="556"/>
      <c r="L113" s="556"/>
      <c r="M113" s="557"/>
      <c r="N113" s="935"/>
      <c r="O113" s="935"/>
      <c r="P113" s="1923"/>
      <c r="Q113" s="508"/>
    </row>
    <row r="114" spans="1:17" ht="15" thickTop="1">
      <c r="A114" s="548"/>
      <c r="B114" s="487" t="s">
        <v>1740</v>
      </c>
      <c r="C114" s="3451" t="s">
        <v>3408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3402</v>
      </c>
      <c r="D116" s="3451" t="s">
        <v>3412</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2" t="s">
        <v>3404</v>
      </c>
      <c r="D118" s="3452" t="s">
        <v>3405</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3399</v>
      </c>
      <c r="D122" s="3451" t="s">
        <v>3401</v>
      </c>
      <c r="E122" s="3451" t="s">
        <v>3406</v>
      </c>
      <c r="F122" s="3452" t="s">
        <v>3416</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2"/>
      <c r="Q125" s="453"/>
    </row>
    <row r="126" spans="1:17" s="422" customFormat="1" ht="15" thickTop="1">
      <c r="A126" s="542"/>
      <c r="B126" s="487">
        <f>B44</f>
        <v>111</v>
      </c>
      <c r="C126" s="503">
        <f>C44</f>
        <v>0</v>
      </c>
      <c r="D126" s="3451" t="s">
        <v>3417</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99</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2" priority="21" stopIfTrue="1" operator="containsText" text="超过">
      <formula>NOT(ISERROR(SEARCH("超过",F52)))</formula>
    </cfRule>
  </conditionalFormatting>
  <conditionalFormatting sqref="J54">
    <cfRule type="containsText" dxfId="151" priority="20" stopIfTrue="1" operator="containsText" text="超过">
      <formula>NOT(ISERROR(SEARCH("超过",J54)))</formula>
    </cfRule>
  </conditionalFormatting>
  <conditionalFormatting sqref="H54">
    <cfRule type="containsText" dxfId="150" priority="19" stopIfTrue="1" operator="containsText" text="超过">
      <formula>NOT(ISERROR(SEARCH("超过",H54)))</formula>
    </cfRule>
  </conditionalFormatting>
  <conditionalFormatting sqref="F54">
    <cfRule type="containsText" dxfId="149" priority="18" stopIfTrue="1" operator="containsText" text="超过">
      <formula>NOT(ISERROR(SEARCH("超过",F54)))</formula>
    </cfRule>
  </conditionalFormatting>
  <conditionalFormatting sqref="F53 H53 J53">
    <cfRule type="containsText" dxfId="148" priority="17" stopIfTrue="1" operator="containsText" text="超过">
      <formula>NOT(ISERROR(SEARCH("超过",F53)))</formula>
    </cfRule>
  </conditionalFormatting>
  <conditionalFormatting sqref="E52">
    <cfRule type="expression" dxfId="147" priority="16" stopIfTrue="1">
      <formula>$F$52="超过30%"</formula>
    </cfRule>
  </conditionalFormatting>
  <conditionalFormatting sqref="G54">
    <cfRule type="expression" dxfId="146" priority="14" stopIfTrue="1">
      <formula>$H$54="超过30%"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G52">
    <cfRule type="expression" dxfId="143" priority="11" stopIfTrue="1">
      <formula>$H$52="超过30%"</formula>
    </cfRule>
  </conditionalFormatting>
  <conditionalFormatting sqref="G53">
    <cfRule type="expression" dxfId="142" priority="10" stopIfTrue="1">
      <formula>$H$53="超过20%"</formula>
    </cfRule>
  </conditionalFormatting>
  <conditionalFormatting sqref="I52">
    <cfRule type="expression" dxfId="141" priority="9" stopIfTrue="1">
      <formula>$J$52="超过30%"</formula>
    </cfRule>
  </conditionalFormatting>
  <conditionalFormatting sqref="I53">
    <cfRule type="expression" dxfId="140" priority="8" stopIfTrue="1">
      <formula>$J$53="超过20%"</formula>
    </cfRule>
  </conditionalFormatting>
  <conditionalFormatting sqref="I54">
    <cfRule type="expression" dxfId="139" priority="7" stopIfTrue="1">
      <formula>$J$54="超过30%"</formula>
    </cfRule>
  </conditionalFormatting>
  <conditionalFormatting sqref="F48">
    <cfRule type="expression" dxfId="138" priority="6">
      <formula>$D$48="简单平均"</formula>
    </cfRule>
  </conditionalFormatting>
  <conditionalFormatting sqref="H48">
    <cfRule type="expression" dxfId="137" priority="5">
      <formula>$D$48="简单平均"</formula>
    </cfRule>
  </conditionalFormatting>
  <conditionalFormatting sqref="J48">
    <cfRule type="expression" dxfId="136" priority="4">
      <formula>$D$48="简单平均"</formula>
    </cfRule>
  </conditionalFormatting>
  <conditionalFormatting sqref="F7:F25 H7:H25 J7:J25 H38:H46 F38:F46 J27:J46 H27:H36 F27:F36">
    <cfRule type="cellIs" dxfId="135" priority="3" operator="notEqual">
      <formula>100</formula>
    </cfRule>
  </conditionalFormatting>
  <conditionalFormatting sqref="H37 F37">
    <cfRule type="cellIs" dxfId="134" priority="2" operator="notEqual">
      <formula>100</formula>
    </cfRule>
  </conditionalFormatting>
  <conditionalFormatting sqref="J26 H26 F2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topLeftCell="C1" workbookViewId="0">
      <selection activeCell="C11" sqref="C11"/>
    </sheetView>
  </sheetViews>
  <sheetFormatPr defaultRowHeight="14.4"/>
  <cols>
    <col min="20" max="20" width="14.5546875" customWidth="1"/>
  </cols>
  <sheetData>
    <row r="1" spans="1:20" ht="15" thickBot="1">
      <c r="A1" s="3827" t="s">
        <v>3469</v>
      </c>
      <c r="B1" s="3827" t="s">
        <v>3424</v>
      </c>
      <c r="C1" s="3827" t="s">
        <v>3425</v>
      </c>
      <c r="D1" s="3827" t="s">
        <v>3426</v>
      </c>
      <c r="E1" s="3827" t="s">
        <v>3427</v>
      </c>
      <c r="F1" s="3827" t="s">
        <v>3428</v>
      </c>
      <c r="G1" s="3827" t="s">
        <v>3429</v>
      </c>
      <c r="H1" s="3827" t="s">
        <v>3430</v>
      </c>
      <c r="I1" s="3827" t="s">
        <v>3431</v>
      </c>
      <c r="J1" s="3827" t="s">
        <v>3432</v>
      </c>
      <c r="K1" s="3827" t="s">
        <v>3433</v>
      </c>
      <c r="L1" s="3827" t="s">
        <v>3434</v>
      </c>
      <c r="M1" s="3827" t="s">
        <v>3435</v>
      </c>
      <c r="N1" s="3827" t="s">
        <v>3436</v>
      </c>
      <c r="O1" s="3827" t="s">
        <v>3437</v>
      </c>
      <c r="P1" s="3827" t="s">
        <v>3438</v>
      </c>
      <c r="Q1" s="3827" t="s">
        <v>3439</v>
      </c>
      <c r="R1" s="3827" t="s">
        <v>3440</v>
      </c>
      <c r="S1" s="3827" t="s">
        <v>3441</v>
      </c>
      <c r="T1" s="3827" t="s">
        <v>3442</v>
      </c>
    </row>
    <row r="2" spans="1:20" ht="34.799999999999997" thickBot="1">
      <c r="A2" s="3479">
        <v>13</v>
      </c>
      <c r="B2" s="3479" t="s">
        <v>3470</v>
      </c>
      <c r="C2" s="3479" t="s">
        <v>3471</v>
      </c>
      <c r="D2" s="3479" t="s">
        <v>3459</v>
      </c>
      <c r="E2" s="3479" t="s">
        <v>3472</v>
      </c>
      <c r="F2" s="3479" t="s">
        <v>3473</v>
      </c>
      <c r="G2" s="3479" t="s">
        <v>3460</v>
      </c>
      <c r="H2" s="3479" t="s">
        <v>3443</v>
      </c>
      <c r="I2" s="3479">
        <v>80.52</v>
      </c>
      <c r="J2" s="3479" t="s">
        <v>3386</v>
      </c>
      <c r="K2" s="3479" t="s">
        <v>3474</v>
      </c>
      <c r="L2" s="3479">
        <v>18</v>
      </c>
      <c r="M2" s="3479" t="s">
        <v>633</v>
      </c>
      <c r="N2" s="3479">
        <v>2013</v>
      </c>
      <c r="O2" s="3479" t="s">
        <v>633</v>
      </c>
      <c r="P2" s="3479" t="s">
        <v>633</v>
      </c>
      <c r="Q2" s="3479">
        <v>31545</v>
      </c>
      <c r="R2" s="3479">
        <v>31548</v>
      </c>
      <c r="S2" s="3479">
        <v>2540245</v>
      </c>
      <c r="T2" s="3480">
        <v>45407</v>
      </c>
    </row>
    <row r="3" spans="1:20" ht="34.799999999999997" thickBot="1">
      <c r="A3" s="3828">
        <v>14</v>
      </c>
      <c r="B3" s="3829" t="s">
        <v>3475</v>
      </c>
      <c r="C3" s="3829" t="s">
        <v>3476</v>
      </c>
      <c r="D3" s="3829" t="s">
        <v>3459</v>
      </c>
      <c r="E3" s="3829" t="s">
        <v>3477</v>
      </c>
      <c r="F3" s="3829" t="s">
        <v>3473</v>
      </c>
      <c r="G3" s="3829" t="s">
        <v>3460</v>
      </c>
      <c r="H3" s="3829" t="s">
        <v>3443</v>
      </c>
      <c r="I3" s="3829">
        <v>62.06</v>
      </c>
      <c r="J3" s="3829" t="s">
        <v>3386</v>
      </c>
      <c r="K3" s="3829" t="s">
        <v>3478</v>
      </c>
      <c r="L3" s="3829">
        <v>9</v>
      </c>
      <c r="M3" s="3829">
        <v>2013</v>
      </c>
      <c r="N3" s="3829" t="s">
        <v>633</v>
      </c>
      <c r="O3" s="3829" t="s">
        <v>633</v>
      </c>
      <c r="P3" s="3829" t="s">
        <v>633</v>
      </c>
      <c r="Q3" s="3829">
        <v>36255</v>
      </c>
      <c r="R3" s="3829">
        <v>38106</v>
      </c>
      <c r="S3" s="3829">
        <v>2364858</v>
      </c>
      <c r="T3" s="3830">
        <v>45322</v>
      </c>
    </row>
    <row r="4" spans="1:20" ht="34.799999999999997" thickBot="1">
      <c r="A4" s="3828">
        <v>15</v>
      </c>
      <c r="B4" s="3828" t="s">
        <v>3479</v>
      </c>
      <c r="C4" s="3828" t="s">
        <v>3471</v>
      </c>
      <c r="D4" s="3828" t="s">
        <v>3459</v>
      </c>
      <c r="E4" s="3828" t="s">
        <v>3480</v>
      </c>
      <c r="F4" s="3828" t="s">
        <v>3473</v>
      </c>
      <c r="G4" s="3828" t="s">
        <v>3460</v>
      </c>
      <c r="H4" s="3828" t="s">
        <v>3443</v>
      </c>
      <c r="I4" s="3828">
        <v>88.55</v>
      </c>
      <c r="J4" s="3828" t="s">
        <v>3386</v>
      </c>
      <c r="K4" s="3828" t="s">
        <v>3481</v>
      </c>
      <c r="L4" s="3828">
        <v>10</v>
      </c>
      <c r="M4" s="3828">
        <v>2013</v>
      </c>
      <c r="N4" s="3828" t="s">
        <v>633</v>
      </c>
      <c r="O4" s="3828" t="s">
        <v>633</v>
      </c>
      <c r="P4" s="3828" t="s">
        <v>633</v>
      </c>
      <c r="Q4" s="3828">
        <v>37041</v>
      </c>
      <c r="R4" s="3828">
        <v>34627</v>
      </c>
      <c r="S4" s="3828">
        <v>3066221</v>
      </c>
      <c r="T4" s="3831">
        <v>45295</v>
      </c>
    </row>
    <row r="5" spans="1:20" ht="34.799999999999997" thickBot="1">
      <c r="A5" s="3832">
        <v>16</v>
      </c>
      <c r="B5" s="3832" t="s">
        <v>3482</v>
      </c>
      <c r="C5" s="3832" t="s">
        <v>3483</v>
      </c>
      <c r="D5" s="3832" t="s">
        <v>3459</v>
      </c>
      <c r="E5" s="3832" t="s">
        <v>3484</v>
      </c>
      <c r="F5" s="3832" t="s">
        <v>3473</v>
      </c>
      <c r="G5" s="3832" t="s">
        <v>3460</v>
      </c>
      <c r="H5" s="3832" t="s">
        <v>3443</v>
      </c>
      <c r="I5" s="3832">
        <v>61.45</v>
      </c>
      <c r="J5" s="3832" t="s">
        <v>3386</v>
      </c>
      <c r="K5" s="3832" t="s">
        <v>3485</v>
      </c>
      <c r="L5" s="3832">
        <v>11</v>
      </c>
      <c r="M5" s="3832">
        <v>2013</v>
      </c>
      <c r="N5" s="3832" t="s">
        <v>633</v>
      </c>
      <c r="O5" s="3832" t="s">
        <v>633</v>
      </c>
      <c r="P5" s="3832" t="s">
        <v>633</v>
      </c>
      <c r="Q5" s="3832">
        <v>34662</v>
      </c>
      <c r="R5" s="3832">
        <v>33978</v>
      </c>
      <c r="S5" s="3832">
        <v>2087948</v>
      </c>
      <c r="T5" s="3833">
        <v>45293</v>
      </c>
    </row>
    <row r="6" spans="1:20" ht="34.799999999999997" thickBot="1">
      <c r="A6" s="3472">
        <v>17</v>
      </c>
      <c r="B6" s="3472" t="s">
        <v>3486</v>
      </c>
      <c r="C6" s="3472" t="s">
        <v>3487</v>
      </c>
      <c r="D6" s="3472" t="s">
        <v>3459</v>
      </c>
      <c r="E6" s="3472" t="s">
        <v>3488</v>
      </c>
      <c r="F6" s="3472" t="s">
        <v>3473</v>
      </c>
      <c r="G6" s="3472" t="s">
        <v>3461</v>
      </c>
      <c r="H6" s="3472" t="s">
        <v>3443</v>
      </c>
      <c r="I6" s="3472">
        <v>61.71</v>
      </c>
      <c r="J6" s="3472" t="s">
        <v>3386</v>
      </c>
      <c r="K6" s="3472" t="s">
        <v>3485</v>
      </c>
      <c r="L6" s="3472">
        <v>10</v>
      </c>
      <c r="M6" s="3472">
        <v>2013</v>
      </c>
      <c r="N6" s="3472" t="s">
        <v>633</v>
      </c>
      <c r="O6" s="3472" t="s">
        <v>633</v>
      </c>
      <c r="P6" s="3472" t="s">
        <v>633</v>
      </c>
      <c r="Q6" s="3472">
        <v>34840</v>
      </c>
      <c r="R6" s="3472">
        <v>33652</v>
      </c>
      <c r="S6" s="3472">
        <v>2076665</v>
      </c>
      <c r="T6" s="3473">
        <v>45269</v>
      </c>
    </row>
    <row r="7" spans="1:20" ht="34.799999999999997" thickBot="1">
      <c r="A7" s="3470">
        <v>18</v>
      </c>
      <c r="B7" s="3470" t="s">
        <v>3489</v>
      </c>
      <c r="C7" s="3470" t="s">
        <v>3490</v>
      </c>
      <c r="D7" s="3470" t="s">
        <v>3459</v>
      </c>
      <c r="E7" s="3470" t="s">
        <v>3491</v>
      </c>
      <c r="F7" s="3470" t="s">
        <v>3473</v>
      </c>
      <c r="G7" s="3470" t="s">
        <v>3460</v>
      </c>
      <c r="H7" s="3470" t="s">
        <v>3443</v>
      </c>
      <c r="I7" s="3470">
        <v>59.56</v>
      </c>
      <c r="J7" s="3470" t="s">
        <v>3386</v>
      </c>
      <c r="K7" s="3470" t="s">
        <v>3492</v>
      </c>
      <c r="L7" s="3470">
        <v>7</v>
      </c>
      <c r="M7" s="3470" t="s">
        <v>633</v>
      </c>
      <c r="N7" s="3470">
        <v>2013</v>
      </c>
      <c r="O7" s="3470" t="s">
        <v>633</v>
      </c>
      <c r="P7" s="3470" t="s">
        <v>633</v>
      </c>
      <c r="Q7" s="3470">
        <v>39960</v>
      </c>
      <c r="R7" s="3470">
        <v>39498</v>
      </c>
      <c r="S7" s="3470">
        <v>2352501</v>
      </c>
      <c r="T7" s="3471">
        <v>45253</v>
      </c>
    </row>
    <row r="8" spans="1:20" ht="34.799999999999997" thickBot="1">
      <c r="A8" s="3472">
        <v>19</v>
      </c>
      <c r="B8" s="3472" t="s">
        <v>3493</v>
      </c>
      <c r="C8" s="3472" t="s">
        <v>3494</v>
      </c>
      <c r="D8" s="3472" t="s">
        <v>3459</v>
      </c>
      <c r="E8" s="3472" t="s">
        <v>3495</v>
      </c>
      <c r="F8" s="3472" t="s">
        <v>3473</v>
      </c>
      <c r="G8" s="3472" t="s">
        <v>3460</v>
      </c>
      <c r="H8" s="3472" t="s">
        <v>3443</v>
      </c>
      <c r="I8" s="3472">
        <v>60.41</v>
      </c>
      <c r="J8" s="3472" t="s">
        <v>3386</v>
      </c>
      <c r="K8" s="3472" t="s">
        <v>3481</v>
      </c>
      <c r="L8" s="3472">
        <v>7</v>
      </c>
      <c r="M8" s="3472">
        <v>2013</v>
      </c>
      <c r="N8" s="3472" t="s">
        <v>633</v>
      </c>
      <c r="O8" s="3472" t="s">
        <v>633</v>
      </c>
      <c r="P8" s="3472" t="s">
        <v>633</v>
      </c>
      <c r="Q8" s="3472">
        <v>42708</v>
      </c>
      <c r="R8" s="3472">
        <v>38469</v>
      </c>
      <c r="S8" s="3472">
        <v>2323912</v>
      </c>
      <c r="T8" s="3473">
        <v>45188</v>
      </c>
    </row>
    <row r="9" spans="1:20" ht="34.799999999999997" thickBot="1">
      <c r="A9" s="3470">
        <v>20</v>
      </c>
      <c r="B9" s="3470" t="s">
        <v>3496</v>
      </c>
      <c r="C9" s="3470" t="s">
        <v>3497</v>
      </c>
      <c r="D9" s="3470" t="s">
        <v>3459</v>
      </c>
      <c r="E9" s="3470" t="s">
        <v>3498</v>
      </c>
      <c r="F9" s="3470" t="s">
        <v>3473</v>
      </c>
      <c r="G9" s="3470" t="s">
        <v>3460</v>
      </c>
      <c r="H9" s="3470" t="s">
        <v>3443</v>
      </c>
      <c r="I9" s="3470">
        <v>79.83</v>
      </c>
      <c r="J9" s="3470" t="s">
        <v>3386</v>
      </c>
      <c r="K9" s="3470" t="s">
        <v>3474</v>
      </c>
      <c r="L9" s="3470">
        <v>18</v>
      </c>
      <c r="M9" s="3470">
        <v>2013</v>
      </c>
      <c r="N9" s="3470" t="s">
        <v>633</v>
      </c>
      <c r="O9" s="3470" t="s">
        <v>633</v>
      </c>
      <c r="P9" s="3470" t="s">
        <v>633</v>
      </c>
      <c r="Q9" s="3470">
        <v>36327</v>
      </c>
      <c r="R9" s="3470">
        <v>34540</v>
      </c>
      <c r="S9" s="3470">
        <v>2757328</v>
      </c>
      <c r="T9" s="3471">
        <v>45059</v>
      </c>
    </row>
    <row r="10" spans="1:20" ht="34.799999999999997" thickBot="1">
      <c r="A10" s="3476">
        <v>21</v>
      </c>
      <c r="B10" s="3476" t="s">
        <v>3499</v>
      </c>
      <c r="C10" s="3476" t="s">
        <v>3471</v>
      </c>
      <c r="D10" s="3476" t="s">
        <v>3459</v>
      </c>
      <c r="E10" s="3476" t="s">
        <v>3500</v>
      </c>
      <c r="F10" s="3476" t="s">
        <v>3473</v>
      </c>
      <c r="G10" s="3476" t="s">
        <v>3460</v>
      </c>
      <c r="H10" s="3476" t="s">
        <v>3443</v>
      </c>
      <c r="I10" s="3476">
        <v>80.86</v>
      </c>
      <c r="J10" s="3476" t="s">
        <v>3386</v>
      </c>
      <c r="K10" s="3476" t="s">
        <v>3474</v>
      </c>
      <c r="L10" s="3476">
        <v>8</v>
      </c>
      <c r="M10" s="3476">
        <v>2013</v>
      </c>
      <c r="N10" s="3476" t="s">
        <v>633</v>
      </c>
      <c r="O10" s="3476" t="s">
        <v>633</v>
      </c>
      <c r="P10" s="3476" t="s">
        <v>633</v>
      </c>
      <c r="Q10" s="3476">
        <v>37225</v>
      </c>
      <c r="R10" s="3476">
        <v>34766</v>
      </c>
      <c r="S10" s="3476">
        <v>2811179</v>
      </c>
      <c r="T10" s="3477">
        <v>44897</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80.66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1768</v>
      </c>
      <c r="B4" s="356"/>
      <c r="C4" s="3730" t="s">
        <v>1769</v>
      </c>
      <c r="D4" s="3731"/>
      <c r="E4" s="3732" t="s">
        <v>1770</v>
      </c>
      <c r="F4" s="3733"/>
      <c r="G4" s="3730" t="s">
        <v>1771</v>
      </c>
      <c r="H4" s="3731"/>
      <c r="I4" s="3730" t="s">
        <v>1772</v>
      </c>
      <c r="J4" s="3731"/>
      <c r="K4" s="559" t="s">
        <v>1773</v>
      </c>
      <c r="L4" s="2715"/>
      <c r="M4" s="2716"/>
      <c r="N4" s="2716"/>
      <c r="O4" s="2716"/>
      <c r="P4" s="3734" t="s">
        <v>1774</v>
      </c>
      <c r="Q4" s="3735"/>
      <c r="R4" s="3740" t="s">
        <v>1770</v>
      </c>
      <c r="S4" s="3741"/>
      <c r="T4" s="3740" t="s">
        <v>1771</v>
      </c>
      <c r="U4" s="3741"/>
      <c r="V4" s="3746" t="s">
        <v>1772</v>
      </c>
      <c r="W4" s="3746"/>
      <c r="X4" s="1355"/>
      <c r="Y4" s="3740" t="s">
        <v>1774</v>
      </c>
      <c r="Z4" s="3741"/>
      <c r="AA4" s="3727" t="s">
        <v>1770</v>
      </c>
      <c r="AB4" s="3746" t="s">
        <v>1771</v>
      </c>
      <c r="AC4" s="3727" t="s">
        <v>1772</v>
      </c>
    </row>
    <row r="5" spans="1:29">
      <c r="A5" s="358"/>
      <c r="B5" s="359"/>
      <c r="C5" s="3761" t="s">
        <v>1673</v>
      </c>
      <c r="D5" s="3755"/>
      <c r="E5" s="3763" t="s">
        <v>1674</v>
      </c>
      <c r="F5" s="3764"/>
      <c r="G5" s="3761" t="s">
        <v>1675</v>
      </c>
      <c r="H5" s="3755"/>
      <c r="I5" s="3761" t="s">
        <v>1676</v>
      </c>
      <c r="J5" s="3755"/>
      <c r="K5" s="559"/>
      <c r="L5" s="2715"/>
      <c r="M5" s="2716"/>
      <c r="N5" s="2716"/>
      <c r="O5" s="2716"/>
      <c r="P5" s="3736"/>
      <c r="Q5" s="3737"/>
      <c r="R5" s="3742"/>
      <c r="S5" s="3743"/>
      <c r="T5" s="3742"/>
      <c r="U5" s="3743"/>
      <c r="V5" s="3746"/>
      <c r="W5" s="3746"/>
      <c r="X5" s="1355"/>
      <c r="Y5" s="3742"/>
      <c r="Z5" s="3743"/>
      <c r="AA5" s="3728"/>
      <c r="AB5" s="3746"/>
      <c r="AC5" s="3728"/>
    </row>
    <row r="6" spans="1:29" ht="15" thickBot="1">
      <c r="A6" s="360"/>
      <c r="B6" s="361"/>
      <c r="C6" s="3760" t="s">
        <v>1677</v>
      </c>
      <c r="D6" s="3748"/>
      <c r="E6" s="3762" t="s">
        <v>1677</v>
      </c>
      <c r="F6" s="3757"/>
      <c r="G6" s="3760" t="s">
        <v>1677</v>
      </c>
      <c r="H6" s="3748"/>
      <c r="I6" s="3760" t="s">
        <v>1677</v>
      </c>
      <c r="J6" s="3748"/>
      <c r="K6" s="559" t="s">
        <v>1678</v>
      </c>
      <c r="L6" s="2715"/>
      <c r="M6" s="2716"/>
      <c r="N6" s="2716"/>
      <c r="O6" s="2716"/>
      <c r="P6" s="3738"/>
      <c r="Q6" s="3739"/>
      <c r="R6" s="3742"/>
      <c r="S6" s="3743"/>
      <c r="T6" s="3744"/>
      <c r="U6" s="3745"/>
      <c r="V6" s="3746"/>
      <c r="W6" s="3746"/>
      <c r="X6" s="1355"/>
      <c r="Y6" s="3744"/>
      <c r="Z6" s="3745"/>
      <c r="AA6" s="3729"/>
      <c r="AB6" s="3746"/>
      <c r="AC6" s="3729"/>
    </row>
    <row r="7" spans="1:29" s="108" customFormat="1" ht="15" thickBot="1">
      <c r="A7" s="362" t="s">
        <v>1679</v>
      </c>
      <c r="B7" s="363"/>
      <c r="C7" s="364">
        <f>'数据-取费表'!B2</f>
        <v>45371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51" t="s">
        <v>1683</v>
      </c>
      <c r="Q8" s="3752"/>
      <c r="R8" s="701" t="s">
        <v>14</v>
      </c>
      <c r="S8" s="702">
        <f t="shared" si="0"/>
        <v>100</v>
      </c>
      <c r="T8" s="701" t="s">
        <v>14</v>
      </c>
      <c r="U8" s="702">
        <f t="shared" si="1"/>
        <v>100</v>
      </c>
      <c r="V8" s="701" t="s">
        <v>14</v>
      </c>
      <c r="W8" s="702">
        <f t="shared" si="2"/>
        <v>100</v>
      </c>
      <c r="X8" s="703"/>
      <c r="Y8" s="3751" t="s">
        <v>1683</v>
      </c>
      <c r="Z8" s="375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9" t="s">
        <v>1695</v>
      </c>
      <c r="Q32" s="1352" t="str">
        <f t="shared" si="11"/>
        <v>商业类型</v>
      </c>
      <c r="R32" s="705" t="s">
        <v>14</v>
      </c>
      <c r="S32" s="706">
        <f t="shared" si="12"/>
        <v>100</v>
      </c>
      <c r="T32" s="705" t="s">
        <v>14</v>
      </c>
      <c r="U32" s="706">
        <f t="shared" si="13"/>
        <v>100</v>
      </c>
      <c r="V32" s="705" t="s">
        <v>14</v>
      </c>
      <c r="W32" s="706">
        <f t="shared" si="14"/>
        <v>100</v>
      </c>
      <c r="X32" s="1355"/>
      <c r="Y32" s="372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0"/>
      <c r="Q36" s="1352" t="str">
        <f t="shared" si="11"/>
        <v>成新度</v>
      </c>
      <c r="R36" s="705" t="s">
        <v>14</v>
      </c>
      <c r="S36" s="706" t="e">
        <f t="shared" si="12"/>
        <v>#N/A</v>
      </c>
      <c r="T36" s="705" t="s">
        <v>14</v>
      </c>
      <c r="U36" s="706" t="e">
        <f t="shared" si="13"/>
        <v>#N/A</v>
      </c>
      <c r="V36" s="705" t="s">
        <v>14</v>
      </c>
      <c r="W36" s="706" t="e">
        <f t="shared" si="14"/>
        <v>#N/A</v>
      </c>
      <c r="X36" s="1355"/>
      <c r="Y36" s="372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0" t="s">
        <v>1695</v>
      </c>
      <c r="Q38" s="1352" t="str">
        <f t="shared" si="11"/>
        <v>业态</v>
      </c>
      <c r="R38" s="705" t="s">
        <v>14</v>
      </c>
      <c r="S38" s="706">
        <f t="shared" si="12"/>
        <v>100</v>
      </c>
      <c r="T38" s="705" t="s">
        <v>14</v>
      </c>
      <c r="U38" s="706">
        <f t="shared" si="13"/>
        <v>100</v>
      </c>
      <c r="V38" s="705" t="s">
        <v>14</v>
      </c>
      <c r="W38" s="706">
        <f t="shared" si="14"/>
        <v>100</v>
      </c>
      <c r="X38" s="1355"/>
      <c r="Y38" s="372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4"/>
      <c r="M47" s="2725"/>
      <c r="N47" s="2716"/>
      <c r="O47" s="2725"/>
      <c r="P47" s="3715" t="str">
        <f>A47</f>
        <v>成交单价（元/平方米）</v>
      </c>
      <c r="Q47" s="3715"/>
      <c r="R47" s="3746">
        <f>E47</f>
        <v>0</v>
      </c>
      <c r="S47" s="3746"/>
      <c r="T47" s="3746">
        <f>G47</f>
        <v>0</v>
      </c>
      <c r="U47" s="3746"/>
      <c r="V47" s="3746">
        <f>I47</f>
        <v>0</v>
      </c>
      <c r="W47" s="3746"/>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4"/>
      <c r="M49" s="2725"/>
      <c r="N49" s="2716"/>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1718</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估价对象为北京市房地产，为所有。根据《国有土地使用证》[]，估价对象（分摊）出让国有建设用地使用权面积为0平方米，建筑面积为80.66平方米。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估价对象为北京市房地产,属开发建设的，该项目尚在开发建设中。根据《国有土地使用证》[]，估价对象（分摊）出让国有建设用地使用权面积为0平方米，规划建筑面积为80.66平方米。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2024年3月20日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80.66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1768</v>
      </c>
      <c r="B4" s="356"/>
      <c r="C4" s="3730" t="s">
        <v>1769</v>
      </c>
      <c r="D4" s="3731"/>
      <c r="E4" s="3732" t="s">
        <v>1770</v>
      </c>
      <c r="F4" s="3733"/>
      <c r="G4" s="3730" t="s">
        <v>1771</v>
      </c>
      <c r="H4" s="3731"/>
      <c r="I4" s="3730" t="s">
        <v>1772</v>
      </c>
      <c r="J4" s="3731"/>
      <c r="K4" s="559" t="s">
        <v>1773</v>
      </c>
      <c r="L4" s="2715"/>
      <c r="M4" s="2716"/>
      <c r="N4" s="2716"/>
      <c r="O4" s="2716"/>
      <c r="P4" s="3771" t="s">
        <v>1774</v>
      </c>
      <c r="Q4" s="3772"/>
      <c r="R4" s="3775" t="s">
        <v>1770</v>
      </c>
      <c r="S4" s="3776"/>
      <c r="T4" s="3775" t="s">
        <v>1771</v>
      </c>
      <c r="U4" s="3776"/>
      <c r="V4" s="3777" t="s">
        <v>1772</v>
      </c>
      <c r="W4" s="3777"/>
      <c r="X4" s="1958"/>
      <c r="Y4" s="3775" t="s">
        <v>1774</v>
      </c>
      <c r="Z4" s="3776"/>
      <c r="AA4" s="3779" t="s">
        <v>1770</v>
      </c>
      <c r="AB4" s="3779" t="s">
        <v>1771</v>
      </c>
      <c r="AC4" s="3768" t="s">
        <v>1772</v>
      </c>
    </row>
    <row r="5" spans="1:29">
      <c r="A5" s="358"/>
      <c r="B5" s="359"/>
      <c r="C5" s="3761" t="s">
        <v>1673</v>
      </c>
      <c r="D5" s="3755"/>
      <c r="E5" s="3763" t="s">
        <v>1674</v>
      </c>
      <c r="F5" s="3764"/>
      <c r="G5" s="3761" t="s">
        <v>1675</v>
      </c>
      <c r="H5" s="3755"/>
      <c r="I5" s="3761" t="s">
        <v>1676</v>
      </c>
      <c r="J5" s="3755"/>
      <c r="K5" s="559"/>
      <c r="L5" s="2715"/>
      <c r="M5" s="2716"/>
      <c r="N5" s="2716"/>
      <c r="O5" s="2716"/>
      <c r="P5" s="3773"/>
      <c r="Q5" s="3737"/>
      <c r="R5" s="3742"/>
      <c r="S5" s="3743"/>
      <c r="T5" s="3742"/>
      <c r="U5" s="3743"/>
      <c r="V5" s="3746"/>
      <c r="W5" s="3746"/>
      <c r="X5" s="1355"/>
      <c r="Y5" s="3742"/>
      <c r="Z5" s="3743"/>
      <c r="AA5" s="3728"/>
      <c r="AB5" s="3728"/>
      <c r="AC5" s="3769"/>
    </row>
    <row r="6" spans="1:29" ht="15" thickBot="1">
      <c r="A6" s="360"/>
      <c r="B6" s="361"/>
      <c r="C6" s="3760" t="s">
        <v>1677</v>
      </c>
      <c r="D6" s="3748"/>
      <c r="E6" s="3762" t="s">
        <v>1677</v>
      </c>
      <c r="F6" s="3757"/>
      <c r="G6" s="3760" t="s">
        <v>1677</v>
      </c>
      <c r="H6" s="3748"/>
      <c r="I6" s="3760" t="s">
        <v>1677</v>
      </c>
      <c r="J6" s="3748"/>
      <c r="K6" s="559" t="s">
        <v>1678</v>
      </c>
      <c r="L6" s="2715"/>
      <c r="M6" s="2716"/>
      <c r="N6" s="2716"/>
      <c r="O6" s="2716"/>
      <c r="P6" s="3774"/>
      <c r="Q6" s="3739"/>
      <c r="R6" s="3742"/>
      <c r="S6" s="3743"/>
      <c r="T6" s="3744"/>
      <c r="U6" s="3745"/>
      <c r="V6" s="3746"/>
      <c r="W6" s="3746"/>
      <c r="X6" s="1355"/>
      <c r="Y6" s="3744"/>
      <c r="Z6" s="3745"/>
      <c r="AA6" s="3729"/>
      <c r="AB6" s="3729"/>
      <c r="AC6" s="3770"/>
    </row>
    <row r="7" spans="1:29" s="108" customFormat="1" ht="15" thickBot="1">
      <c r="A7" s="362" t="s">
        <v>1679</v>
      </c>
      <c r="B7" s="363"/>
      <c r="C7" s="364">
        <f>'数据-取费表'!B2</f>
        <v>45371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8"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8" t="s">
        <v>1683</v>
      </c>
      <c r="Q8" s="3752"/>
      <c r="R8" s="701" t="s">
        <v>14</v>
      </c>
      <c r="S8" s="702">
        <f t="shared" si="0"/>
        <v>100</v>
      </c>
      <c r="T8" s="701" t="s">
        <v>14</v>
      </c>
      <c r="U8" s="702">
        <f t="shared" si="1"/>
        <v>100</v>
      </c>
      <c r="V8" s="701" t="s">
        <v>14</v>
      </c>
      <c r="W8" s="702">
        <f t="shared" si="2"/>
        <v>100</v>
      </c>
      <c r="X8" s="703"/>
      <c r="Y8" s="3751" t="s">
        <v>1683</v>
      </c>
      <c r="Z8" s="375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1695</v>
      </c>
      <c r="Q33" s="1352" t="str">
        <f t="shared" si="11"/>
        <v>建筑类型</v>
      </c>
      <c r="R33" s="705" t="s">
        <v>14</v>
      </c>
      <c r="S33" s="706">
        <f t="shared" si="12"/>
        <v>100</v>
      </c>
      <c r="T33" s="705" t="s">
        <v>14</v>
      </c>
      <c r="U33" s="706">
        <f t="shared" si="13"/>
        <v>100</v>
      </c>
      <c r="V33" s="705" t="s">
        <v>14</v>
      </c>
      <c r="W33" s="706">
        <f t="shared" si="14"/>
        <v>100</v>
      </c>
      <c r="X33" s="1355"/>
      <c r="Y33" s="372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1695</v>
      </c>
      <c r="Q39" s="1352" t="str">
        <f t="shared" si="11"/>
        <v>物业管理</v>
      </c>
      <c r="R39" s="705" t="s">
        <v>14</v>
      </c>
      <c r="S39" s="706">
        <f t="shared" si="12"/>
        <v>100</v>
      </c>
      <c r="T39" s="705" t="s">
        <v>14</v>
      </c>
      <c r="U39" s="706">
        <f t="shared" si="13"/>
        <v>100</v>
      </c>
      <c r="V39" s="705" t="s">
        <v>14</v>
      </c>
      <c r="W39" s="706">
        <f t="shared" si="14"/>
        <v>100</v>
      </c>
      <c r="X39" s="1355"/>
      <c r="Y39" s="372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4"/>
      <c r="M48" s="2716"/>
      <c r="N48" s="2716"/>
      <c r="O48" s="2716"/>
      <c r="P48" s="3726" t="str">
        <f>A48</f>
        <v>成交单价（元/平方米）</v>
      </c>
      <c r="Q48" s="3715"/>
      <c r="R48" s="3716">
        <f>E48</f>
        <v>0</v>
      </c>
      <c r="S48" s="3716"/>
      <c r="T48" s="3716">
        <f>G48</f>
        <v>0</v>
      </c>
      <c r="U48" s="3716"/>
      <c r="V48" s="3716">
        <f>I48</f>
        <v>0</v>
      </c>
      <c r="W48" s="3716"/>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26"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4"/>
      <c r="M50" s="2716"/>
      <c r="N50" s="2716"/>
      <c r="O50" s="2716"/>
      <c r="P50" s="3765" t="str">
        <f>A50</f>
        <v>估价对象XX用房的比较价值（楼面单价，元/平方米）</v>
      </c>
      <c r="Q50" s="3766"/>
      <c r="R50" s="3767" t="e">
        <f>IF(F1="售价",ROUND(IF(D49="简单平均",AVERAGE(R49:V49),R49*F49+T49*H49+V49*J49),0),ROUND(IF(D49="简单平均",AVERAGE(R49:V49),R49*F49+T49*H49+V49*J49),1))</f>
        <v>#DIV/0!</v>
      </c>
      <c r="S50" s="3767"/>
      <c r="T50" s="3767"/>
      <c r="U50" s="3767"/>
      <c r="V50" s="3767"/>
      <c r="W50" s="376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1718</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80.66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30" t="s">
        <v>1769</v>
      </c>
      <c r="D4" s="3731"/>
      <c r="E4" s="3732" t="s">
        <v>1770</v>
      </c>
      <c r="F4" s="3733"/>
      <c r="G4" s="3730" t="s">
        <v>1771</v>
      </c>
      <c r="H4" s="3731"/>
      <c r="I4" s="3730" t="s">
        <v>1772</v>
      </c>
      <c r="J4" s="3731"/>
      <c r="K4" s="559" t="s">
        <v>1773</v>
      </c>
      <c r="L4" s="913"/>
      <c r="M4" s="914"/>
      <c r="N4" s="914"/>
      <c r="O4" s="914"/>
      <c r="P4" s="3734" t="s">
        <v>1774</v>
      </c>
      <c r="Q4" s="3735"/>
      <c r="R4" s="3740" t="s">
        <v>1770</v>
      </c>
      <c r="S4" s="3741"/>
      <c r="T4" s="3740" t="s">
        <v>1771</v>
      </c>
      <c r="U4" s="3741"/>
      <c r="V4" s="3746" t="s">
        <v>1772</v>
      </c>
      <c r="W4" s="3746"/>
      <c r="X4" s="1355"/>
      <c r="Y4" s="3740" t="s">
        <v>1774</v>
      </c>
      <c r="Z4" s="3741"/>
      <c r="AA4" s="3727" t="s">
        <v>1770</v>
      </c>
      <c r="AB4" s="3728" t="s">
        <v>1771</v>
      </c>
      <c r="AC4" s="3727" t="s">
        <v>1772</v>
      </c>
    </row>
    <row r="5" spans="1:29">
      <c r="A5" s="358"/>
      <c r="B5" s="359"/>
      <c r="C5" s="3761" t="s">
        <v>1673</v>
      </c>
      <c r="D5" s="3755"/>
      <c r="E5" s="3763" t="s">
        <v>1674</v>
      </c>
      <c r="F5" s="3764"/>
      <c r="G5" s="3761" t="s">
        <v>1675</v>
      </c>
      <c r="H5" s="3755"/>
      <c r="I5" s="3761" t="s">
        <v>1676</v>
      </c>
      <c r="J5" s="3755"/>
      <c r="K5" s="559"/>
      <c r="L5" s="913"/>
      <c r="M5" s="914"/>
      <c r="N5" s="914"/>
      <c r="O5" s="914"/>
      <c r="P5" s="3736"/>
      <c r="Q5" s="3737"/>
      <c r="R5" s="3742"/>
      <c r="S5" s="3743"/>
      <c r="T5" s="3742"/>
      <c r="U5" s="3743"/>
      <c r="V5" s="3746"/>
      <c r="W5" s="3746"/>
      <c r="X5" s="1355"/>
      <c r="Y5" s="3742"/>
      <c r="Z5" s="3743"/>
      <c r="AA5" s="3728"/>
      <c r="AB5" s="3728"/>
      <c r="AC5" s="3728"/>
    </row>
    <row r="6" spans="1:29" ht="15" thickBot="1">
      <c r="A6" s="360"/>
      <c r="B6" s="361"/>
      <c r="C6" s="3760" t="s">
        <v>1677</v>
      </c>
      <c r="D6" s="3748"/>
      <c r="E6" s="3762" t="s">
        <v>1677</v>
      </c>
      <c r="F6" s="3757"/>
      <c r="G6" s="3760" t="s">
        <v>1677</v>
      </c>
      <c r="H6" s="3748"/>
      <c r="I6" s="3760" t="s">
        <v>1677</v>
      </c>
      <c r="J6" s="3748"/>
      <c r="K6" s="559" t="s">
        <v>1678</v>
      </c>
      <c r="L6" s="913"/>
      <c r="M6" s="914"/>
      <c r="N6" s="914"/>
      <c r="O6" s="914"/>
      <c r="P6" s="3738"/>
      <c r="Q6" s="3739"/>
      <c r="R6" s="3742"/>
      <c r="S6" s="3743"/>
      <c r="T6" s="3744"/>
      <c r="U6" s="3745"/>
      <c r="V6" s="3746"/>
      <c r="W6" s="3746"/>
      <c r="X6" s="1355"/>
      <c r="Y6" s="3744"/>
      <c r="Z6" s="3745"/>
      <c r="AA6" s="3729"/>
      <c r="AB6" s="3729"/>
      <c r="AC6" s="3729"/>
    </row>
    <row r="7" spans="1:29" s="108" customFormat="1" ht="15" thickBot="1">
      <c r="A7" s="362" t="s">
        <v>1679</v>
      </c>
      <c r="B7" s="363"/>
      <c r="C7" s="364">
        <f>'数据-取费表'!B2</f>
        <v>45371</v>
      </c>
      <c r="D7" s="365">
        <v>100</v>
      </c>
      <c r="E7" s="366"/>
      <c r="F7" s="367">
        <f>SUMIF(52:52,YEAR(E7)&amp;"-"&amp;MONTH(E7),53:53)</f>
        <v>0</v>
      </c>
      <c r="G7" s="366"/>
      <c r="H7" s="365">
        <f>SUMIF(52:52,YEAR(G7)&amp;"-"&amp;MONTH(G7),53:53)</f>
        <v>0</v>
      </c>
      <c r="I7" s="366"/>
      <c r="J7" s="365">
        <f>SUMIF(52:52,YEAR(I7)&amp;"-"&amp;MONTH(I7),53:53)</f>
        <v>0</v>
      </c>
      <c r="K7" s="560"/>
      <c r="L7" s="915"/>
      <c r="M7" s="916"/>
      <c r="N7" s="916"/>
      <c r="O7" s="916"/>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1" t="s">
        <v>1683</v>
      </c>
      <c r="Q8" s="3752"/>
      <c r="R8" s="701" t="s">
        <v>14</v>
      </c>
      <c r="S8" s="702">
        <f t="shared" si="0"/>
        <v>100</v>
      </c>
      <c r="T8" s="701" t="s">
        <v>14</v>
      </c>
      <c r="U8" s="702">
        <f t="shared" si="1"/>
        <v>100</v>
      </c>
      <c r="V8" s="701" t="s">
        <v>14</v>
      </c>
      <c r="W8" s="702">
        <f t="shared" si="2"/>
        <v>100</v>
      </c>
      <c r="X8" s="703"/>
      <c r="Y8" s="3751" t="s">
        <v>1683</v>
      </c>
      <c r="Z8" s="375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0" t="s">
        <v>1695</v>
      </c>
      <c r="Q29" s="1352" t="str">
        <f t="shared" si="11"/>
        <v>建筑类型</v>
      </c>
      <c r="R29" s="705" t="s">
        <v>14</v>
      </c>
      <c r="S29" s="706">
        <f t="shared" si="12"/>
        <v>100</v>
      </c>
      <c r="T29" s="705" t="s">
        <v>14</v>
      </c>
      <c r="U29" s="706">
        <f t="shared" si="13"/>
        <v>100</v>
      </c>
      <c r="V29" s="705" t="s">
        <v>14</v>
      </c>
      <c r="W29" s="706">
        <f t="shared" si="14"/>
        <v>100</v>
      </c>
      <c r="X29" s="1355"/>
      <c r="Y29" s="372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1695</v>
      </c>
      <c r="Q35" s="1352" t="str">
        <f t="shared" si="11"/>
        <v>市政基础设施</v>
      </c>
      <c r="R35" s="705" t="s">
        <v>14</v>
      </c>
      <c r="S35" s="706">
        <f t="shared" si="12"/>
        <v>100</v>
      </c>
      <c r="T35" s="705" t="s">
        <v>14</v>
      </c>
      <c r="U35" s="706">
        <f t="shared" si="13"/>
        <v>100</v>
      </c>
      <c r="V35" s="705" t="s">
        <v>14</v>
      </c>
      <c r="W35" s="706">
        <f t="shared" si="14"/>
        <v>100</v>
      </c>
      <c r="X35" s="1355"/>
      <c r="Y35" s="372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1768</v>
      </c>
      <c r="B4" s="356"/>
      <c r="C4" s="3730" t="s">
        <v>1769</v>
      </c>
      <c r="D4" s="3731"/>
      <c r="E4" s="3732" t="s">
        <v>1770</v>
      </c>
      <c r="F4" s="3733"/>
      <c r="G4" s="3730" t="s">
        <v>1771</v>
      </c>
      <c r="H4" s="3731"/>
      <c r="I4" s="3730" t="s">
        <v>1772</v>
      </c>
      <c r="J4" s="3731"/>
      <c r="K4" s="559" t="s">
        <v>1773</v>
      </c>
      <c r="L4" s="2715"/>
      <c r="M4" s="2716"/>
      <c r="N4" s="2716"/>
      <c r="O4" s="2716"/>
      <c r="P4" s="3734" t="s">
        <v>1774</v>
      </c>
      <c r="Q4" s="3735"/>
      <c r="R4" s="3740" t="s">
        <v>1770</v>
      </c>
      <c r="S4" s="3741"/>
      <c r="T4" s="3740" t="s">
        <v>1771</v>
      </c>
      <c r="U4" s="3741"/>
      <c r="V4" s="3746" t="s">
        <v>1772</v>
      </c>
      <c r="W4" s="3746"/>
      <c r="X4" s="1355"/>
      <c r="Y4" s="3740" t="s">
        <v>1774</v>
      </c>
      <c r="Z4" s="3741"/>
      <c r="AA4" s="3727" t="s">
        <v>1770</v>
      </c>
      <c r="AB4" s="3728" t="s">
        <v>1771</v>
      </c>
      <c r="AC4" s="3727" t="s">
        <v>1772</v>
      </c>
    </row>
    <row r="5" spans="1:29">
      <c r="A5" s="358"/>
      <c r="B5" s="359"/>
      <c r="C5" s="3761" t="s">
        <v>1673</v>
      </c>
      <c r="D5" s="3755"/>
      <c r="E5" s="3763" t="s">
        <v>1674</v>
      </c>
      <c r="F5" s="3764"/>
      <c r="G5" s="3761" t="s">
        <v>1675</v>
      </c>
      <c r="H5" s="3755"/>
      <c r="I5" s="3761" t="s">
        <v>1676</v>
      </c>
      <c r="J5" s="3755"/>
      <c r="K5" s="559"/>
      <c r="L5" s="2715"/>
      <c r="M5" s="2716"/>
      <c r="N5" s="2716"/>
      <c r="O5" s="2716"/>
      <c r="P5" s="3736"/>
      <c r="Q5" s="3737"/>
      <c r="R5" s="3742"/>
      <c r="S5" s="3743"/>
      <c r="T5" s="3742"/>
      <c r="U5" s="3743"/>
      <c r="V5" s="3746"/>
      <c r="W5" s="3746"/>
      <c r="X5" s="1355"/>
      <c r="Y5" s="3742"/>
      <c r="Z5" s="3743"/>
      <c r="AA5" s="3728"/>
      <c r="AB5" s="3728"/>
      <c r="AC5" s="3728"/>
    </row>
    <row r="6" spans="1:29" ht="15" thickBot="1">
      <c r="A6" s="360"/>
      <c r="B6" s="361"/>
      <c r="C6" s="3760" t="s">
        <v>1677</v>
      </c>
      <c r="D6" s="3748"/>
      <c r="E6" s="3762" t="s">
        <v>1677</v>
      </c>
      <c r="F6" s="3757"/>
      <c r="G6" s="3760" t="s">
        <v>1677</v>
      </c>
      <c r="H6" s="3748"/>
      <c r="I6" s="3760" t="s">
        <v>1677</v>
      </c>
      <c r="J6" s="3748"/>
      <c r="K6" s="559" t="s">
        <v>1678</v>
      </c>
      <c r="L6" s="2715"/>
      <c r="M6" s="2716"/>
      <c r="N6" s="2716"/>
      <c r="O6" s="2716"/>
      <c r="P6" s="3738"/>
      <c r="Q6" s="3739"/>
      <c r="R6" s="3742"/>
      <c r="S6" s="3743"/>
      <c r="T6" s="3744"/>
      <c r="U6" s="3745"/>
      <c r="V6" s="3746"/>
      <c r="W6" s="3746"/>
      <c r="X6" s="1355"/>
      <c r="Y6" s="3744"/>
      <c r="Z6" s="3745"/>
      <c r="AA6" s="3729"/>
      <c r="AB6" s="3729"/>
      <c r="AC6" s="3729"/>
    </row>
    <row r="7" spans="1:29" s="108" customFormat="1" ht="15" thickBot="1">
      <c r="A7" s="362" t="s">
        <v>1679</v>
      </c>
      <c r="B7" s="363"/>
      <c r="C7" s="364">
        <f>'数据-取费表'!B2</f>
        <v>45371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51" t="s">
        <v>1680</v>
      </c>
      <c r="Q7" s="3753"/>
      <c r="R7" s="701" t="s">
        <v>14</v>
      </c>
      <c r="S7" s="702">
        <f t="shared" ref="S7:S14" si="0">F7</f>
        <v>0</v>
      </c>
      <c r="T7" s="701" t="s">
        <v>14</v>
      </c>
      <c r="U7" s="702">
        <f t="shared" ref="U7:U14" si="1">H7</f>
        <v>0</v>
      </c>
      <c r="V7" s="701" t="s">
        <v>14</v>
      </c>
      <c r="W7" s="702">
        <f t="shared" ref="W7:W14" si="2">J7</f>
        <v>0</v>
      </c>
      <c r="X7" s="703"/>
      <c r="Y7" s="3751" t="s">
        <v>1680</v>
      </c>
      <c r="Z7" s="375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51" t="s">
        <v>1683</v>
      </c>
      <c r="Q8" s="3752"/>
      <c r="R8" s="701" t="s">
        <v>14</v>
      </c>
      <c r="S8" s="702">
        <f t="shared" si="0"/>
        <v>100</v>
      </c>
      <c r="T8" s="701" t="s">
        <v>14</v>
      </c>
      <c r="U8" s="702">
        <f t="shared" si="1"/>
        <v>100</v>
      </c>
      <c r="V8" s="701" t="s">
        <v>14</v>
      </c>
      <c r="W8" s="702">
        <f t="shared" si="2"/>
        <v>100</v>
      </c>
      <c r="X8" s="703"/>
      <c r="Y8" s="3751" t="s">
        <v>1683</v>
      </c>
      <c r="Z8" s="375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8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1695</v>
      </c>
      <c r="Q32" s="1352" t="str">
        <f t="shared" si="11"/>
        <v>车位类型</v>
      </c>
      <c r="R32" s="705" t="s">
        <v>14</v>
      </c>
      <c r="S32" s="706">
        <f t="shared" si="12"/>
        <v>100</v>
      </c>
      <c r="T32" s="705" t="s">
        <v>14</v>
      </c>
      <c r="U32" s="706">
        <f t="shared" si="13"/>
        <v>100</v>
      </c>
      <c r="V32" s="705" t="s">
        <v>14</v>
      </c>
      <c r="W32" s="706">
        <f t="shared" si="14"/>
        <v>100</v>
      </c>
      <c r="X32" s="1355"/>
      <c r="Y32" s="372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81" t="e">
        <f>IF(F1="售价",ROUND(IF(D38="简单平均",AVERAGE(R38:W38),R38*F38+T38*H38+V38*J38),0),ROUND(IF(D38="简单平均",AVERAGE(R38:V38),R38*F38+T38*H38+V38*J38),1))</f>
        <v>#DIV/0!</v>
      </c>
      <c r="S39" s="3781"/>
      <c r="T39" s="3781"/>
      <c r="U39" s="3781"/>
      <c r="V39" s="3781"/>
      <c r="W39" s="378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1850</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1718</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1662</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0" t="s">
        <v>1769</v>
      </c>
      <c r="D4" s="3731"/>
      <c r="E4" s="3732" t="s">
        <v>1770</v>
      </c>
      <c r="F4" s="3733"/>
      <c r="G4" s="3730" t="s">
        <v>1771</v>
      </c>
      <c r="H4" s="3731"/>
      <c r="I4" s="3730" t="s">
        <v>1772</v>
      </c>
      <c r="J4" s="3731"/>
      <c r="K4" s="559" t="s">
        <v>1773</v>
      </c>
      <c r="L4" s="2715"/>
      <c r="M4" s="2716"/>
      <c r="N4" s="2716"/>
      <c r="O4" s="2716"/>
      <c r="P4" s="3734" t="s">
        <v>1774</v>
      </c>
      <c r="Q4" s="3735"/>
      <c r="R4" s="3740" t="s">
        <v>1770</v>
      </c>
      <c r="S4" s="3741"/>
      <c r="T4" s="3740" t="s">
        <v>1771</v>
      </c>
      <c r="U4" s="3741"/>
      <c r="V4" s="3746" t="s">
        <v>1772</v>
      </c>
      <c r="W4" s="3746"/>
      <c r="X4" s="1355"/>
      <c r="Y4" s="3740" t="s">
        <v>1774</v>
      </c>
      <c r="Z4" s="3741"/>
      <c r="AA4" s="3727" t="s">
        <v>1770</v>
      </c>
      <c r="AB4" s="3728" t="s">
        <v>1771</v>
      </c>
      <c r="AC4" s="3727" t="s">
        <v>1772</v>
      </c>
    </row>
    <row r="5" spans="1:29">
      <c r="A5" s="358"/>
      <c r="B5" s="359"/>
      <c r="C5" s="3761" t="s">
        <v>1673</v>
      </c>
      <c r="D5" s="3755"/>
      <c r="E5" s="3763" t="s">
        <v>1674</v>
      </c>
      <c r="F5" s="3764"/>
      <c r="G5" s="3761" t="s">
        <v>1675</v>
      </c>
      <c r="H5" s="3755"/>
      <c r="I5" s="3761" t="s">
        <v>1676</v>
      </c>
      <c r="J5" s="3755"/>
      <c r="K5" s="559"/>
      <c r="L5" s="2715"/>
      <c r="M5" s="2716"/>
      <c r="N5" s="2716"/>
      <c r="O5" s="2716"/>
      <c r="P5" s="3736"/>
      <c r="Q5" s="3737"/>
      <c r="R5" s="3742"/>
      <c r="S5" s="3743"/>
      <c r="T5" s="3742"/>
      <c r="U5" s="3743"/>
      <c r="V5" s="3746"/>
      <c r="W5" s="3746"/>
      <c r="X5" s="1355"/>
      <c r="Y5" s="3742"/>
      <c r="Z5" s="3743"/>
      <c r="AA5" s="3728"/>
      <c r="AB5" s="3728"/>
      <c r="AC5" s="3728"/>
    </row>
    <row r="6" spans="1:29" ht="15" thickBot="1">
      <c r="A6" s="360"/>
      <c r="B6" s="361"/>
      <c r="C6" s="3760" t="s">
        <v>1677</v>
      </c>
      <c r="D6" s="3748"/>
      <c r="E6" s="3762" t="s">
        <v>1677</v>
      </c>
      <c r="F6" s="3757"/>
      <c r="G6" s="3760" t="s">
        <v>1677</v>
      </c>
      <c r="H6" s="3748"/>
      <c r="I6" s="3760" t="s">
        <v>1677</v>
      </c>
      <c r="J6" s="3748"/>
      <c r="K6" s="559" t="s">
        <v>1678</v>
      </c>
      <c r="L6" s="2715"/>
      <c r="M6" s="2716"/>
      <c r="N6" s="2716"/>
      <c r="O6" s="2716"/>
      <c r="P6" s="3738"/>
      <c r="Q6" s="3739"/>
      <c r="R6" s="3742"/>
      <c r="S6" s="3743"/>
      <c r="T6" s="3744"/>
      <c r="U6" s="3745"/>
      <c r="V6" s="3746"/>
      <c r="W6" s="3746"/>
      <c r="X6" s="1355"/>
      <c r="Y6" s="3744"/>
      <c r="Z6" s="3745"/>
      <c r="AA6" s="3729"/>
      <c r="AB6" s="3729"/>
      <c r="AC6" s="3729"/>
    </row>
    <row r="7" spans="1:29" s="108" customFormat="1" ht="15" thickBot="1">
      <c r="A7" s="362" t="s">
        <v>1679</v>
      </c>
      <c r="B7" s="363"/>
      <c r="C7" s="364">
        <f>'数据-取费表'!B2</f>
        <v>45371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51" t="s">
        <v>1680</v>
      </c>
      <c r="Q7" s="3753"/>
      <c r="R7" s="701" t="s">
        <v>14</v>
      </c>
      <c r="S7" s="702">
        <f t="shared" ref="S7:S14" si="0">F7</f>
        <v>0</v>
      </c>
      <c r="T7" s="701" t="s">
        <v>14</v>
      </c>
      <c r="U7" s="702">
        <f t="shared" ref="U7:U14" si="1">H7</f>
        <v>0</v>
      </c>
      <c r="V7" s="701" t="s">
        <v>14</v>
      </c>
      <c r="W7" s="702">
        <f t="shared" ref="W7:W14" si="2">J7</f>
        <v>0</v>
      </c>
      <c r="X7" s="703"/>
      <c r="Y7" s="3751" t="s">
        <v>1680</v>
      </c>
      <c r="Z7" s="375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51" t="s">
        <v>1683</v>
      </c>
      <c r="Q8" s="3752"/>
      <c r="R8" s="701" t="s">
        <v>14</v>
      </c>
      <c r="S8" s="702">
        <f t="shared" si="0"/>
        <v>100</v>
      </c>
      <c r="T8" s="701" t="s">
        <v>14</v>
      </c>
      <c r="U8" s="702">
        <f t="shared" si="1"/>
        <v>100</v>
      </c>
      <c r="V8" s="701" t="s">
        <v>14</v>
      </c>
      <c r="W8" s="702">
        <f t="shared" si="2"/>
        <v>100</v>
      </c>
      <c r="X8" s="703"/>
      <c r="Y8" s="3751" t="s">
        <v>1683</v>
      </c>
      <c r="Z8" s="375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8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1695</v>
      </c>
      <c r="Q32" s="1352">
        <f t="shared" si="11"/>
        <v>111</v>
      </c>
      <c r="R32" s="705" t="s">
        <v>14</v>
      </c>
      <c r="S32" s="706">
        <f t="shared" si="12"/>
        <v>100</v>
      </c>
      <c r="T32" s="705" t="s">
        <v>14</v>
      </c>
      <c r="U32" s="706">
        <f t="shared" si="13"/>
        <v>100</v>
      </c>
      <c r="V32" s="705" t="s">
        <v>14</v>
      </c>
      <c r="W32" s="706">
        <f t="shared" si="14"/>
        <v>100</v>
      </c>
      <c r="X32" s="1355"/>
      <c r="Y32" s="372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81" t="e">
        <f>IF(F1="售价",ROUND(IF(D36="简单平均",AVERAGE(R36:W36),R36*F36+T36*H36+V36*J36),0),ROUND(IF(D36="简单平均",AVERAGE(R36:V36),R36*F36+T36*H36+V36*J36),1))</f>
        <v>#DIV/0!</v>
      </c>
      <c r="S37" s="3781"/>
      <c r="T37" s="3781"/>
      <c r="U37" s="3781"/>
      <c r="V37" s="3781"/>
      <c r="W37" s="378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1718</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1768</v>
      </c>
      <c r="B4" s="356"/>
      <c r="C4" s="3730" t="s">
        <v>1769</v>
      </c>
      <c r="D4" s="3731"/>
      <c r="E4" s="3732" t="s">
        <v>1770</v>
      </c>
      <c r="F4" s="3733"/>
      <c r="G4" s="3730" t="s">
        <v>1771</v>
      </c>
      <c r="H4" s="3731"/>
      <c r="I4" s="3730" t="s">
        <v>1772</v>
      </c>
      <c r="J4" s="3731"/>
      <c r="K4" s="559" t="s">
        <v>1773</v>
      </c>
      <c r="L4" s="2715"/>
      <c r="M4" s="2716"/>
      <c r="N4" s="2716"/>
      <c r="O4" s="2716"/>
      <c r="P4" s="3734" t="s">
        <v>1774</v>
      </c>
      <c r="Q4" s="3735"/>
      <c r="R4" s="3740" t="s">
        <v>1770</v>
      </c>
      <c r="S4" s="3741"/>
      <c r="T4" s="3740" t="s">
        <v>1771</v>
      </c>
      <c r="U4" s="3741"/>
      <c r="V4" s="3746" t="s">
        <v>1772</v>
      </c>
      <c r="W4" s="3746"/>
      <c r="X4" s="1355"/>
      <c r="Y4" s="3740" t="s">
        <v>1774</v>
      </c>
      <c r="Z4" s="3741"/>
      <c r="AA4" s="3727" t="s">
        <v>1770</v>
      </c>
      <c r="AB4" s="3728" t="s">
        <v>1771</v>
      </c>
      <c r="AC4" s="3727" t="s">
        <v>1772</v>
      </c>
    </row>
    <row r="5" spans="1:30">
      <c r="A5" s="358"/>
      <c r="B5" s="359"/>
      <c r="C5" s="3761" t="s">
        <v>1673</v>
      </c>
      <c r="D5" s="3755"/>
      <c r="E5" s="3763" t="s">
        <v>1674</v>
      </c>
      <c r="F5" s="3764"/>
      <c r="G5" s="3761" t="s">
        <v>1675</v>
      </c>
      <c r="H5" s="3755"/>
      <c r="I5" s="3761" t="s">
        <v>1676</v>
      </c>
      <c r="J5" s="3755"/>
      <c r="K5" s="559"/>
      <c r="L5" s="2715"/>
      <c r="M5" s="2716"/>
      <c r="N5" s="2716"/>
      <c r="O5" s="2716"/>
      <c r="P5" s="3736"/>
      <c r="Q5" s="3737"/>
      <c r="R5" s="3742"/>
      <c r="S5" s="3743"/>
      <c r="T5" s="3742"/>
      <c r="U5" s="3743"/>
      <c r="V5" s="3746"/>
      <c r="W5" s="3746"/>
      <c r="X5" s="1355"/>
      <c r="Y5" s="3742"/>
      <c r="Z5" s="3743"/>
      <c r="AA5" s="3728"/>
      <c r="AB5" s="3728"/>
      <c r="AC5" s="3728"/>
    </row>
    <row r="6" spans="1:30" ht="15" thickBot="1">
      <c r="A6" s="360"/>
      <c r="B6" s="361"/>
      <c r="C6" s="3760" t="s">
        <v>1677</v>
      </c>
      <c r="D6" s="3748"/>
      <c r="E6" s="3762" t="s">
        <v>1677</v>
      </c>
      <c r="F6" s="3757"/>
      <c r="G6" s="3760" t="s">
        <v>1677</v>
      </c>
      <c r="H6" s="3748"/>
      <c r="I6" s="3760" t="s">
        <v>1677</v>
      </c>
      <c r="J6" s="3748"/>
      <c r="K6" s="559" t="s">
        <v>1678</v>
      </c>
      <c r="L6" s="2715"/>
      <c r="M6" s="2716"/>
      <c r="N6" s="2716"/>
      <c r="O6" s="2716"/>
      <c r="P6" s="3738"/>
      <c r="Q6" s="3739"/>
      <c r="R6" s="3742"/>
      <c r="S6" s="3743"/>
      <c r="T6" s="3744"/>
      <c r="U6" s="3745"/>
      <c r="V6" s="3746"/>
      <c r="W6" s="3746"/>
      <c r="X6" s="1355"/>
      <c r="Y6" s="3744"/>
      <c r="Z6" s="3745"/>
      <c r="AA6" s="3729"/>
      <c r="AB6" s="3729"/>
      <c r="AC6" s="3729"/>
    </row>
    <row r="7" spans="1:30" s="108" customFormat="1" ht="15" thickBot="1">
      <c r="A7" s="362" t="s">
        <v>1679</v>
      </c>
      <c r="B7" s="363"/>
      <c r="C7" s="364">
        <f>'数据-取费表'!B2</f>
        <v>45371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51" t="s">
        <v>1683</v>
      </c>
      <c r="Q8" s="3752"/>
      <c r="R8" s="701" t="s">
        <v>14</v>
      </c>
      <c r="S8" s="702">
        <f t="shared" si="0"/>
        <v>0</v>
      </c>
      <c r="T8" s="701" t="s">
        <v>14</v>
      </c>
      <c r="U8" s="702">
        <f t="shared" si="1"/>
        <v>0</v>
      </c>
      <c r="V8" s="701" t="s">
        <v>14</v>
      </c>
      <c r="W8" s="702">
        <f t="shared" si="2"/>
        <v>0</v>
      </c>
      <c r="X8" s="703"/>
      <c r="Y8" s="3751" t="s">
        <v>1683</v>
      </c>
      <c r="Z8" s="375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5"/>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80" t="s">
        <v>1695</v>
      </c>
      <c r="Q36" s="1352">
        <f t="shared" si="8"/>
        <v>111</v>
      </c>
      <c r="R36" s="705" t="s">
        <v>14</v>
      </c>
      <c r="S36" s="706">
        <f t="shared" si="10"/>
        <v>100</v>
      </c>
      <c r="T36" s="705" t="s">
        <v>14</v>
      </c>
      <c r="U36" s="706">
        <f t="shared" si="11"/>
        <v>100</v>
      </c>
      <c r="V36" s="705" t="s">
        <v>14</v>
      </c>
      <c r="W36" s="706">
        <f t="shared" si="12"/>
        <v>100</v>
      </c>
      <c r="X36" s="1355"/>
      <c r="Y36" s="3722"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1695</v>
      </c>
      <c r="Q42" s="1352" t="str">
        <f t="shared" si="14"/>
        <v>工程地质条件</v>
      </c>
      <c r="R42" s="705" t="s">
        <v>14</v>
      </c>
      <c r="S42" s="706">
        <f t="shared" si="10"/>
        <v>100</v>
      </c>
      <c r="T42" s="705" t="s">
        <v>14</v>
      </c>
      <c r="U42" s="706">
        <f t="shared" si="11"/>
        <v>100</v>
      </c>
      <c r="V42" s="705" t="s">
        <v>14</v>
      </c>
      <c r="W42" s="706">
        <f t="shared" si="12"/>
        <v>100</v>
      </c>
      <c r="X42" s="1355"/>
      <c r="Y42" s="372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4"/>
      <c r="M46" s="2725"/>
      <c r="N46" s="2716"/>
      <c r="O46" s="2725"/>
      <c r="P46" s="3715" t="str">
        <f>A46</f>
        <v>成交单价</v>
      </c>
      <c r="Q46" s="3715"/>
      <c r="R46" s="3746">
        <f>E46</f>
        <v>0</v>
      </c>
      <c r="S46" s="3746"/>
      <c r="T46" s="3746">
        <f>G46</f>
        <v>0</v>
      </c>
      <c r="U46" s="3746"/>
      <c r="V46" s="3746">
        <f>I46</f>
        <v>0</v>
      </c>
      <c r="W46" s="3746"/>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83" t="e">
        <f>ROUND(IF(D47="简单平均",AVERAGE(R47:W47),R47*F47+T47*H47+V47*J47),0)</f>
        <v>#DIV/0!</v>
      </c>
      <c r="S48" s="3783"/>
      <c r="T48" s="3783"/>
      <c r="U48" s="3783"/>
      <c r="V48" s="3783"/>
      <c r="W48" s="378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30" t="s">
        <v>1886</v>
      </c>
      <c r="H55" s="3784"/>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80.66</v>
      </c>
      <c r="F56" s="886" t="e">
        <f t="shared" ref="F56:F64" si="15">ROUND(B56*E56/10000,0)</f>
        <v>#DIV/0!</v>
      </c>
      <c r="G56" s="3726"/>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0.1</v>
      </c>
      <c r="D62" s="945">
        <v>0.25</v>
      </c>
      <c r="E62" s="217">
        <f>'数据-汇总表'!E13</f>
        <v>0</v>
      </c>
      <c r="F62" s="886" t="e">
        <f t="shared" si="15"/>
        <v>#DIV/0!</v>
      </c>
      <c r="G62" s="892" t="s">
        <v>1899</v>
      </c>
      <c r="H62" s="887" t="str">
        <f>IF(G62="商业",项目基本情况!B37,IF(G62="办公",项目基本情况!C37,IF(G62="住宅",项目基本情况!D37,项目基本情况!E37)))</f>
        <v>八级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1902</v>
      </c>
      <c r="B65" s="644" t="s">
        <v>22</v>
      </c>
      <c r="C65" s="644" t="s">
        <v>23</v>
      </c>
      <c r="D65" s="644" t="s">
        <v>392</v>
      </c>
      <c r="E65" s="644">
        <f>IF(B46="楼面地价",SUM(E56:E64),'数据-汇总表'!D3)</f>
        <v>80.66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2.2"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1718</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1768</v>
      </c>
      <c r="B4" s="356"/>
      <c r="C4" s="3730" t="s">
        <v>1769</v>
      </c>
      <c r="D4" s="3731"/>
      <c r="E4" s="3732" t="s">
        <v>1770</v>
      </c>
      <c r="F4" s="3733"/>
      <c r="G4" s="3730" t="s">
        <v>1771</v>
      </c>
      <c r="H4" s="3731"/>
      <c r="I4" s="3730" t="s">
        <v>1772</v>
      </c>
      <c r="J4" s="3731"/>
      <c r="K4" s="559" t="s">
        <v>1773</v>
      </c>
      <c r="L4" s="2715"/>
      <c r="M4" s="2716"/>
      <c r="N4" s="2716"/>
      <c r="O4" s="2716"/>
      <c r="P4" s="3734" t="s">
        <v>1774</v>
      </c>
      <c r="Q4" s="3735"/>
      <c r="R4" s="3740" t="s">
        <v>1770</v>
      </c>
      <c r="S4" s="3741"/>
      <c r="T4" s="3740" t="s">
        <v>1771</v>
      </c>
      <c r="U4" s="3741"/>
      <c r="V4" s="3746" t="s">
        <v>1772</v>
      </c>
      <c r="W4" s="3746"/>
      <c r="X4" s="1355"/>
      <c r="Y4" s="3740" t="s">
        <v>1774</v>
      </c>
      <c r="Z4" s="3741"/>
      <c r="AA4" s="3727" t="s">
        <v>1770</v>
      </c>
      <c r="AB4" s="3728" t="s">
        <v>1771</v>
      </c>
      <c r="AC4" s="3727" t="s">
        <v>1772</v>
      </c>
    </row>
    <row r="5" spans="1:29">
      <c r="A5" s="358"/>
      <c r="B5" s="359"/>
      <c r="C5" s="3761" t="s">
        <v>1673</v>
      </c>
      <c r="D5" s="3755"/>
      <c r="E5" s="3763" t="s">
        <v>1674</v>
      </c>
      <c r="F5" s="3764"/>
      <c r="G5" s="3761" t="s">
        <v>1675</v>
      </c>
      <c r="H5" s="3755"/>
      <c r="I5" s="3761" t="s">
        <v>1676</v>
      </c>
      <c r="J5" s="3755"/>
      <c r="K5" s="559"/>
      <c r="L5" s="2715"/>
      <c r="M5" s="2716"/>
      <c r="N5" s="2716"/>
      <c r="O5" s="2716"/>
      <c r="P5" s="3736"/>
      <c r="Q5" s="3737"/>
      <c r="R5" s="3742"/>
      <c r="S5" s="3743"/>
      <c r="T5" s="3742"/>
      <c r="U5" s="3743"/>
      <c r="V5" s="3746"/>
      <c r="W5" s="3746"/>
      <c r="X5" s="1355"/>
      <c r="Y5" s="3742"/>
      <c r="Z5" s="3743"/>
      <c r="AA5" s="3728"/>
      <c r="AB5" s="3728"/>
      <c r="AC5" s="3728"/>
    </row>
    <row r="6" spans="1:29" ht="15" thickBot="1">
      <c r="A6" s="360"/>
      <c r="B6" s="361"/>
      <c r="C6" s="3785" t="s">
        <v>1918</v>
      </c>
      <c r="D6" s="3786"/>
      <c r="E6" s="3787" t="s">
        <v>1918</v>
      </c>
      <c r="F6" s="3788"/>
      <c r="G6" s="3785" t="s">
        <v>1918</v>
      </c>
      <c r="H6" s="3786"/>
      <c r="I6" s="3785" t="s">
        <v>1918</v>
      </c>
      <c r="J6" s="3786"/>
      <c r="K6" s="559" t="s">
        <v>1678</v>
      </c>
      <c r="L6" s="2715"/>
      <c r="M6" s="2716"/>
      <c r="N6" s="2716"/>
      <c r="O6" s="2716"/>
      <c r="P6" s="3738"/>
      <c r="Q6" s="3739"/>
      <c r="R6" s="3742"/>
      <c r="S6" s="3743"/>
      <c r="T6" s="3744"/>
      <c r="U6" s="3745"/>
      <c r="V6" s="3746"/>
      <c r="W6" s="3746"/>
      <c r="X6" s="1355"/>
      <c r="Y6" s="3744"/>
      <c r="Z6" s="3745"/>
      <c r="AA6" s="3729"/>
      <c r="AB6" s="3729"/>
      <c r="AC6" s="3729"/>
    </row>
    <row r="7" spans="1:29" s="108" customFormat="1" ht="15" thickBot="1">
      <c r="A7" s="362" t="s">
        <v>1679</v>
      </c>
      <c r="B7" s="363"/>
      <c r="C7" s="364">
        <f>'数据-取费表'!B2</f>
        <v>45371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51" t="s">
        <v>1680</v>
      </c>
      <c r="Q7" s="3753"/>
      <c r="R7" s="701" t="s">
        <v>14</v>
      </c>
      <c r="S7" s="702">
        <f t="shared" ref="S7:S15" si="0">F7</f>
        <v>0</v>
      </c>
      <c r="T7" s="701" t="s">
        <v>14</v>
      </c>
      <c r="U7" s="702">
        <f t="shared" ref="U7:U15" si="1">H7</f>
        <v>0</v>
      </c>
      <c r="V7" s="701" t="s">
        <v>14</v>
      </c>
      <c r="W7" s="702">
        <f t="shared" ref="W7:W15" si="2">J7</f>
        <v>0</v>
      </c>
      <c r="X7" s="703"/>
      <c r="Y7" s="3751" t="s">
        <v>1680</v>
      </c>
      <c r="Z7" s="375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51" t="s">
        <v>1683</v>
      </c>
      <c r="Q8" s="3752"/>
      <c r="R8" s="701" t="s">
        <v>14</v>
      </c>
      <c r="S8" s="702">
        <f t="shared" si="0"/>
        <v>0</v>
      </c>
      <c r="T8" s="701" t="s">
        <v>14</v>
      </c>
      <c r="U8" s="702">
        <f t="shared" si="1"/>
        <v>0</v>
      </c>
      <c r="V8" s="701" t="s">
        <v>14</v>
      </c>
      <c r="W8" s="702">
        <f t="shared" si="2"/>
        <v>0</v>
      </c>
      <c r="X8" s="703"/>
      <c r="Y8" s="3751" t="s">
        <v>1683</v>
      </c>
      <c r="Z8" s="375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5"/>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80" t="s">
        <v>1695</v>
      </c>
      <c r="Q32" s="1352">
        <f t="shared" si="8"/>
        <v>111</v>
      </c>
      <c r="R32" s="705" t="s">
        <v>14</v>
      </c>
      <c r="S32" s="706">
        <f t="shared" si="10"/>
        <v>100</v>
      </c>
      <c r="T32" s="705" t="s">
        <v>14</v>
      </c>
      <c r="U32" s="706">
        <f t="shared" si="11"/>
        <v>100</v>
      </c>
      <c r="V32" s="705" t="s">
        <v>14</v>
      </c>
      <c r="W32" s="706">
        <f t="shared" si="12"/>
        <v>100</v>
      </c>
      <c r="X32" s="1355"/>
      <c r="Y32" s="3722"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1695</v>
      </c>
      <c r="Q37" s="1352" t="str">
        <f t="shared" si="14"/>
        <v>工程地质条件</v>
      </c>
      <c r="R37" s="705" t="s">
        <v>14</v>
      </c>
      <c r="S37" s="706">
        <f t="shared" si="10"/>
        <v>100</v>
      </c>
      <c r="T37" s="705" t="s">
        <v>14</v>
      </c>
      <c r="U37" s="706">
        <f t="shared" si="11"/>
        <v>100</v>
      </c>
      <c r="V37" s="705" t="s">
        <v>14</v>
      </c>
      <c r="W37" s="706">
        <f t="shared" si="12"/>
        <v>100</v>
      </c>
      <c r="X37" s="1355"/>
      <c r="Y37" s="372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4"/>
      <c r="M41" s="2716"/>
      <c r="N41" s="2716"/>
      <c r="O41" s="2725"/>
      <c r="P41" s="3715" t="str">
        <f>A41</f>
        <v>成交单价</v>
      </c>
      <c r="Q41" s="3715"/>
      <c r="R41" s="3746">
        <f>E41</f>
        <v>0</v>
      </c>
      <c r="S41" s="3746"/>
      <c r="T41" s="3746">
        <f>G41</f>
        <v>0</v>
      </c>
      <c r="U41" s="3746"/>
      <c r="V41" s="3746">
        <f>I41</f>
        <v>0</v>
      </c>
      <c r="W41" s="3746"/>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83" t="e">
        <f>ROUND(IF(D42="简单平均",AVERAGE(R42:W42),R42*F42+T42*H42+V42*J42),0)</f>
        <v>#DIV/0!</v>
      </c>
      <c r="S43" s="3783"/>
      <c r="T43" s="3783"/>
      <c r="U43" s="3783"/>
      <c r="V43" s="3783"/>
      <c r="W43" s="378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1880</v>
      </c>
      <c r="B50" s="633" t="s">
        <v>1881</v>
      </c>
      <c r="C50" s="1983" t="s">
        <v>1882</v>
      </c>
      <c r="D50" s="1984" t="s">
        <v>1883</v>
      </c>
      <c r="E50" s="634" t="s">
        <v>1884</v>
      </c>
      <c r="F50" s="635" t="s">
        <v>1885</v>
      </c>
      <c r="G50" s="3730" t="s">
        <v>1886</v>
      </c>
      <c r="H50" s="3784"/>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80.66</v>
      </c>
      <c r="F51" s="639" t="e">
        <f t="shared" ref="F51:F60" si="15">ROUND(B51*E51/10000,0)</f>
        <v>#DIV/0!</v>
      </c>
      <c r="G51" s="3726"/>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0.1</v>
      </c>
      <c r="D58" s="945">
        <v>0.25</v>
      </c>
      <c r="E58" s="217">
        <f>'数据-汇总表'!E13</f>
        <v>0</v>
      </c>
      <c r="F58" s="639" t="e">
        <f t="shared" si="15"/>
        <v>#DIV/0!</v>
      </c>
      <c r="G58" s="892" t="s">
        <v>1899</v>
      </c>
      <c r="H58" s="887" t="str">
        <f>IF(G58="商业",项目基本情况!B37,IF(G58="办公",项目基本情况!C37,IF(G58="住宅",项目基本情况!D37,项目基本情况!E37)))</f>
        <v>八级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2.2"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1718</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2" t="s">
        <v>2083</v>
      </c>
      <c r="D1" s="3793"/>
      <c r="E1" s="3793"/>
      <c r="F1" s="3793"/>
      <c r="G1" s="3793"/>
      <c r="H1" s="3793"/>
      <c r="I1" s="3793"/>
      <c r="J1" s="3793"/>
      <c r="K1" s="3793"/>
      <c r="L1" s="3793"/>
      <c r="M1" s="3793"/>
      <c r="N1" s="3793"/>
      <c r="O1" s="3793"/>
      <c r="P1" s="3793"/>
      <c r="Q1" s="3793"/>
      <c r="R1" s="3793"/>
      <c r="S1" s="379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3"/>
      <c r="G1" s="2793"/>
      <c r="H1" s="2793"/>
      <c r="I1" s="2793"/>
      <c r="J1" s="2793"/>
      <c r="K1" s="2793"/>
      <c r="L1" s="2793"/>
      <c r="M1" s="2793"/>
      <c r="N1" s="2793"/>
      <c r="O1" s="2793"/>
      <c r="P1" s="2793"/>
    </row>
    <row r="2" spans="1:16" ht="15.6">
      <c r="A2" s="2145" t="s">
        <v>2072</v>
      </c>
      <c r="B2" s="2602">
        <f ca="1">SUMIF(B6:B13,"&lt;&gt;#ref!",B6:B13)</f>
        <v>91</v>
      </c>
      <c r="C2" s="2145" t="s">
        <v>2073</v>
      </c>
      <c r="D2" s="2145" t="s">
        <v>2074</v>
      </c>
      <c r="E2" s="2612">
        <f ca="1">SUMIF(E6:E13,"&lt;&gt;#ref!",E6:E13)</f>
        <v>80.66</v>
      </c>
      <c r="F2" s="2793"/>
      <c r="G2" s="2793"/>
      <c r="H2" s="2793"/>
      <c r="I2" s="2793"/>
      <c r="J2" s="2793"/>
      <c r="K2" s="2793"/>
      <c r="L2" s="2793"/>
      <c r="M2" s="2793"/>
      <c r="N2" s="2793"/>
      <c r="O2" s="2793"/>
      <c r="P2" s="2793"/>
    </row>
    <row r="3" spans="1:16" ht="15.6">
      <c r="A3" s="2145" t="s">
        <v>2075</v>
      </c>
      <c r="B3" s="2602">
        <f ca="1">ROUND(B2*10000/E2,0)</f>
        <v>11282</v>
      </c>
      <c r="C3" s="2145" t="s">
        <v>2081</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2076</v>
      </c>
      <c r="B5" s="2610" t="s">
        <v>2077</v>
      </c>
      <c r="C5" s="2146"/>
      <c r="D5" s="2793"/>
      <c r="E5" s="2611" t="s">
        <v>2078</v>
      </c>
      <c r="F5" s="2793"/>
      <c r="G5" s="2793"/>
      <c r="H5" s="2793"/>
      <c r="I5" s="2793"/>
      <c r="J5" s="2793"/>
      <c r="K5" s="2793"/>
      <c r="L5" s="2793"/>
      <c r="M5" s="2793"/>
      <c r="N5" s="2793"/>
      <c r="O5" s="2793"/>
      <c r="P5" s="2793"/>
    </row>
    <row r="6" spans="1:16" ht="15.6">
      <c r="A6" s="2609" t="s">
        <v>2079</v>
      </c>
      <c r="B6" s="2602">
        <f ca="1">SUMIF(INDIRECT("'"&amp;A6&amp;"'"&amp;"!A:A"),"总价",INDIRECT("'"&amp;A6&amp;"'"&amp;"!B:B"))</f>
        <v>91</v>
      </c>
      <c r="C6" s="2145" t="s">
        <v>2073</v>
      </c>
      <c r="D6" s="2793"/>
      <c r="E6" s="2612">
        <f ca="1">SUMIF(INDIRECT("'"&amp;A6&amp;"'"&amp;"!C:C"),"建筑面积",INDIRECT("'"&amp;A6&amp;"'"&amp;"!D:D"))</f>
        <v>80.66</v>
      </c>
      <c r="F6" s="2793"/>
      <c r="G6" s="2793"/>
      <c r="H6" s="2793"/>
      <c r="I6" s="2793"/>
      <c r="J6" s="2793"/>
      <c r="K6" s="2793"/>
      <c r="L6" s="2793"/>
      <c r="M6" s="2793"/>
      <c r="N6" s="2793"/>
      <c r="O6" s="2793"/>
      <c r="P6" s="2793"/>
    </row>
    <row r="7" spans="1:16" ht="15.6">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4" t="s">
        <v>2607</v>
      </c>
      <c r="B20" s="3799" t="s">
        <v>2628</v>
      </c>
      <c r="C20" s="3103" t="s">
        <v>2439</v>
      </c>
      <c r="D20" s="3104"/>
      <c r="E20" s="3105">
        <v>1</v>
      </c>
      <c r="F20" s="3106" t="s">
        <v>2440</v>
      </c>
      <c r="G20" s="3106"/>
    </row>
    <row r="21" spans="1:13" ht="19.5" customHeight="1">
      <c r="A21" s="3805"/>
      <c r="B21" s="3798"/>
      <c r="C21" s="3107" t="s">
        <v>2441</v>
      </c>
      <c r="D21" s="3108"/>
      <c r="E21" s="3109">
        <v>1</v>
      </c>
      <c r="F21" s="3106" t="s">
        <v>2442</v>
      </c>
      <c r="G21" s="3106"/>
    </row>
    <row r="22" spans="1:13" ht="19.5" customHeight="1">
      <c r="A22" s="3805"/>
      <c r="B22" s="3798"/>
      <c r="C22" s="3107" t="s">
        <v>2443</v>
      </c>
      <c r="D22" s="3108"/>
      <c r="E22" s="3109">
        <v>0.9</v>
      </c>
      <c r="F22" s="3106" t="s">
        <v>2444</v>
      </c>
      <c r="G22" s="3106"/>
    </row>
    <row r="23" spans="1:13" ht="19.5" customHeight="1">
      <c r="A23" s="3805"/>
      <c r="B23" s="3798"/>
      <c r="C23" s="3107" t="s">
        <v>2445</v>
      </c>
      <c r="D23" s="3108"/>
      <c r="E23" s="3109">
        <v>0.9</v>
      </c>
      <c r="F23" s="3106" t="s">
        <v>2446</v>
      </c>
      <c r="G23" s="3106"/>
    </row>
    <row r="24" spans="1:13" ht="19.5" customHeight="1">
      <c r="A24" s="3805"/>
      <c r="B24" s="3798"/>
      <c r="C24" s="3107" t="s">
        <v>2447</v>
      </c>
      <c r="D24" s="3108"/>
      <c r="E24" s="3109">
        <v>0.8</v>
      </c>
      <c r="F24" s="3106" t="s">
        <v>2448</v>
      </c>
      <c r="G24" s="3106"/>
    </row>
    <row r="25" spans="1:13" ht="19.5" customHeight="1" thickBot="1">
      <c r="A25" s="3806"/>
      <c r="B25" s="380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1" t="s">
        <v>2631</v>
      </c>
      <c r="B27" s="3799" t="s">
        <v>2612</v>
      </c>
      <c r="C27" s="3103" t="s">
        <v>2452</v>
      </c>
      <c r="D27" s="3104"/>
      <c r="E27" s="3105">
        <v>1</v>
      </c>
      <c r="F27" s="3106" t="s">
        <v>2453</v>
      </c>
      <c r="G27" s="3106"/>
    </row>
    <row r="28" spans="1:13" ht="19.5" customHeight="1">
      <c r="A28" s="3802"/>
      <c r="B28" s="3798"/>
      <c r="C28" s="3107" t="s">
        <v>2454</v>
      </c>
      <c r="D28" s="3108"/>
      <c r="E28" s="3109">
        <v>1</v>
      </c>
      <c r="F28" s="3106" t="s">
        <v>2455</v>
      </c>
      <c r="G28" s="3106"/>
    </row>
    <row r="29" spans="1:13" ht="19.5" customHeight="1">
      <c r="A29" s="3802"/>
      <c r="B29" s="3798"/>
      <c r="C29" s="3107" t="s">
        <v>2456</v>
      </c>
      <c r="D29" s="3108"/>
      <c r="E29" s="3109">
        <v>0.8</v>
      </c>
      <c r="F29" s="3106" t="s">
        <v>2457</v>
      </c>
      <c r="G29" s="3106"/>
    </row>
    <row r="30" spans="1:13" ht="19.5" customHeight="1">
      <c r="A30" s="3802"/>
      <c r="B30" s="3798"/>
      <c r="C30" s="3107" t="s">
        <v>2458</v>
      </c>
      <c r="D30" s="3108"/>
      <c r="E30" s="3109">
        <v>0.8</v>
      </c>
      <c r="F30" s="3106" t="s">
        <v>2459</v>
      </c>
      <c r="G30" s="3106"/>
    </row>
    <row r="31" spans="1:13" ht="19.5" customHeight="1">
      <c r="A31" s="3802"/>
      <c r="B31" s="3798"/>
      <c r="C31" s="3107" t="s">
        <v>2460</v>
      </c>
      <c r="D31" s="3108"/>
      <c r="E31" s="3109">
        <v>0.8</v>
      </c>
      <c r="F31" s="3106" t="s">
        <v>2461</v>
      </c>
      <c r="G31" s="3106"/>
    </row>
    <row r="32" spans="1:13" ht="19.5" customHeight="1">
      <c r="A32" s="3802"/>
      <c r="B32" s="3798"/>
      <c r="C32" s="3107" t="s">
        <v>2462</v>
      </c>
      <c r="D32" s="3108"/>
      <c r="E32" s="3109">
        <v>0.7</v>
      </c>
      <c r="F32" s="3106" t="s">
        <v>2463</v>
      </c>
      <c r="G32" s="3106"/>
    </row>
    <row r="33" spans="1:7" ht="19.5" customHeight="1">
      <c r="A33" s="3802"/>
      <c r="B33" s="3798"/>
      <c r="C33" s="3107" t="s">
        <v>2464</v>
      </c>
      <c r="D33" s="3108"/>
      <c r="E33" s="3109">
        <v>0.8</v>
      </c>
      <c r="F33" s="3106" t="s">
        <v>2465</v>
      </c>
      <c r="G33" s="3106"/>
    </row>
    <row r="34" spans="1:7" ht="19.5" customHeight="1">
      <c r="A34" s="3802"/>
      <c r="B34" s="3798"/>
      <c r="C34" s="3107" t="s">
        <v>2466</v>
      </c>
      <c r="D34" s="3108"/>
      <c r="E34" s="3109">
        <v>0.6</v>
      </c>
      <c r="F34" s="3106" t="s">
        <v>2467</v>
      </c>
      <c r="G34" s="3106"/>
    </row>
    <row r="35" spans="1:7" ht="19.5" customHeight="1">
      <c r="A35" s="3802"/>
      <c r="B35" s="3798"/>
      <c r="C35" s="3107" t="s">
        <v>2468</v>
      </c>
      <c r="D35" s="3108"/>
      <c r="E35" s="3109">
        <v>0.2</v>
      </c>
      <c r="F35" s="3106" t="s">
        <v>2469</v>
      </c>
      <c r="G35" s="3106"/>
    </row>
    <row r="36" spans="1:7" ht="19.5" customHeight="1">
      <c r="A36" s="3802"/>
      <c r="B36" s="3798"/>
      <c r="C36" s="3107" t="s">
        <v>2470</v>
      </c>
      <c r="D36" s="3108"/>
      <c r="E36" s="3109">
        <v>0.2</v>
      </c>
      <c r="F36" s="3106" t="s">
        <v>2471</v>
      </c>
      <c r="G36" s="3106"/>
    </row>
    <row r="37" spans="1:7" ht="19.5" customHeight="1">
      <c r="A37" s="3802"/>
      <c r="B37" s="3796" t="s">
        <v>2632</v>
      </c>
      <c r="C37" s="3107" t="s">
        <v>2472</v>
      </c>
      <c r="D37" s="3108"/>
      <c r="E37" s="3109">
        <v>0.6</v>
      </c>
      <c r="F37" s="3106" t="s">
        <v>2473</v>
      </c>
      <c r="G37" s="3106"/>
    </row>
    <row r="38" spans="1:7" ht="19.5" customHeight="1">
      <c r="A38" s="3802"/>
      <c r="B38" s="3798"/>
      <c r="C38" s="3107" t="s">
        <v>2474</v>
      </c>
      <c r="D38" s="3108"/>
      <c r="E38" s="3109">
        <v>0.6</v>
      </c>
      <c r="F38" s="3106" t="s">
        <v>2475</v>
      </c>
      <c r="G38" s="3106"/>
    </row>
    <row r="39" spans="1:7" ht="19.5" customHeight="1" thickBot="1">
      <c r="A39" s="3803"/>
      <c r="B39" s="380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4" t="s">
        <v>2610</v>
      </c>
      <c r="B41" s="3799" t="s">
        <v>2634</v>
      </c>
      <c r="C41" s="3103" t="s">
        <v>2479</v>
      </c>
      <c r="D41" s="3104"/>
      <c r="E41" s="3105">
        <v>1</v>
      </c>
      <c r="F41" s="3106" t="s">
        <v>2480</v>
      </c>
      <c r="G41" s="3106"/>
    </row>
    <row r="42" spans="1:7" ht="19.5" customHeight="1">
      <c r="A42" s="3805"/>
      <c r="B42" s="3798"/>
      <c r="C42" s="3107" t="s">
        <v>2481</v>
      </c>
      <c r="D42" s="3108"/>
      <c r="E42" s="3109">
        <v>1</v>
      </c>
      <c r="F42" s="3106" t="s">
        <v>2482</v>
      </c>
      <c r="G42" s="3106"/>
    </row>
    <row r="43" spans="1:7" ht="19.5" customHeight="1">
      <c r="A43" s="3805"/>
      <c r="B43" s="3797"/>
      <c r="C43" s="3107" t="s">
        <v>2483</v>
      </c>
      <c r="D43" s="3108"/>
      <c r="E43" s="3109">
        <v>1.5</v>
      </c>
      <c r="F43" s="3106" t="s">
        <v>2484</v>
      </c>
      <c r="G43" s="3106"/>
    </row>
    <row r="44" spans="1:7" ht="19.5" customHeight="1">
      <c r="A44" s="3805"/>
      <c r="B44" s="3118" t="s">
        <v>2635</v>
      </c>
      <c r="C44" s="3107" t="s">
        <v>2636</v>
      </c>
      <c r="D44" s="3108"/>
      <c r="E44" s="3109">
        <v>2</v>
      </c>
      <c r="F44" s="3106" t="s">
        <v>2485</v>
      </c>
      <c r="G44" s="3106"/>
    </row>
    <row r="45" spans="1:7" ht="19.5" customHeight="1">
      <c r="A45" s="3805"/>
      <c r="B45" s="3796" t="s">
        <v>2637</v>
      </c>
      <c r="C45" s="3107" t="s">
        <v>2486</v>
      </c>
      <c r="D45" s="3108"/>
      <c r="E45" s="3109">
        <v>1</v>
      </c>
      <c r="F45" s="3106" t="s">
        <v>2487</v>
      </c>
      <c r="G45" s="3106"/>
    </row>
    <row r="46" spans="1:7" ht="19.5" customHeight="1">
      <c r="A46" s="3805"/>
      <c r="B46" s="3798"/>
      <c r="C46" s="3107" t="s">
        <v>2488</v>
      </c>
      <c r="D46" s="3108"/>
      <c r="E46" s="3109">
        <v>1</v>
      </c>
      <c r="F46" s="3106" t="s">
        <v>2489</v>
      </c>
      <c r="G46" s="3106"/>
    </row>
    <row r="47" spans="1:7" ht="19.5" customHeight="1">
      <c r="A47" s="3805"/>
      <c r="B47" s="3798"/>
      <c r="C47" s="3107" t="s">
        <v>2490</v>
      </c>
      <c r="D47" s="3108"/>
      <c r="E47" s="3109">
        <v>1</v>
      </c>
      <c r="F47" s="3106" t="s">
        <v>2491</v>
      </c>
      <c r="G47" s="3106"/>
    </row>
    <row r="48" spans="1:7" ht="19.5" customHeight="1">
      <c r="A48" s="3805"/>
      <c r="B48" s="3798"/>
      <c r="C48" s="3107" t="s">
        <v>2492</v>
      </c>
      <c r="D48" s="3108"/>
      <c r="E48" s="3109">
        <v>1</v>
      </c>
      <c r="F48" s="3106" t="s">
        <v>2493</v>
      </c>
      <c r="G48" s="3106"/>
    </row>
    <row r="49" spans="1:7" ht="19.5" customHeight="1">
      <c r="A49" s="3805"/>
      <c r="B49" s="3798"/>
      <c r="C49" s="3107" t="s">
        <v>2494</v>
      </c>
      <c r="D49" s="3108"/>
      <c r="E49" s="3109">
        <v>1</v>
      </c>
      <c r="F49" s="3106" t="s">
        <v>2495</v>
      </c>
      <c r="G49" s="3106"/>
    </row>
    <row r="50" spans="1:7" ht="19.5" customHeight="1">
      <c r="A50" s="3805"/>
      <c r="B50" s="3798"/>
      <c r="C50" s="3107" t="s">
        <v>2496</v>
      </c>
      <c r="D50" s="3108"/>
      <c r="E50" s="3109">
        <v>1</v>
      </c>
      <c r="F50" s="3106" t="s">
        <v>2497</v>
      </c>
      <c r="G50" s="3106"/>
    </row>
    <row r="51" spans="1:7" ht="19.5" customHeight="1" thickBot="1">
      <c r="A51" s="3806"/>
      <c r="B51" s="380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6" t="s">
        <v>2651</v>
      </c>
      <c r="C73" s="3092" t="s">
        <v>2652</v>
      </c>
      <c r="D73" s="3092" t="s">
        <v>2653</v>
      </c>
      <c r="E73" s="3118">
        <v>0.2</v>
      </c>
      <c r="F73" s="3118">
        <v>25</v>
      </c>
    </row>
    <row r="74" spans="1:7" ht="24">
      <c r="A74" s="3118">
        <v>2</v>
      </c>
      <c r="B74" s="3798"/>
      <c r="C74" s="3092" t="s">
        <v>2654</v>
      </c>
      <c r="D74" s="3092" t="s">
        <v>2655</v>
      </c>
      <c r="E74" s="3118">
        <v>0.2</v>
      </c>
      <c r="F74" s="3118">
        <v>25</v>
      </c>
    </row>
    <row r="75" spans="1:7" ht="24">
      <c r="A75" s="3118">
        <v>3</v>
      </c>
      <c r="B75" s="3798"/>
      <c r="C75" s="3092" t="s">
        <v>2656</v>
      </c>
      <c r="D75" s="3092" t="s">
        <v>2657</v>
      </c>
      <c r="E75" s="3118">
        <v>0.2</v>
      </c>
      <c r="F75" s="3118">
        <v>25</v>
      </c>
    </row>
    <row r="76" spans="1:7" ht="14.4">
      <c r="A76" s="3118">
        <v>4</v>
      </c>
      <c r="B76" s="3798"/>
      <c r="C76" s="3092" t="s">
        <v>2658</v>
      </c>
      <c r="D76" s="3092" t="s">
        <v>2659</v>
      </c>
      <c r="E76" s="3118">
        <v>0.15</v>
      </c>
      <c r="F76" s="3118">
        <v>20</v>
      </c>
    </row>
    <row r="77" spans="1:7" ht="24">
      <c r="A77" s="3118">
        <v>5</v>
      </c>
      <c r="B77" s="3798"/>
      <c r="C77" s="3092" t="s">
        <v>2660</v>
      </c>
      <c r="D77" s="3092" t="s">
        <v>2661</v>
      </c>
      <c r="E77" s="3118">
        <v>0.15</v>
      </c>
      <c r="F77" s="3118">
        <v>20</v>
      </c>
    </row>
    <row r="78" spans="1:7" ht="24">
      <c r="A78" s="3118">
        <v>6</v>
      </c>
      <c r="B78" s="3798"/>
      <c r="C78" s="3092" t="s">
        <v>2662</v>
      </c>
      <c r="D78" s="3092" t="s">
        <v>2663</v>
      </c>
      <c r="E78" s="3118">
        <v>0.15</v>
      </c>
      <c r="F78" s="3118">
        <v>20</v>
      </c>
    </row>
    <row r="79" spans="1:7" ht="24">
      <c r="A79" s="3118">
        <v>7</v>
      </c>
      <c r="B79" s="3798"/>
      <c r="C79" s="3092" t="s">
        <v>2664</v>
      </c>
      <c r="D79" s="3092" t="s">
        <v>2665</v>
      </c>
      <c r="E79" s="3118">
        <v>0.15</v>
      </c>
      <c r="F79" s="3118">
        <v>20</v>
      </c>
    </row>
    <row r="80" spans="1:7" ht="24">
      <c r="A80" s="3118">
        <v>8</v>
      </c>
      <c r="B80" s="3798"/>
      <c r="C80" s="3092" t="s">
        <v>2666</v>
      </c>
      <c r="D80" s="3092" t="s">
        <v>2667</v>
      </c>
      <c r="E80" s="3118">
        <v>0.1</v>
      </c>
      <c r="F80" s="3118">
        <v>15</v>
      </c>
    </row>
    <row r="81" spans="1:6" ht="24">
      <c r="A81" s="3118">
        <v>9</v>
      </c>
      <c r="B81" s="3798"/>
      <c r="C81" s="3092" t="s">
        <v>2668</v>
      </c>
      <c r="D81" s="3092" t="s">
        <v>2669</v>
      </c>
      <c r="E81" s="3118">
        <v>0.1</v>
      </c>
      <c r="F81" s="3118">
        <v>15</v>
      </c>
    </row>
    <row r="82" spans="1:6" ht="24">
      <c r="A82" s="3118">
        <v>10</v>
      </c>
      <c r="B82" s="3798"/>
      <c r="C82" s="3092" t="s">
        <v>2670</v>
      </c>
      <c r="D82" s="3092" t="s">
        <v>2671</v>
      </c>
      <c r="E82" s="3118">
        <v>0.1</v>
      </c>
      <c r="F82" s="3118">
        <v>15</v>
      </c>
    </row>
    <row r="83" spans="1:6" ht="24">
      <c r="A83" s="3118">
        <v>11</v>
      </c>
      <c r="B83" s="3798"/>
      <c r="C83" s="3092" t="s">
        <v>2672</v>
      </c>
      <c r="D83" s="3092" t="s">
        <v>2673</v>
      </c>
      <c r="E83" s="3118">
        <v>0.1</v>
      </c>
      <c r="F83" s="3118">
        <v>15</v>
      </c>
    </row>
    <row r="84" spans="1:6" ht="24">
      <c r="A84" s="3118">
        <v>12</v>
      </c>
      <c r="B84" s="3798"/>
      <c r="C84" s="3092" t="s">
        <v>2674</v>
      </c>
      <c r="D84" s="3092" t="s">
        <v>2675</v>
      </c>
      <c r="E84" s="3118">
        <v>0.1</v>
      </c>
      <c r="F84" s="3118">
        <v>15</v>
      </c>
    </row>
    <row r="85" spans="1:6" ht="24">
      <c r="A85" s="3118">
        <v>13</v>
      </c>
      <c r="B85" s="3798"/>
      <c r="C85" s="3092" t="s">
        <v>2676</v>
      </c>
      <c r="D85" s="3092" t="s">
        <v>2677</v>
      </c>
      <c r="E85" s="3118">
        <v>0.1</v>
      </c>
      <c r="F85" s="3118">
        <v>15</v>
      </c>
    </row>
    <row r="86" spans="1:6" ht="24">
      <c r="A86" s="3118">
        <v>14</v>
      </c>
      <c r="B86" s="3798"/>
      <c r="C86" s="3092" t="s">
        <v>2678</v>
      </c>
      <c r="D86" s="3092" t="s">
        <v>2679</v>
      </c>
      <c r="E86" s="3118">
        <v>0.1</v>
      </c>
      <c r="F86" s="3118">
        <v>15</v>
      </c>
    </row>
    <row r="87" spans="1:6" ht="24">
      <c r="A87" s="3118">
        <v>15</v>
      </c>
      <c r="B87" s="3798"/>
      <c r="C87" s="3092" t="s">
        <v>2680</v>
      </c>
      <c r="D87" s="3092" t="s">
        <v>2681</v>
      </c>
      <c r="E87" s="3118">
        <v>0.1</v>
      </c>
      <c r="F87" s="3118">
        <v>15</v>
      </c>
    </row>
    <row r="88" spans="1:6" ht="24">
      <c r="A88" s="3118">
        <v>16</v>
      </c>
      <c r="B88" s="3798"/>
      <c r="C88" s="3092" t="s">
        <v>2682</v>
      </c>
      <c r="D88" s="3092" t="s">
        <v>2683</v>
      </c>
      <c r="E88" s="3118">
        <v>0.1</v>
      </c>
      <c r="F88" s="3118">
        <v>15</v>
      </c>
    </row>
    <row r="89" spans="1:6" ht="24">
      <c r="A89" s="3118">
        <v>17</v>
      </c>
      <c r="B89" s="3797"/>
      <c r="C89" s="3092" t="s">
        <v>2684</v>
      </c>
      <c r="D89" s="3092" t="s">
        <v>2685</v>
      </c>
      <c r="E89" s="3118">
        <v>0.1</v>
      </c>
      <c r="F89" s="3118">
        <v>15</v>
      </c>
    </row>
    <row r="90" spans="1:6" ht="14.4">
      <c r="A90" s="3118">
        <v>18</v>
      </c>
      <c r="B90" s="3796" t="s">
        <v>2686</v>
      </c>
      <c r="C90" s="3092" t="s">
        <v>2687</v>
      </c>
      <c r="D90" s="3092" t="s">
        <v>2688</v>
      </c>
      <c r="E90" s="3118">
        <v>0.2</v>
      </c>
      <c r="F90" s="3118">
        <v>25</v>
      </c>
    </row>
    <row r="91" spans="1:6" ht="24">
      <c r="A91" s="3118">
        <v>19</v>
      </c>
      <c r="B91" s="3798"/>
      <c r="C91" s="3092" t="s">
        <v>2689</v>
      </c>
      <c r="D91" s="3092" t="s">
        <v>2690</v>
      </c>
      <c r="E91" s="3118">
        <v>0.2</v>
      </c>
      <c r="F91" s="3118">
        <v>25</v>
      </c>
    </row>
    <row r="92" spans="1:6" ht="14.4">
      <c r="A92" s="3118">
        <v>20</v>
      </c>
      <c r="B92" s="3798"/>
      <c r="C92" s="3092" t="s">
        <v>2691</v>
      </c>
      <c r="D92" s="3092" t="s">
        <v>2692</v>
      </c>
      <c r="E92" s="3118">
        <v>0.15</v>
      </c>
      <c r="F92" s="3118">
        <v>20</v>
      </c>
    </row>
    <row r="93" spans="1:6" ht="24">
      <c r="A93" s="3118">
        <v>21</v>
      </c>
      <c r="B93" s="3798"/>
      <c r="C93" s="3092" t="s">
        <v>2693</v>
      </c>
      <c r="D93" s="3092" t="s">
        <v>2694</v>
      </c>
      <c r="E93" s="3118">
        <v>0.15</v>
      </c>
      <c r="F93" s="3118">
        <v>20</v>
      </c>
    </row>
    <row r="94" spans="1:6" ht="24">
      <c r="A94" s="3118">
        <v>22</v>
      </c>
      <c r="B94" s="3798"/>
      <c r="C94" s="3092" t="s">
        <v>2695</v>
      </c>
      <c r="D94" s="3092" t="s">
        <v>2696</v>
      </c>
      <c r="E94" s="3118">
        <v>0.15</v>
      </c>
      <c r="F94" s="3118">
        <v>20</v>
      </c>
    </row>
    <row r="95" spans="1:6" ht="36">
      <c r="A95" s="3118">
        <v>23</v>
      </c>
      <c r="B95" s="3798"/>
      <c r="C95" s="3092" t="s">
        <v>2697</v>
      </c>
      <c r="D95" s="3092" t="s">
        <v>2698</v>
      </c>
      <c r="E95" s="3118">
        <v>0.15</v>
      </c>
      <c r="F95" s="3118">
        <v>20</v>
      </c>
    </row>
    <row r="96" spans="1:6" ht="24">
      <c r="A96" s="3118">
        <v>24</v>
      </c>
      <c r="B96" s="3798"/>
      <c r="C96" s="3092" t="s">
        <v>2699</v>
      </c>
      <c r="D96" s="3092" t="s">
        <v>2700</v>
      </c>
      <c r="E96" s="3118">
        <v>0.1</v>
      </c>
      <c r="F96" s="3118">
        <v>15</v>
      </c>
    </row>
    <row r="97" spans="1:6" ht="24">
      <c r="A97" s="3118">
        <v>25</v>
      </c>
      <c r="B97" s="3798"/>
      <c r="C97" s="3092" t="s">
        <v>2701</v>
      </c>
      <c r="D97" s="3092" t="s">
        <v>2702</v>
      </c>
      <c r="E97" s="3118">
        <v>0.1</v>
      </c>
      <c r="F97" s="3118">
        <v>15</v>
      </c>
    </row>
    <row r="98" spans="1:6" ht="24">
      <c r="A98" s="3118">
        <v>26</v>
      </c>
      <c r="B98" s="3798"/>
      <c r="C98" s="3092" t="s">
        <v>2703</v>
      </c>
      <c r="D98" s="3092" t="s">
        <v>2704</v>
      </c>
      <c r="E98" s="3118">
        <v>0.1</v>
      </c>
      <c r="F98" s="3118">
        <v>15</v>
      </c>
    </row>
    <row r="99" spans="1:6" ht="24">
      <c r="A99" s="3118">
        <v>27</v>
      </c>
      <c r="B99" s="3798"/>
      <c r="C99" s="3092" t="s">
        <v>2705</v>
      </c>
      <c r="D99" s="3092" t="s">
        <v>2706</v>
      </c>
      <c r="E99" s="3118">
        <v>0.1</v>
      </c>
      <c r="F99" s="3118">
        <v>15</v>
      </c>
    </row>
    <row r="100" spans="1:6" ht="24">
      <c r="A100" s="3118">
        <v>28</v>
      </c>
      <c r="B100" s="3798"/>
      <c r="C100" s="3092" t="s">
        <v>2707</v>
      </c>
      <c r="D100" s="3092" t="s">
        <v>2708</v>
      </c>
      <c r="E100" s="3118">
        <v>0.1</v>
      </c>
      <c r="F100" s="3118">
        <v>15</v>
      </c>
    </row>
    <row r="101" spans="1:6" ht="24">
      <c r="A101" s="3118">
        <v>29</v>
      </c>
      <c r="B101" s="3798"/>
      <c r="C101" s="3092" t="s">
        <v>2709</v>
      </c>
      <c r="D101" s="3092" t="s">
        <v>2710</v>
      </c>
      <c r="E101" s="3118">
        <v>0.1</v>
      </c>
      <c r="F101" s="3118">
        <v>15</v>
      </c>
    </row>
    <row r="102" spans="1:6" ht="24">
      <c r="A102" s="3118">
        <v>30</v>
      </c>
      <c r="B102" s="3798"/>
      <c r="C102" s="3092" t="s">
        <v>2711</v>
      </c>
      <c r="D102" s="3092" t="s">
        <v>2712</v>
      </c>
      <c r="E102" s="3118">
        <v>0.1</v>
      </c>
      <c r="F102" s="3118">
        <v>15</v>
      </c>
    </row>
    <row r="103" spans="1:6" ht="24">
      <c r="A103" s="3118">
        <v>31</v>
      </c>
      <c r="B103" s="3798"/>
      <c r="C103" s="3092" t="s">
        <v>2713</v>
      </c>
      <c r="D103" s="3092" t="s">
        <v>2714</v>
      </c>
      <c r="E103" s="3118">
        <v>0.1</v>
      </c>
      <c r="F103" s="3118">
        <v>15</v>
      </c>
    </row>
    <row r="104" spans="1:6" ht="24">
      <c r="A104" s="3118">
        <v>32</v>
      </c>
      <c r="B104" s="3798"/>
      <c r="C104" s="3092" t="s">
        <v>2715</v>
      </c>
      <c r="D104" s="3092" t="s">
        <v>2716</v>
      </c>
      <c r="E104" s="3118">
        <v>0.1</v>
      </c>
      <c r="F104" s="3118">
        <v>15</v>
      </c>
    </row>
    <row r="105" spans="1:6" ht="24">
      <c r="A105" s="3118">
        <v>33</v>
      </c>
      <c r="B105" s="3798"/>
      <c r="C105" s="3092" t="s">
        <v>2717</v>
      </c>
      <c r="D105" s="3092" t="s">
        <v>2718</v>
      </c>
      <c r="E105" s="3118">
        <v>0.1</v>
      </c>
      <c r="F105" s="3118">
        <v>15</v>
      </c>
    </row>
    <row r="106" spans="1:6" ht="24">
      <c r="A106" s="3118">
        <v>34</v>
      </c>
      <c r="B106" s="3797"/>
      <c r="C106" s="3092" t="s">
        <v>2719</v>
      </c>
      <c r="D106" s="3092" t="s">
        <v>2720</v>
      </c>
      <c r="E106" s="3118">
        <v>0.1</v>
      </c>
      <c r="F106" s="3118">
        <v>15</v>
      </c>
    </row>
    <row r="107" spans="1:6" ht="36">
      <c r="A107" s="3118">
        <v>35</v>
      </c>
      <c r="B107" s="3796" t="s">
        <v>2721</v>
      </c>
      <c r="C107" s="3118" t="s">
        <v>2722</v>
      </c>
      <c r="D107" s="3092" t="s">
        <v>2723</v>
      </c>
      <c r="E107" s="3118">
        <v>0.15</v>
      </c>
      <c r="F107" s="3118">
        <v>20</v>
      </c>
    </row>
    <row r="108" spans="1:6" ht="24">
      <c r="A108" s="3118">
        <v>36</v>
      </c>
      <c r="B108" s="3798"/>
      <c r="C108" s="3118" t="s">
        <v>2724</v>
      </c>
      <c r="D108" s="3092" t="s">
        <v>2725</v>
      </c>
      <c r="E108" s="3118">
        <v>0.15</v>
      </c>
      <c r="F108" s="3118">
        <v>20</v>
      </c>
    </row>
    <row r="109" spans="1:6" ht="24">
      <c r="A109" s="3118">
        <v>37</v>
      </c>
      <c r="B109" s="3798"/>
      <c r="C109" s="3118" t="s">
        <v>2726</v>
      </c>
      <c r="D109" s="3092" t="s">
        <v>2727</v>
      </c>
      <c r="E109" s="3118">
        <v>0.15</v>
      </c>
      <c r="F109" s="3118">
        <v>20</v>
      </c>
    </row>
    <row r="110" spans="1:6" ht="24">
      <c r="A110" s="3118">
        <v>38</v>
      </c>
      <c r="B110" s="3798"/>
      <c r="C110" s="3118" t="s">
        <v>2728</v>
      </c>
      <c r="D110" s="3092" t="s">
        <v>2729</v>
      </c>
      <c r="E110" s="3118">
        <v>0.1</v>
      </c>
      <c r="F110" s="3118">
        <v>15</v>
      </c>
    </row>
    <row r="111" spans="1:6" ht="24">
      <c r="A111" s="3118">
        <v>39</v>
      </c>
      <c r="B111" s="3798"/>
      <c r="C111" s="3118" t="s">
        <v>2730</v>
      </c>
      <c r="D111" s="3092" t="s">
        <v>2731</v>
      </c>
      <c r="E111" s="3118">
        <v>0.1</v>
      </c>
      <c r="F111" s="3118">
        <v>15</v>
      </c>
    </row>
    <row r="112" spans="1:6" ht="24">
      <c r="A112" s="3118">
        <v>40</v>
      </c>
      <c r="B112" s="3797"/>
      <c r="C112" s="3118" t="s">
        <v>2732</v>
      </c>
      <c r="D112" s="3092" t="s">
        <v>2733</v>
      </c>
      <c r="E112" s="3118">
        <v>0.1</v>
      </c>
      <c r="F112" s="3118">
        <v>15</v>
      </c>
    </row>
    <row r="113" spans="1:6" ht="24">
      <c r="A113" s="3118">
        <v>41</v>
      </c>
      <c r="B113" s="3795" t="s">
        <v>2734</v>
      </c>
      <c r="C113" s="3118" t="s">
        <v>2735</v>
      </c>
      <c r="D113" s="3092" t="s">
        <v>2736</v>
      </c>
      <c r="E113" s="3118">
        <v>0.1</v>
      </c>
      <c r="F113" s="3118">
        <v>15</v>
      </c>
    </row>
    <row r="114" spans="1:6" ht="24">
      <c r="A114" s="3118">
        <v>42</v>
      </c>
      <c r="B114" s="3795"/>
      <c r="C114" s="3118" t="s">
        <v>2737</v>
      </c>
      <c r="D114" s="3092" t="s">
        <v>2738</v>
      </c>
      <c r="E114" s="3118">
        <v>0.1</v>
      </c>
      <c r="F114" s="3118">
        <v>15</v>
      </c>
    </row>
    <row r="115" spans="1:6" ht="24">
      <c r="A115" s="3118">
        <v>43</v>
      </c>
      <c r="B115" s="3795"/>
      <c r="C115" s="3118" t="s">
        <v>2739</v>
      </c>
      <c r="D115" s="3092" t="s">
        <v>2740</v>
      </c>
      <c r="E115" s="3118">
        <v>0.1</v>
      </c>
      <c r="F115" s="3118">
        <v>15</v>
      </c>
    </row>
    <row r="116" spans="1:6" ht="24">
      <c r="A116" s="3118">
        <v>44</v>
      </c>
      <c r="B116" s="3796" t="s">
        <v>2741</v>
      </c>
      <c r="C116" s="3118" t="s">
        <v>2742</v>
      </c>
      <c r="D116" s="3092" t="s">
        <v>2743</v>
      </c>
      <c r="E116" s="3118">
        <v>0.1</v>
      </c>
      <c r="F116" s="3118">
        <v>15</v>
      </c>
    </row>
    <row r="117" spans="1:6" ht="24">
      <c r="A117" s="3118">
        <v>45</v>
      </c>
      <c r="B117" s="3797"/>
      <c r="C117" s="3092" t="s">
        <v>2744</v>
      </c>
      <c r="D117" s="3092" t="s">
        <v>2745</v>
      </c>
      <c r="E117" s="3118">
        <v>0.1</v>
      </c>
      <c r="F117" s="3118">
        <v>15</v>
      </c>
    </row>
    <row r="118" spans="1:6" ht="24">
      <c r="A118" s="3118">
        <v>46</v>
      </c>
      <c r="B118" s="3796" t="s">
        <v>2746</v>
      </c>
      <c r="C118" s="3118" t="s">
        <v>2747</v>
      </c>
      <c r="D118" s="3092" t="s">
        <v>2748</v>
      </c>
      <c r="E118" s="3118">
        <v>0.1</v>
      </c>
      <c r="F118" s="3118">
        <v>15</v>
      </c>
    </row>
    <row r="119" spans="1:6" ht="24">
      <c r="A119" s="3118">
        <v>47</v>
      </c>
      <c r="B119" s="3797"/>
      <c r="C119" s="3118" t="s">
        <v>2749</v>
      </c>
      <c r="D119" s="3092" t="s">
        <v>2750</v>
      </c>
      <c r="E119" s="3118">
        <v>0.1</v>
      </c>
      <c r="F119" s="3118">
        <v>15</v>
      </c>
    </row>
    <row r="120" spans="1:6" ht="24">
      <c r="A120" s="3118">
        <v>48</v>
      </c>
      <c r="B120" s="3796" t="s">
        <v>2751</v>
      </c>
      <c r="C120" s="3118" t="s">
        <v>2752</v>
      </c>
      <c r="D120" s="3092" t="s">
        <v>2753</v>
      </c>
      <c r="E120" s="3118">
        <v>0.1</v>
      </c>
      <c r="F120" s="3118">
        <v>15</v>
      </c>
    </row>
    <row r="121" spans="1:6" ht="24">
      <c r="A121" s="3118">
        <v>49</v>
      </c>
      <c r="B121" s="3797"/>
      <c r="C121" s="3118" t="s">
        <v>2754</v>
      </c>
      <c r="D121" s="3092" t="s">
        <v>2755</v>
      </c>
      <c r="E121" s="3118">
        <v>0.1</v>
      </c>
      <c r="F121" s="3118">
        <v>15</v>
      </c>
    </row>
    <row r="122" spans="1:6" ht="24">
      <c r="A122" s="3118">
        <v>50</v>
      </c>
      <c r="B122" s="3795" t="s">
        <v>2756</v>
      </c>
      <c r="C122" s="3118" t="s">
        <v>2757</v>
      </c>
      <c r="D122" s="3092" t="s">
        <v>2758</v>
      </c>
      <c r="E122" s="3118">
        <v>0.1</v>
      </c>
      <c r="F122" s="3118">
        <v>15</v>
      </c>
    </row>
    <row r="123" spans="1:6" ht="24">
      <c r="A123" s="3118">
        <v>51</v>
      </c>
      <c r="B123" s="3795"/>
      <c r="C123" s="3118" t="s">
        <v>2759</v>
      </c>
      <c r="D123" s="3092" t="s">
        <v>2760</v>
      </c>
      <c r="E123" s="3118">
        <v>0.1</v>
      </c>
      <c r="F123" s="3118">
        <v>15</v>
      </c>
    </row>
    <row r="124" spans="1:6" ht="24">
      <c r="A124" s="3118">
        <v>52</v>
      </c>
      <c r="B124" s="3795" t="s">
        <v>2761</v>
      </c>
      <c r="C124" s="3118" t="s">
        <v>2762</v>
      </c>
      <c r="D124" s="3092" t="s">
        <v>2763</v>
      </c>
      <c r="E124" s="3118">
        <v>0.1</v>
      </c>
      <c r="F124" s="3118">
        <v>15</v>
      </c>
    </row>
    <row r="125" spans="1:6" ht="24">
      <c r="A125" s="3118">
        <v>53</v>
      </c>
      <c r="B125" s="379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5" t="s">
        <v>2769</v>
      </c>
      <c r="C127" s="3118" t="s">
        <v>2770</v>
      </c>
      <c r="D127" s="3092" t="s">
        <v>2771</v>
      </c>
      <c r="E127" s="3118">
        <v>0.1</v>
      </c>
      <c r="F127" s="3118">
        <v>15</v>
      </c>
    </row>
    <row r="128" spans="1:6" ht="24">
      <c r="A128" s="3118">
        <v>56</v>
      </c>
      <c r="B128" s="3795"/>
      <c r="C128" s="3118" t="s">
        <v>2772</v>
      </c>
      <c r="D128" s="3092" t="s">
        <v>2773</v>
      </c>
      <c r="E128" s="3118">
        <v>0.1</v>
      </c>
      <c r="F128" s="3118">
        <v>15</v>
      </c>
    </row>
    <row r="129" spans="1:6" ht="24">
      <c r="A129" s="3118">
        <v>57</v>
      </c>
      <c r="B129" s="3795"/>
      <c r="C129" s="3118" t="s">
        <v>2774</v>
      </c>
      <c r="D129" s="3092" t="s">
        <v>2775</v>
      </c>
      <c r="E129" s="3118">
        <v>0.1</v>
      </c>
      <c r="F129" s="3118">
        <v>15</v>
      </c>
    </row>
    <row r="130" spans="1:6" ht="24">
      <c r="A130" s="3118">
        <v>58</v>
      </c>
      <c r="B130" s="3795" t="s">
        <v>2776</v>
      </c>
      <c r="C130" s="3118" t="s">
        <v>2777</v>
      </c>
      <c r="D130" s="3092" t="s">
        <v>2778</v>
      </c>
      <c r="E130" s="3118">
        <v>0.1</v>
      </c>
      <c r="F130" s="3118">
        <v>15</v>
      </c>
    </row>
    <row r="131" spans="1:6" ht="24">
      <c r="A131" s="3118">
        <v>59</v>
      </c>
      <c r="B131" s="3795"/>
      <c r="C131" s="3118" t="s">
        <v>2779</v>
      </c>
      <c r="D131" s="3092" t="s">
        <v>2780</v>
      </c>
      <c r="E131" s="3118">
        <v>0.1</v>
      </c>
      <c r="F131" s="3118">
        <v>15</v>
      </c>
    </row>
    <row r="132" spans="1:6" ht="24">
      <c r="A132" s="3118">
        <v>60</v>
      </c>
      <c r="B132" s="3796" t="s">
        <v>2781</v>
      </c>
      <c r="C132" s="3118" t="s">
        <v>2782</v>
      </c>
      <c r="D132" s="3092" t="s">
        <v>2783</v>
      </c>
      <c r="E132" s="3118">
        <v>0.1</v>
      </c>
      <c r="F132" s="3118">
        <v>15</v>
      </c>
    </row>
    <row r="133" spans="1:6" ht="24">
      <c r="A133" s="3118">
        <v>61</v>
      </c>
      <c r="B133" s="379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5" t="s">
        <v>2789</v>
      </c>
      <c r="C135" s="3118" t="s">
        <v>2790</v>
      </c>
      <c r="D135" s="3092" t="s">
        <v>2791</v>
      </c>
      <c r="E135" s="3118">
        <v>0.1</v>
      </c>
      <c r="F135" s="3118">
        <v>15</v>
      </c>
    </row>
    <row r="136" spans="1:6" ht="24">
      <c r="A136" s="3118">
        <v>64</v>
      </c>
      <c r="B136" s="379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1.0985</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估价结果一览表（市场价值不需“结果表-1”）</v>
      </c>
      <c r="B3" s="3487"/>
      <c r="C3" s="3487"/>
      <c r="D3" s="3487"/>
      <c r="E3" s="3487"/>
    </row>
    <row r="4" spans="1:5" ht="18" thickBot="1">
      <c r="A4" s="1493"/>
      <c r="B4" s="3485" t="s">
        <v>917</v>
      </c>
      <c r="C4" s="3485"/>
      <c r="D4" s="3485"/>
      <c r="E4" s="1493"/>
    </row>
    <row r="5" spans="1:5" ht="16.2" thickTop="1">
      <c r="A5" s="1491"/>
      <c r="B5" s="3483" t="s">
        <v>909</v>
      </c>
      <c r="C5" s="1494" t="s">
        <v>910</v>
      </c>
      <c r="D5" s="850" t="e">
        <f ca="1">结果表!H101</f>
        <v>#REF!</v>
      </c>
      <c r="E5" s="1491"/>
    </row>
    <row r="6" spans="1:5" ht="15.6">
      <c r="A6" s="1491"/>
      <c r="B6" s="3483"/>
      <c r="C6" s="1494" t="s">
        <v>911</v>
      </c>
      <c r="D6" s="850" t="e">
        <f ca="1">NUMBERSTRING(INT(D5*10000),2)&amp;"元整"</f>
        <v>#REF!</v>
      </c>
      <c r="E6" s="1491"/>
    </row>
    <row r="7" spans="1:5" ht="15.6">
      <c r="A7" s="1491"/>
      <c r="B7" s="3488"/>
      <c r="C7" s="1495" t="s">
        <v>912</v>
      </c>
      <c r="D7" s="851" t="e">
        <f ca="1">结果表!H102</f>
        <v>#REF!</v>
      </c>
      <c r="E7" s="1491"/>
    </row>
    <row r="8" spans="1:5" ht="15.6">
      <c r="A8" s="1491"/>
      <c r="B8" s="3489" t="str">
        <f>结果表!E103</f>
        <v>2.估价师知悉的法定优先受偿款</v>
      </c>
      <c r="C8" s="1496" t="s">
        <v>913</v>
      </c>
      <c r="D8" s="851">
        <f>结果表!H103</f>
        <v>0</v>
      </c>
      <c r="E8" s="1491"/>
    </row>
    <row r="9" spans="1:5" ht="15.6">
      <c r="A9" s="1491"/>
      <c r="B9" s="349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2" t="str">
        <f>结果表!E107</f>
        <v>3.房地产抵押价值</v>
      </c>
      <c r="C13" s="1499" t="s">
        <v>910</v>
      </c>
      <c r="D13" s="853" t="e">
        <f ca="1">结果表!H107</f>
        <v>#REF!</v>
      </c>
      <c r="E13" s="1491"/>
    </row>
    <row r="14" spans="1:5" ht="15.6">
      <c r="A14" s="1491"/>
      <c r="B14" s="3483"/>
      <c r="C14" s="1494" t="s">
        <v>911</v>
      </c>
      <c r="D14" s="850" t="e">
        <f ca="1">NUMBERSTRING(INT(D13*10000),2)&amp;"元整"</f>
        <v>#REF!</v>
      </c>
      <c r="E14" s="1491"/>
    </row>
    <row r="15" spans="1:5" ht="15.6">
      <c r="A15" s="1491"/>
      <c r="B15" s="3488"/>
      <c r="C15" s="1495" t="s">
        <v>921</v>
      </c>
      <c r="D15" s="859" t="e">
        <f ca="1">结果表!H108</f>
        <v>#REF!</v>
      </c>
      <c r="E15" s="1491"/>
    </row>
    <row r="16" spans="1:5" ht="15.6">
      <c r="A16" s="1491"/>
      <c r="B16" s="3489" t="str">
        <f>结果表!E109</f>
        <v>——</v>
      </c>
      <c r="C16" s="1499" t="s">
        <v>922</v>
      </c>
      <c r="D16" s="1500" t="str">
        <f>结果表!H109</f>
        <v>——</v>
      </c>
      <c r="E16" s="1491"/>
    </row>
    <row r="17" spans="1:5" ht="15.6">
      <c r="A17" s="1491"/>
      <c r="B17" s="3490"/>
      <c r="C17" s="1494" t="s">
        <v>923</v>
      </c>
      <c r="D17" s="850" t="e">
        <f>NUMBERSTRING(INT(D16*10000),2)&amp;"元整"</f>
        <v>#VALUE!</v>
      </c>
      <c r="E17" s="1491"/>
    </row>
    <row r="18" spans="1:5" ht="15.6">
      <c r="A18" s="1491"/>
      <c r="B18" s="3491"/>
      <c r="C18" s="1495" t="s">
        <v>912</v>
      </c>
      <c r="D18" s="859" t="str">
        <f>结果表!H110</f>
        <v>——</v>
      </c>
      <c r="E18" s="1491"/>
    </row>
    <row r="19" spans="1:5" ht="15.6">
      <c r="A19" s="1491"/>
      <c r="B19" s="3482" t="str">
        <f>结果表!E111</f>
        <v>——</v>
      </c>
      <c r="C19" s="1499" t="s">
        <v>910</v>
      </c>
      <c r="D19" s="851" t="str">
        <f>结果表!H111</f>
        <v>——</v>
      </c>
      <c r="E19" s="1491"/>
    </row>
    <row r="20" spans="1:5" ht="15.6">
      <c r="A20" s="1491"/>
      <c r="B20" s="3483"/>
      <c r="C20" s="1494" t="s">
        <v>923</v>
      </c>
      <c r="D20" s="850" t="e">
        <f>NUMBERSTRING(INT(D19*10000),2)&amp;"元整"</f>
        <v>#VALUE!</v>
      </c>
      <c r="E20" s="1491"/>
    </row>
    <row r="21" spans="1:5" ht="16.2" thickBot="1">
      <c r="A21" s="1491"/>
      <c r="B21" s="348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27811</v>
      </c>
      <c r="C2" s="2" t="s">
        <v>106</v>
      </c>
      <c r="D2" s="199"/>
      <c r="E2" s="199"/>
      <c r="F2" s="199"/>
      <c r="G2" s="199"/>
    </row>
    <row r="3" spans="1:7" s="200" customFormat="1" ht="18" customHeight="1" thickBot="1">
      <c r="A3" s="203" t="s">
        <v>58</v>
      </c>
      <c r="B3" s="204">
        <f ca="1">ROUND(B2*10000/'数据-汇总表'!E3,0)</f>
        <v>3447930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80.66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80.66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2</v>
      </c>
      <c r="D37" s="217">
        <f>'数据-汇总表'!E3</f>
        <v>80.66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6.9999999999999999E-4</v>
      </c>
      <c r="D44" s="238"/>
      <c r="E44" s="238"/>
      <c r="F44" s="239"/>
      <c r="G44" s="3666"/>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32</v>
      </c>
      <c r="D51" s="232"/>
      <c r="E51" s="232"/>
      <c r="F51" s="264"/>
      <c r="G51" s="234" t="s">
        <v>37</v>
      </c>
    </row>
    <row r="52" spans="1:7" s="208" customFormat="1" ht="16.8" thickBot="1">
      <c r="A52" s="265" t="s">
        <v>38</v>
      </c>
      <c r="B52" s="266"/>
      <c r="C52" s="267">
        <f ca="1">C31+C51</f>
        <v>27811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9" t="s">
        <v>2839</v>
      </c>
      <c r="B1" s="3809"/>
      <c r="C1" s="3809"/>
      <c r="D1" s="3809"/>
      <c r="E1" s="3809"/>
      <c r="F1" s="3809"/>
      <c r="G1" s="381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11" t="s">
        <v>3181</v>
      </c>
      <c r="B1" s="381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12" t="s">
        <v>3232</v>
      </c>
      <c r="B1" s="3812"/>
      <c r="C1" s="3812"/>
      <c r="D1" s="3812"/>
      <c r="E1" s="3812"/>
      <c r="F1" s="381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45371</v>
      </c>
      <c r="B1" s="3210" t="s">
        <v>3370</v>
      </c>
      <c r="C1" s="3211"/>
      <c r="D1" s="3211"/>
      <c r="E1" s="3211"/>
      <c r="F1" s="3211"/>
      <c r="G1" s="3211"/>
      <c r="H1" s="3211"/>
      <c r="I1" s="3211"/>
      <c r="J1" s="3165"/>
      <c r="K1" s="3211" t="s">
        <v>454</v>
      </c>
      <c r="L1" s="3211"/>
      <c r="M1" s="3211"/>
      <c r="N1" s="3211"/>
      <c r="O1" s="3211"/>
      <c r="P1" s="3211"/>
      <c r="Q1" s="3165"/>
      <c r="R1" s="3814" t="s">
        <v>456</v>
      </c>
      <c r="S1" s="3815"/>
      <c r="T1" s="3815"/>
      <c r="U1" s="3815"/>
      <c r="V1" s="3815"/>
      <c r="W1" s="3815"/>
      <c r="X1" s="3165"/>
      <c r="Y1" s="3814" t="s">
        <v>457</v>
      </c>
      <c r="Z1" s="3815"/>
      <c r="AA1" s="3815"/>
      <c r="AB1" s="3815"/>
      <c r="AC1" s="3815"/>
      <c r="AD1" s="381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3377</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3379</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3374</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3373</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3369</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3368</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3367</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3363</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3354</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2820</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2821</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2822</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2823</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2824</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3365</v>
      </c>
    </row>
    <row r="22" spans="1:30" s="3009" customFormat="1">
      <c r="I22" s="3208" t="s">
        <v>2825</v>
      </c>
    </row>
    <row r="23" spans="1:30" s="3009" customFormat="1"/>
    <row r="24" spans="1:30" s="3209" customFormat="1" ht="13.2">
      <c r="B24" s="3210" t="s">
        <v>3371</v>
      </c>
      <c r="C24" s="3211"/>
      <c r="D24" s="3211"/>
      <c r="E24" s="3211"/>
      <c r="F24" s="3211"/>
      <c r="G24" s="3211"/>
      <c r="H24" s="3211"/>
      <c r="I24" s="3211"/>
      <c r="J24" s="3165"/>
      <c r="K24" s="3211" t="s">
        <v>2826</v>
      </c>
      <c r="L24" s="3211"/>
      <c r="M24" s="3211"/>
      <c r="N24" s="3211"/>
      <c r="O24" s="3211"/>
      <c r="P24" s="3211"/>
      <c r="Q24" s="3165"/>
      <c r="R24" s="3814" t="s">
        <v>2827</v>
      </c>
      <c r="S24" s="3815"/>
      <c r="T24" s="3815"/>
      <c r="U24" s="3815"/>
      <c r="V24" s="3815"/>
      <c r="W24" s="3815"/>
      <c r="X24" s="3165"/>
      <c r="Y24" s="3814" t="s">
        <v>2828</v>
      </c>
      <c r="Z24" s="3815"/>
      <c r="AA24" s="3815"/>
      <c r="AB24" s="3815"/>
      <c r="AC24" s="3815"/>
      <c r="AD24" s="3815"/>
    </row>
    <row r="25" spans="1:30" s="3143" customFormat="1" ht="15" thickBot="1">
      <c r="B25" s="3144"/>
      <c r="C25" s="3145"/>
      <c r="D25" s="3146" t="s">
        <v>2829</v>
      </c>
      <c r="E25" s="3147" t="s">
        <v>2830</v>
      </c>
      <c r="F25" s="3147" t="s">
        <v>2831</v>
      </c>
      <c r="G25" s="3147" t="s">
        <v>2832</v>
      </c>
      <c r="H25" s="3147"/>
      <c r="I25" s="3147" t="s">
        <v>2833</v>
      </c>
      <c r="J25" s="3148"/>
      <c r="K25" s="3146" t="s">
        <v>2829</v>
      </c>
      <c r="L25" s="3147" t="s">
        <v>2830</v>
      </c>
      <c r="M25" s="3147" t="s">
        <v>2831</v>
      </c>
      <c r="N25" s="3147" t="s">
        <v>2832</v>
      </c>
      <c r="O25" s="3147"/>
      <c r="P25" s="3147" t="s">
        <v>2833</v>
      </c>
      <c r="Q25" s="3148"/>
      <c r="R25" s="3146" t="s">
        <v>2829</v>
      </c>
      <c r="S25" s="3147" t="s">
        <v>2830</v>
      </c>
      <c r="T25" s="3147" t="s">
        <v>2831</v>
      </c>
      <c r="U25" s="3147" t="s">
        <v>2832</v>
      </c>
      <c r="V25" s="3147"/>
      <c r="W25" s="3147" t="s">
        <v>2833</v>
      </c>
      <c r="X25" s="3148"/>
      <c r="Y25" s="3146" t="s">
        <v>2829</v>
      </c>
      <c r="Z25" s="3147" t="s">
        <v>2830</v>
      </c>
      <c r="AA25" s="3147" t="s">
        <v>2831</v>
      </c>
      <c r="AB25" s="3147" t="s">
        <v>2832</v>
      </c>
      <c r="AC25" s="3147"/>
      <c r="AD25" s="3147" t="s">
        <v>2833</v>
      </c>
    </row>
    <row r="26" spans="1:30" s="3161" customFormat="1" ht="13.2">
      <c r="A26" s="3149" t="s">
        <v>2834</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3376</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3377</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3378</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3375</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3373</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3372</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3368</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3367</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3364</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3354</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2835</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2836</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2837</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2838</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2824</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45371</v>
      </c>
      <c r="D1" s="1302" t="s">
        <v>603</v>
      </c>
      <c r="E1" s="1297">
        <f>'数据-取费表'!B22</f>
        <v>2</v>
      </c>
      <c r="F1" s="1302" t="s">
        <v>604</v>
      </c>
      <c r="G1" s="1298">
        <f ca="1">INDIRECT("d"&amp;$K$1)/100</f>
        <v>3.4500000000000003E-2</v>
      </c>
      <c r="H1" s="1302" t="s">
        <v>634</v>
      </c>
      <c r="I1" s="1298">
        <f ca="1">F4/100</f>
        <v>1.4999999999999999E-2</v>
      </c>
      <c r="J1" s="1303">
        <f>IF(C1&gt;C13,0,MATCH(C1,C$13:C$113,-1))+IF(SUMIF(C13:C113,C1,D13:D113)=0,13,12)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3.95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2310</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9" t="str">
        <f>IF(项目基本情况!B9="房地产市场价值","估价结果一览表","结果表-2")</f>
        <v>估价结果一览表</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房地产市场价值</v>
      </c>
      <c r="I2" s="3500"/>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80.66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4" t="str">
        <f>结果表!A120</f>
        <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6">
      <c r="A8" s="3494" t="str">
        <f>结果表!A122</f>
        <v/>
      </c>
      <c r="B8" s="3494"/>
      <c r="C8" s="3494"/>
      <c r="D8" s="3494" t="e">
        <f ca="1">结果表!D122</f>
        <v>#REF!</v>
      </c>
      <c r="E8" s="3494"/>
      <c r="F8" s="3494"/>
      <c r="G8" s="3494"/>
      <c r="H8" s="3494"/>
      <c r="I8" s="3494"/>
    </row>
    <row r="9" spans="1:9" ht="15">
      <c r="A9" s="3495" t="s">
        <v>927</v>
      </c>
      <c r="B9" s="3495"/>
      <c r="C9" s="3495"/>
      <c r="D9" s="3495" t="e">
        <f ca="1">结果表!D123</f>
        <v>#REF!</v>
      </c>
      <c r="E9" s="3495"/>
      <c r="F9" s="3495"/>
      <c r="G9" s="3495"/>
      <c r="H9" s="3495"/>
      <c r="I9" s="3495"/>
    </row>
    <row r="10" spans="1:9" ht="15.6">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6">
      <c r="A12" s="3494" t="str">
        <f>结果表!A126</f>
        <v/>
      </c>
      <c r="B12" s="3494"/>
      <c r="C12" s="3494"/>
      <c r="D12" s="3494" t="str">
        <f>结果表!D126</f>
        <v>——</v>
      </c>
      <c r="E12" s="3494"/>
      <c r="F12" s="3494"/>
      <c r="G12" s="3494"/>
      <c r="H12" s="3494"/>
      <c r="I12" s="3494"/>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7" t="s">
        <v>949</v>
      </c>
      <c r="B1" s="3507"/>
      <c r="C1" s="3507"/>
      <c r="D1" s="3507"/>
    </row>
    <row r="2" spans="1:4" ht="17.399999999999999">
      <c r="A2" s="3508" t="s">
        <v>933</v>
      </c>
      <c r="B2" s="3508"/>
      <c r="C2" s="3508"/>
      <c r="D2" s="350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8" t="s">
        <v>939</v>
      </c>
      <c r="B6" s="3508"/>
      <c r="C6" s="3508"/>
      <c r="D6" s="350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9"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1" t="str">
        <f>IF(项目基本情况!B8="抵押","3.抵押双方在办理抵押登记手续时，应使用本公司出具的正式《房地产评估报告》，特提醒报告使用者注意。","——")</f>
        <v>——</v>
      </c>
      <c r="B13" s="3506"/>
      <c r="C13" s="3506"/>
      <c r="D13" s="3506"/>
    </row>
    <row r="14" spans="1:4" ht="15.75" customHeight="1">
      <c r="A14" s="3501" t="str">
        <f>IF(项目基本情况!B8="抵押","4.本次评估估价师所知悉的法定优先受偿款情况说明如下：","——")</f>
        <v>——</v>
      </c>
      <c r="B14" s="3506"/>
      <c r="C14" s="3506"/>
      <c r="D14" s="3506"/>
    </row>
    <row r="15" spans="1:4" ht="42" customHeight="1">
      <c r="A15" s="3501" t="str">
        <f>IF(项目基本情况!B8="抵押","（1）"&amp;CONCATENATE(项目基本情况!L20,项目基本情况!L21,项目基本情况!L22),"——")</f>
        <v>——</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5" t="s">
        <v>956</v>
      </c>
      <c r="B15" s="3510" t="s">
        <v>109</v>
      </c>
      <c r="C15" s="3511"/>
    </row>
    <row r="16" spans="1:7" ht="14.4">
      <c r="A16" s="3516"/>
      <c r="B16" s="3510" t="s">
        <v>42</v>
      </c>
      <c r="C16" s="3511"/>
    </row>
    <row r="17" spans="1:3" ht="14.4">
      <c r="A17" s="3516"/>
      <c r="B17" s="3513" t="s">
        <v>957</v>
      </c>
      <c r="C17" s="1532" t="s">
        <v>956</v>
      </c>
    </row>
    <row r="18" spans="1:3" ht="14.4">
      <c r="A18" s="3516"/>
      <c r="B18" s="3513"/>
      <c r="C18" s="1532" t="s">
        <v>958</v>
      </c>
    </row>
    <row r="19" spans="1:3" ht="14.4">
      <c r="A19" s="3516"/>
      <c r="B19" s="3513"/>
      <c r="C19" s="1532" t="s">
        <v>959</v>
      </c>
    </row>
    <row r="20" spans="1:3" ht="14.4">
      <c r="A20" s="3517"/>
      <c r="B20" s="3512" t="s">
        <v>960</v>
      </c>
      <c r="C20" s="3511"/>
    </row>
    <row r="21" spans="1:3" ht="14.4">
      <c r="A21" s="1533" t="s">
        <v>961</v>
      </c>
      <c r="B21" s="1534"/>
      <c r="C21" s="1535"/>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32" t="s">
        <v>967</v>
      </c>
    </row>
    <row r="26" spans="1:3" ht="14.4">
      <c r="A26" s="3514"/>
      <c r="B26" s="3513"/>
      <c r="C26" s="1532" t="s">
        <v>968</v>
      </c>
    </row>
    <row r="27" spans="1:3" ht="14.4">
      <c r="A27" s="3514"/>
      <c r="B27" s="3513"/>
      <c r="C27" s="1532" t="s">
        <v>969</v>
      </c>
    </row>
    <row r="28" spans="1:3" ht="14.4">
      <c r="A28" s="3514"/>
      <c r="B28" s="3513"/>
      <c r="C28" s="1532" t="s">
        <v>970</v>
      </c>
    </row>
    <row r="29" spans="1:3" ht="14.4">
      <c r="A29" s="3514"/>
      <c r="B29" s="3513"/>
      <c r="C29" s="1532" t="s">
        <v>971</v>
      </c>
    </row>
    <row r="30" spans="1:3" ht="14.4">
      <c r="A30" s="3514"/>
      <c r="B30" s="3513"/>
      <c r="C30" s="1532" t="s">
        <v>972</v>
      </c>
    </row>
    <row r="31" spans="1:3" ht="14.4">
      <c r="A31" s="3514"/>
      <c r="B31" s="3513"/>
      <c r="C31" s="1532" t="s">
        <v>973</v>
      </c>
    </row>
    <row r="32" spans="1:3" ht="14.4">
      <c r="A32" s="3514"/>
      <c r="B32" s="3513"/>
      <c r="C32" s="1532" t="s">
        <v>974</v>
      </c>
    </row>
    <row r="33" spans="1:3" ht="14.4">
      <c r="A33" s="3514"/>
      <c r="B33" s="351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45989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3"/>
      <c r="E18" s="3520" t="s">
        <v>2161</v>
      </c>
      <c r="F18" s="3519"/>
      <c r="G18" s="351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2025-11-28T03:39:11Z</dcterms:modified>
</cp:coreProperties>
</file>