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AO7" i="1"/>
  <c r="B7" i="70"/>
  <c r="B2" i="70"/>
  <c r="D19" i="9"/>
  <c r="G19" i="9"/>
  <c r="C32" i="9"/>
  <c r="H118" i="9"/>
  <c r="H101" i="9"/>
  <c r="F35" i="9"/>
  <c r="F34" i="9"/>
  <c r="C19" i="68"/>
  <c r="C20" i="68"/>
  <c r="B35" i="1"/>
  <c r="E37" i="68"/>
  <c r="F17" i="15"/>
  <c r="AK19" i="1"/>
  <c r="B59" i="1"/>
  <c r="N18" i="1"/>
  <c r="N6" i="1"/>
  <c r="E71" i="39"/>
  <c r="F71" i="39"/>
  <c r="G71" i="39"/>
  <c r="H71" i="39"/>
  <c r="I71" i="39"/>
  <c r="J71" i="39"/>
  <c r="K71" i="39"/>
  <c r="L71" i="39"/>
  <c r="M71" i="39"/>
  <c r="N71" i="39"/>
  <c r="O71" i="39"/>
  <c r="D71" i="39"/>
  <c r="I46" i="39"/>
  <c r="G46" i="39"/>
  <c r="E46" i="39"/>
  <c r="I38" i="39"/>
  <c r="G38" i="39"/>
  <c r="E38" i="39"/>
  <c r="I11" i="39"/>
  <c r="G11" i="39"/>
  <c r="E11" i="39"/>
  <c r="C11" i="39"/>
  <c r="E15" i="4"/>
  <c r="F6" i="1"/>
  <c r="C10" i="39"/>
  <c r="I7" i="39"/>
  <c r="G7" i="39"/>
  <c r="E7" i="39"/>
  <c r="I5" i="39"/>
  <c r="G5" i="39"/>
  <c r="E5" i="39"/>
  <c r="C5" i="39"/>
  <c r="B21" i="1"/>
  <c r="F19" i="6"/>
  <c r="K23" i="9"/>
  <c r="K22" i="9"/>
  <c r="P74" i="77"/>
  <c r="Q72" i="77"/>
  <c r="Q59" i="77"/>
  <c r="K59" i="77"/>
  <c r="P61" i="77"/>
  <c r="F59" i="77"/>
  <c r="Q58" i="77"/>
  <c r="Q51" i="77"/>
  <c r="J50" i="77"/>
  <c r="J49" i="77"/>
  <c r="J51" i="77"/>
  <c r="M47" i="77"/>
  <c r="D46" i="77"/>
  <c r="F33" i="77"/>
  <c r="F61" i="77"/>
  <c r="F32" i="77"/>
  <c r="F60" i="77"/>
  <c r="F31" i="77"/>
  <c r="F28" i="77"/>
  <c r="C28" i="77"/>
  <c r="F23" i="77"/>
  <c r="D24" i="77"/>
  <c r="F21" i="77"/>
  <c r="F20" i="77"/>
  <c r="M19" i="77"/>
  <c r="M18" i="77"/>
  <c r="F18" i="77"/>
  <c r="M17" i="77"/>
  <c r="F15" i="77"/>
  <c r="J49" i="15"/>
  <c r="K24" i="9"/>
  <c r="K25" i="9"/>
  <c r="D22" i="77"/>
  <c r="D23" i="77"/>
  <c r="Y20" i="1"/>
  <c r="V23" i="1"/>
  <c r="X22" i="1"/>
  <c r="Y22" i="1"/>
  <c r="X21" i="1"/>
  <c r="Y21" i="1"/>
  <c r="V22" i="1"/>
  <c r="V21" i="1"/>
  <c r="V20" i="1"/>
  <c r="U4" i="43"/>
  <c r="U3" i="43"/>
  <c r="U2" i="43"/>
  <c r="F17" i="77"/>
  <c r="B29" i="1"/>
  <c r="Y6" i="1"/>
  <c r="C11" i="4"/>
  <c r="B7" i="4"/>
  <c r="D3" i="4"/>
  <c r="Y23" i="1"/>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D116" i="39"/>
  <c r="E116" i="39"/>
  <c r="F116" i="39"/>
  <c r="G116" i="39"/>
  <c r="H116" i="39"/>
  <c r="I116" i="39"/>
  <c r="J116" i="39"/>
  <c r="K116" i="39"/>
  <c r="L116" i="39"/>
  <c r="M116" i="39"/>
  <c r="C116" i="39"/>
  <c r="A21" i="62"/>
  <c r="A20" i="62"/>
  <c r="B66" i="72"/>
  <c r="A22" i="51"/>
  <c r="B17" i="72"/>
  <c r="A21" i="51"/>
  <c r="A20" i="51"/>
  <c r="A15" i="62"/>
  <c r="A14" i="62"/>
  <c r="A13" i="62"/>
  <c r="B59" i="72"/>
  <c r="A19" i="62"/>
  <c r="A12" i="62"/>
  <c r="B58" i="72"/>
  <c r="A120" i="9"/>
  <c r="H2" i="52"/>
  <c r="A1" i="52"/>
  <c r="A3" i="53"/>
  <c r="Q14" i="71"/>
  <c r="P14" i="71"/>
  <c r="O14" i="71"/>
  <c r="N14"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G1" i="77"/>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5" i="3"/>
  <c r="BQ16" i="3"/>
  <c r="BQ17" i="3"/>
  <c r="BS13" i="3"/>
  <c r="BS14" i="3"/>
  <c r="BS15" i="3"/>
  <c r="BS16" i="3"/>
  <c r="BS17" i="3"/>
  <c r="BR14" i="3"/>
  <c r="BR15" i="3"/>
  <c r="BR16" i="3"/>
  <c r="BR17" i="3"/>
  <c r="BT13" i="3"/>
  <c r="BT14" i="3"/>
  <c r="BT15" i="3"/>
  <c r="BT5" i="3"/>
  <c r="BT16" i="3"/>
  <c r="BT17" i="3"/>
  <c r="BM14" i="3"/>
  <c r="BM15" i="3"/>
  <c r="BL15" i="3"/>
  <c r="BL5" i="3"/>
  <c r="BM16" i="3"/>
  <c r="BM17" i="3"/>
  <c r="BO13" i="3"/>
  <c r="BO14" i="3"/>
  <c r="BO15" i="3"/>
  <c r="BO5" i="3"/>
  <c r="BO16" i="3"/>
  <c r="BO17" i="3"/>
  <c r="BN13" i="3"/>
  <c r="BN14" i="3"/>
  <c r="BN15" i="3"/>
  <c r="BN16" i="3"/>
  <c r="BN17" i="3"/>
  <c r="BP13" i="3"/>
  <c r="BP14" i="3"/>
  <c r="BP15" i="3"/>
  <c r="BP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c r="BF15" i="3"/>
  <c r="BG15" i="3"/>
  <c r="BH15" i="3"/>
  <c r="BI15" i="3"/>
  <c r="BI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S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27" i="39"/>
  <c r="AC27" i="39"/>
  <c r="F27" i="39"/>
  <c r="AA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c r="AB34" i="39"/>
  <c r="U40" i="39"/>
  <c r="S42" i="39"/>
  <c r="W14" i="39"/>
  <c r="AA41" i="39"/>
  <c r="W9" i="39"/>
  <c r="W8" i="39"/>
  <c r="J19" i="40"/>
  <c r="AC19" i="40"/>
  <c r="J50" i="40"/>
  <c r="H103" i="9"/>
  <c r="D8" i="53"/>
  <c r="B16" i="53"/>
  <c r="B33" i="72"/>
  <c r="C7" i="37"/>
  <c r="C7" i="34"/>
  <c r="C7" i="36"/>
  <c r="W35" i="40"/>
  <c r="A118" i="9"/>
  <c r="A4" i="52"/>
  <c r="B41"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c r="BR5" i="3"/>
  <c r="G28" i="6"/>
  <c r="AZ380" i="3"/>
  <c r="AZ384" i="3"/>
  <c r="AZ388" i="3"/>
  <c r="AZ392" i="3"/>
  <c r="AZ396" i="3"/>
  <c r="AZ394" i="3"/>
  <c r="AZ499" i="3"/>
  <c r="AZ509" i="3"/>
  <c r="E8" i="6"/>
  <c r="F27" i="6"/>
  <c r="G509" i="3"/>
  <c r="BL493" i="3"/>
  <c r="AZ491" i="3"/>
  <c r="AZ376" i="3"/>
  <c r="AZ390" i="3"/>
  <c r="AZ382" i="3"/>
  <c r="AZ493" i="3"/>
  <c r="U36" i="40"/>
  <c r="F36" i="43"/>
  <c r="F81" i="43"/>
  <c r="H83" i="43"/>
  <c r="H113" i="43"/>
  <c r="F70" i="43"/>
  <c r="H73" i="43"/>
  <c r="M11" i="43"/>
  <c r="D17" i="43"/>
  <c r="F39" i="43"/>
  <c r="I17" i="43"/>
  <c r="F35" i="43"/>
  <c r="J17"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62" i="39"/>
  <c r="K6" i="1"/>
  <c r="G29" i="6"/>
  <c r="E29" i="6"/>
  <c r="AC26" i="33"/>
  <c r="W26" i="33"/>
  <c r="W27" i="34"/>
  <c r="AC27" i="34"/>
  <c r="AB34" i="36"/>
  <c r="U34" i="36"/>
  <c r="AB33" i="36"/>
  <c r="U33" i="36"/>
  <c r="AC12" i="39"/>
  <c r="W12" i="39"/>
  <c r="AC39" i="40"/>
  <c r="W39" i="40"/>
  <c r="AZ401" i="3"/>
  <c r="AZ412" i="3"/>
  <c r="AZ417" i="3"/>
  <c r="AZ428" i="3"/>
  <c r="AZ433" i="3"/>
  <c r="AZ465" i="3"/>
  <c r="AZ586" i="3"/>
  <c r="F22" i="43"/>
  <c r="K101" i="43"/>
  <c r="N101" i="43"/>
  <c r="N106" i="43"/>
  <c r="G101" i="43"/>
  <c r="J101" i="43"/>
  <c r="J103"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BA13" i="3"/>
  <c r="E11" i="6"/>
  <c r="E61" i="39"/>
  <c r="BL17" i="3"/>
  <c r="AZ17" i="3"/>
  <c r="BL13" i="3"/>
  <c r="J56" i="9"/>
  <c r="J57" i="9"/>
  <c r="J59" i="9"/>
  <c r="J61" i="9"/>
  <c r="A24" i="51"/>
  <c r="B18" i="72"/>
  <c r="U29" i="34"/>
  <c r="E5" i="6"/>
  <c r="G102" i="43"/>
  <c r="L101" i="43"/>
  <c r="L105" i="43"/>
  <c r="H101" i="43"/>
  <c r="H102" i="43"/>
  <c r="M101" i="43"/>
  <c r="M102" i="43"/>
  <c r="E101" i="43"/>
  <c r="E102" i="43"/>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c r="AD11" i="43"/>
  <c r="AD13" i="43"/>
  <c r="Z11" i="43"/>
  <c r="Z13" i="43"/>
  <c r="S5" i="43"/>
  <c r="AG11" i="43"/>
  <c r="AG13" i="43"/>
  <c r="AC11" i="43"/>
  <c r="AC13" i="43"/>
  <c r="Y11" i="43"/>
  <c r="Y13" i="43"/>
  <c r="E70" i="43"/>
  <c r="B68" i="43"/>
  <c r="F100" i="43"/>
  <c r="H17" i="43"/>
  <c r="D9" i="53"/>
  <c r="B25" i="72"/>
  <c r="B24" i="72"/>
  <c r="G6" i="1"/>
  <c r="H85" i="43"/>
  <c r="H81" i="43"/>
  <c r="H84" i="43"/>
  <c r="H88" i="43"/>
  <c r="H78" i="43"/>
  <c r="H71" i="43"/>
  <c r="C17" i="43"/>
  <c r="F33" i="43"/>
  <c r="K17" i="43"/>
  <c r="F34" i="43"/>
  <c r="N6" i="43"/>
  <c r="F48" i="43"/>
  <c r="N3" i="43"/>
  <c r="F38" i="43"/>
  <c r="F37" i="43"/>
  <c r="M9" i="43"/>
  <c r="N5" i="43"/>
  <c r="M12" i="43"/>
  <c r="C7" i="39"/>
  <c r="C68" i="39"/>
  <c r="C7" i="35"/>
  <c r="C7" i="33"/>
  <c r="C58" i="33"/>
  <c r="C7" i="21"/>
  <c r="C58" i="21"/>
  <c r="C7" i="40"/>
  <c r="C63" i="40"/>
  <c r="D63" i="40"/>
  <c r="E63" i="40"/>
  <c r="M47" i="9"/>
  <c r="G19" i="43"/>
  <c r="O19" i="43"/>
  <c r="C46" i="36"/>
  <c r="C59" i="34"/>
  <c r="D59" i="34"/>
  <c r="E59" i="34"/>
  <c r="C52" i="37"/>
  <c r="A4" i="51"/>
  <c r="B6" i="72"/>
  <c r="C48" i="35"/>
  <c r="C4" i="12"/>
  <c r="H66" i="43"/>
  <c r="H65" i="43"/>
  <c r="H64" i="43"/>
  <c r="H63" i="43"/>
  <c r="H72" i="43"/>
  <c r="L20" i="6"/>
  <c r="E56" i="39"/>
  <c r="E51" i="40"/>
  <c r="B6" i="1"/>
  <c r="E6" i="1"/>
  <c r="S8" i="1"/>
  <c r="AR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c r="T11" i="1"/>
  <c r="T9" i="1"/>
  <c r="T13" i="1"/>
  <c r="C9" i="68"/>
  <c r="AA39" i="40"/>
  <c r="S39" i="40"/>
  <c r="S12" i="33"/>
  <c r="AA12" i="33"/>
  <c r="J32" i="39"/>
  <c r="W32" i="39"/>
  <c r="H32" i="39"/>
  <c r="AB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c r="F11" i="12"/>
  <c r="C23" i="12"/>
  <c r="R8" i="1"/>
  <c r="AE8" i="1"/>
  <c r="H109" i="9"/>
  <c r="H110" i="9"/>
  <c r="D18" i="53"/>
  <c r="B35" i="72"/>
  <c r="D124" i="9"/>
  <c r="H14" i="74"/>
  <c r="B7" i="74"/>
  <c r="D16" i="53"/>
  <c r="B34" i="72"/>
  <c r="D10" i="52"/>
  <c r="D17" i="53"/>
  <c r="B36" i="72"/>
  <c r="D125" i="9"/>
  <c r="D11" i="52"/>
  <c r="H112" i="9"/>
  <c r="D21" i="53"/>
  <c r="B39" i="72"/>
  <c r="D59" i="9"/>
  <c r="M55" i="9"/>
  <c r="AD3" i="71"/>
  <c r="C65" i="40"/>
  <c r="J1" i="73"/>
  <c r="H77" i="43"/>
  <c r="H76" i="43"/>
  <c r="H67" i="43"/>
  <c r="H59" i="43"/>
  <c r="H60" i="43"/>
  <c r="H61" i="43"/>
  <c r="M4" i="43"/>
  <c r="M5" i="43"/>
  <c r="N12" i="43"/>
  <c r="N11" i="43"/>
  <c r="M10" i="43"/>
  <c r="M2" i="43"/>
  <c r="M7" i="43"/>
  <c r="H70" i="43"/>
  <c r="N9" i="43"/>
  <c r="M8" i="43"/>
  <c r="N10" i="43"/>
  <c r="H74" i="43"/>
  <c r="M6" i="43"/>
  <c r="C6" i="43"/>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B13" i="49"/>
  <c r="E8" i="49"/>
  <c r="B16" i="49"/>
  <c r="D65" i="40"/>
  <c r="D70" i="39"/>
  <c r="E68" i="39"/>
  <c r="V8" i="71"/>
  <c r="P23" i="43"/>
  <c r="B71" i="39"/>
  <c r="C8" i="71"/>
  <c r="D9" i="71"/>
  <c r="P25" i="43"/>
  <c r="E65" i="40"/>
  <c r="F63" i="40"/>
  <c r="F68" i="39"/>
  <c r="E70" i="39"/>
  <c r="D6" i="71"/>
  <c r="T8" i="71"/>
  <c r="D7" i="71"/>
  <c r="D8" i="71"/>
  <c r="F65" i="40"/>
  <c r="G63" i="40"/>
  <c r="G68" i="39"/>
  <c r="H68" i="39"/>
  <c r="F70" i="39"/>
  <c r="M20" i="43"/>
  <c r="C19" i="43"/>
  <c r="U8" i="71"/>
  <c r="G65" i="40"/>
  <c r="H63" i="40"/>
  <c r="G70" i="39"/>
  <c r="H65" i="40"/>
  <c r="H7" i="40"/>
  <c r="I63" i="40"/>
  <c r="I68" i="39"/>
  <c r="J68" i="39"/>
  <c r="H70" i="39"/>
  <c r="I65" i="40"/>
  <c r="J63" i="40"/>
  <c r="J65" i="40"/>
  <c r="I70" i="39"/>
  <c r="K63" i="40"/>
  <c r="K65" i="40"/>
  <c r="L63" i="40"/>
  <c r="L65" i="40"/>
  <c r="M63" i="40"/>
  <c r="M65" i="40"/>
  <c r="N63" i="40"/>
  <c r="N65" i="40"/>
  <c r="O63" i="40"/>
  <c r="O65" i="40"/>
  <c r="F31" i="15"/>
  <c r="F31" i="67"/>
  <c r="J15" i="77"/>
  <c r="M27" i="77"/>
  <c r="F7" i="73"/>
  <c r="B3" i="68"/>
  <c r="C57" i="68"/>
  <c r="C35" i="9"/>
  <c r="D35" i="9"/>
  <c r="M9" i="67"/>
  <c r="M28" i="67"/>
  <c r="F40" i="77"/>
  <c r="D6" i="73"/>
  <c r="B10" i="76"/>
  <c r="B9" i="76"/>
  <c r="D2" i="37"/>
  <c r="F42" i="67"/>
  <c r="F38" i="67"/>
  <c r="E12" i="76"/>
  <c r="L47" i="77"/>
  <c r="F20" i="31"/>
  <c r="F37" i="67"/>
  <c r="F7" i="77"/>
  <c r="C76" i="15"/>
  <c r="D2" i="34"/>
  <c r="E13" i="76"/>
  <c r="F26" i="77"/>
  <c r="AO13" i="1"/>
  <c r="M24" i="67"/>
  <c r="F36" i="77"/>
  <c r="M27" i="67"/>
  <c r="F9" i="67"/>
  <c r="M23" i="77"/>
  <c r="J15" i="15"/>
  <c r="M28" i="77"/>
  <c r="M9" i="77"/>
  <c r="D2" i="21"/>
  <c r="B11" i="76"/>
  <c r="C76" i="77"/>
  <c r="F7" i="67"/>
  <c r="F16" i="67"/>
  <c r="M23" i="67"/>
  <c r="M29" i="15"/>
  <c r="B12" i="76"/>
  <c r="D2" i="33"/>
  <c r="AO10" i="1"/>
  <c r="M24" i="77"/>
  <c r="F40" i="67"/>
  <c r="D4" i="73"/>
  <c r="F16" i="77"/>
  <c r="B8" i="76"/>
  <c r="F6" i="77"/>
  <c r="E2" i="68"/>
  <c r="M26" i="15"/>
  <c r="E8" i="76"/>
  <c r="E10" i="76"/>
  <c r="L47" i="67"/>
  <c r="M23" i="15"/>
  <c r="M6" i="67"/>
  <c r="F36" i="67"/>
  <c r="M8" i="67"/>
  <c r="M29" i="77"/>
  <c r="D2" i="35"/>
  <c r="F13" i="77"/>
  <c r="F6" i="67"/>
  <c r="E2" i="69"/>
  <c r="D3" i="73"/>
  <c r="L48" i="77"/>
  <c r="E7" i="76"/>
  <c r="M24" i="15"/>
  <c r="F8" i="67"/>
  <c r="E9" i="76"/>
  <c r="F8" i="77"/>
  <c r="F37" i="77"/>
  <c r="M22" i="67"/>
  <c r="L47" i="15"/>
  <c r="AO12" i="1"/>
  <c r="F26" i="67"/>
  <c r="J15" i="67"/>
  <c r="AO11" i="1"/>
  <c r="F9" i="77"/>
  <c r="B13" i="76"/>
  <c r="F42" i="77"/>
  <c r="F5" i="73"/>
  <c r="AO8" i="1"/>
  <c r="M26" i="67"/>
  <c r="F43" i="77"/>
  <c r="M22" i="77"/>
  <c r="E11" i="76"/>
  <c r="F43" i="67"/>
  <c r="M28" i="15"/>
  <c r="B7" i="76"/>
  <c r="F13" i="67"/>
  <c r="M6" i="77"/>
  <c r="C56" i="68"/>
  <c r="C34" i="9"/>
  <c r="D34" i="9"/>
  <c r="M26" i="77"/>
  <c r="L48" i="67"/>
  <c r="F3" i="73"/>
  <c r="F38" i="77"/>
  <c r="C76" i="67"/>
  <c r="M8" i="77"/>
  <c r="M29" i="67"/>
  <c r="M27" i="15"/>
  <c r="D2" i="36"/>
  <c r="D7" i="73"/>
  <c r="M22" i="15"/>
  <c r="F6" i="73"/>
  <c r="AO9" i="1"/>
  <c r="M20" i="15"/>
  <c r="M20" i="77"/>
  <c r="F34" i="77"/>
  <c r="F62" i="77"/>
  <c r="H25" i="39"/>
  <c r="AB25" i="39"/>
  <c r="F25" i="39"/>
  <c r="AA25" i="39"/>
  <c r="F99" i="39"/>
  <c r="G99" i="39"/>
  <c r="J25" i="39"/>
  <c r="S23" i="39"/>
  <c r="J21" i="39"/>
  <c r="AC21" i="39"/>
  <c r="F21" i="39"/>
  <c r="H21" i="39"/>
  <c r="U21" i="39"/>
  <c r="F95" i="39"/>
  <c r="G95" i="39"/>
  <c r="H17" i="39"/>
  <c r="F91" i="39"/>
  <c r="G91" i="39"/>
  <c r="F17" i="39"/>
  <c r="AA17" i="39"/>
  <c r="J17" i="39"/>
  <c r="F81" i="39"/>
  <c r="J11" i="39"/>
  <c r="H11" i="39"/>
  <c r="U32" i="39"/>
  <c r="B22" i="49"/>
  <c r="E21" i="49"/>
  <c r="E16" i="49"/>
  <c r="U31" i="39"/>
  <c r="AA31" i="39"/>
  <c r="AB27" i="39"/>
  <c r="S25" i="39"/>
  <c r="AC32" i="39"/>
  <c r="E15" i="49"/>
  <c r="B11" i="49"/>
  <c r="E4" i="4"/>
  <c r="B5" i="62"/>
  <c r="B73" i="72"/>
  <c r="B8" i="49"/>
  <c r="B10" i="49"/>
  <c r="B9" i="49"/>
  <c r="C4" i="4"/>
  <c r="B4" i="62"/>
  <c r="B71" i="72"/>
  <c r="B6" i="49"/>
  <c r="E7" i="49"/>
  <c r="S29" i="39"/>
  <c r="W27" i="39"/>
  <c r="AB23" i="39"/>
  <c r="W23" i="39"/>
  <c r="S17" i="39"/>
  <c r="AC15" i="39"/>
  <c r="U12" i="39"/>
  <c r="D22" i="67"/>
  <c r="C40" i="69"/>
  <c r="E48" i="43"/>
  <c r="B46" i="43"/>
  <c r="C24" i="43"/>
  <c r="Q71" i="77"/>
  <c r="F51" i="77"/>
  <c r="F66" i="77"/>
  <c r="F68" i="77"/>
  <c r="J57" i="77"/>
  <c r="J55" i="77"/>
  <c r="J58" i="77"/>
  <c r="Q50" i="77"/>
  <c r="L57" i="77"/>
  <c r="J60" i="77"/>
  <c r="Q48" i="77"/>
  <c r="J53" i="77"/>
  <c r="I54" i="77"/>
  <c r="L56" i="77"/>
  <c r="L60" i="77"/>
  <c r="J59" i="77"/>
  <c r="L46" i="77"/>
  <c r="C27" i="77"/>
  <c r="F65" i="77"/>
  <c r="N59" i="77"/>
  <c r="L58" i="77"/>
  <c r="L59" i="77"/>
  <c r="M59" i="77"/>
  <c r="F64" i="77"/>
  <c r="C36" i="69"/>
  <c r="L27" i="6"/>
  <c r="M7" i="77"/>
  <c r="J6" i="77"/>
  <c r="J18" i="77"/>
  <c r="F50" i="77"/>
  <c r="C49" i="77"/>
  <c r="C6" i="77"/>
  <c r="F71" i="77"/>
  <c r="O6" i="1"/>
  <c r="P6" i="1"/>
  <c r="AG6" i="1"/>
  <c r="L107" i="43"/>
  <c r="M106" i="43"/>
  <c r="P61" i="15"/>
  <c r="L104" i="43"/>
  <c r="M103" i="43"/>
  <c r="E9" i="49"/>
  <c r="E13" i="49"/>
  <c r="B14" i="49"/>
  <c r="E4" i="49"/>
  <c r="B5" i="49"/>
  <c r="E5" i="49"/>
  <c r="E6" i="49"/>
  <c r="E11" i="49"/>
  <c r="E22" i="49"/>
  <c r="B4" i="49"/>
  <c r="E14" i="49"/>
  <c r="E10" i="49"/>
  <c r="B15" i="49"/>
  <c r="B7" i="49"/>
  <c r="G16" i="1"/>
  <c r="F10" i="39"/>
  <c r="AA10" i="39"/>
  <c r="N104" i="43"/>
  <c r="N103" i="43"/>
  <c r="H103" i="43"/>
  <c r="E106" i="43"/>
  <c r="N109" i="43"/>
  <c r="E11" i="43"/>
  <c r="E9" i="43"/>
  <c r="E10" i="43"/>
  <c r="E8" i="43"/>
  <c r="G17" i="43"/>
  <c r="C16" i="43"/>
  <c r="D5" i="43"/>
  <c r="H52" i="43"/>
  <c r="H50" i="43"/>
  <c r="H56" i="43"/>
  <c r="H51" i="43"/>
  <c r="H48" i="43"/>
  <c r="H49" i="43"/>
  <c r="H53" i="43"/>
  <c r="H55" i="43"/>
  <c r="H54" i="43"/>
  <c r="B54" i="43"/>
  <c r="C27" i="39"/>
  <c r="B49" i="43"/>
  <c r="C21" i="39"/>
  <c r="C94" i="9"/>
  <c r="C92" i="9"/>
  <c r="F30" i="69"/>
  <c r="C30" i="69"/>
  <c r="C30" i="11"/>
  <c r="F54" i="9"/>
  <c r="F52" i="9"/>
  <c r="F28" i="15"/>
  <c r="F32" i="67"/>
  <c r="F60" i="67"/>
  <c r="F28" i="67"/>
  <c r="C28" i="67"/>
  <c r="C24" i="12"/>
  <c r="C77" i="9"/>
  <c r="C74" i="9"/>
  <c r="C13" i="12"/>
  <c r="D68" i="9"/>
  <c r="M18" i="15"/>
  <c r="F32" i="15"/>
  <c r="F60" i="15"/>
  <c r="M18" i="67"/>
  <c r="F31" i="12"/>
  <c r="C31" i="12"/>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c r="BA5" i="3"/>
  <c r="E27" i="6"/>
  <c r="F28" i="6"/>
  <c r="E104" i="43"/>
  <c r="E107" i="43"/>
  <c r="E105" i="43"/>
  <c r="E109" i="43"/>
  <c r="H107" i="43"/>
  <c r="H106" i="43"/>
  <c r="H105" i="43"/>
  <c r="D9" i="11"/>
  <c r="C9" i="11"/>
  <c r="D19" i="12"/>
  <c r="C19" i="12"/>
  <c r="AQ11" i="1"/>
  <c r="AR11" i="1"/>
  <c r="J104" i="43"/>
  <c r="J105" i="43"/>
  <c r="J107" i="43"/>
  <c r="J102" i="43"/>
  <c r="J106" i="43"/>
  <c r="N102" i="43"/>
  <c r="N105" i="43"/>
  <c r="N107" i="43"/>
  <c r="G30" i="6"/>
  <c r="G31" i="6"/>
  <c r="E15" i="6"/>
  <c r="E13" i="6"/>
  <c r="E14" i="6"/>
  <c r="E64" i="39"/>
  <c r="B113" i="43"/>
  <c r="F101" i="43"/>
  <c r="E22" i="43"/>
  <c r="C101" i="43"/>
  <c r="N104" i="46"/>
  <c r="H22" i="43"/>
  <c r="D101" i="43"/>
  <c r="I101" i="43"/>
  <c r="G22" i="43"/>
  <c r="D22" i="43"/>
  <c r="AJ11" i="43"/>
  <c r="AJ13" i="43"/>
  <c r="AF11" i="43"/>
  <c r="AF13" i="43"/>
  <c r="AB11" i="43"/>
  <c r="AB13" i="43"/>
  <c r="Z7" i="43"/>
  <c r="AI11" i="43"/>
  <c r="AI13" i="43"/>
  <c r="AE11" i="43"/>
  <c r="AE13" i="43"/>
  <c r="AA11" i="43"/>
  <c r="AA13" i="43"/>
  <c r="S6" i="43"/>
  <c r="S4" i="43"/>
  <c r="S7" i="43"/>
  <c r="AY6" i="3"/>
  <c r="E3" i="6"/>
  <c r="H16" i="1"/>
  <c r="Q16" i="1"/>
  <c r="T8" i="1"/>
  <c r="E59" i="40"/>
  <c r="D9" i="69"/>
  <c r="C9" i="69"/>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c r="T35" i="4"/>
  <c r="A19" i="51"/>
  <c r="B14" i="72"/>
  <c r="S10" i="39"/>
  <c r="H111" i="9"/>
  <c r="B19" i="53"/>
  <c r="B37" i="72"/>
  <c r="K4" i="4"/>
  <c r="B46" i="48"/>
  <c r="B4" i="72"/>
  <c r="AB7" i="40"/>
  <c r="T42" i="40"/>
  <c r="G42" i="40"/>
  <c r="U7" i="40"/>
  <c r="K68" i="39"/>
  <c r="J70" i="39"/>
  <c r="J7" i="40"/>
  <c r="F7" i="40"/>
  <c r="F59" i="34"/>
  <c r="G59" i="34"/>
  <c r="H59" i="34"/>
  <c r="I59" i="34"/>
  <c r="J59" i="34"/>
  <c r="K59" i="34"/>
  <c r="L59" i="34"/>
  <c r="M59" i="34"/>
  <c r="N59" i="34"/>
  <c r="O59" i="34"/>
  <c r="F7" i="34"/>
  <c r="H7" i="34"/>
  <c r="D46" i="36"/>
  <c r="D58" i="21"/>
  <c r="J10" i="40"/>
  <c r="J10" i="39"/>
  <c r="H10" i="39"/>
  <c r="D48" i="35"/>
  <c r="D52" i="37"/>
  <c r="D58" i="33"/>
  <c r="E58" i="33"/>
  <c r="F58" i="33"/>
  <c r="G58" i="33"/>
  <c r="H58" i="33"/>
  <c r="I58" i="33"/>
  <c r="J58" i="33"/>
  <c r="K58" i="33"/>
  <c r="L58" i="33"/>
  <c r="M58" i="33"/>
  <c r="N58" i="33"/>
  <c r="O58" i="33"/>
  <c r="C28" i="15"/>
  <c r="C48" i="69"/>
  <c r="E20" i="43"/>
  <c r="K1" i="73"/>
  <c r="B11" i="70"/>
  <c r="F66" i="67"/>
  <c r="F65" i="15"/>
  <c r="F65" i="67"/>
  <c r="B9" i="70"/>
  <c r="N59" i="15"/>
  <c r="M59" i="15"/>
  <c r="L58" i="15"/>
  <c r="L59" i="15"/>
  <c r="B10" i="70"/>
  <c r="M59" i="67"/>
  <c r="L58" i="67"/>
  <c r="L59" i="67"/>
  <c r="N59" i="67"/>
  <c r="B8" i="70"/>
  <c r="F51" i="67"/>
  <c r="F71" i="67"/>
  <c r="J57" i="15"/>
  <c r="J55" i="15"/>
  <c r="J58" i="15"/>
  <c r="Q50" i="15"/>
  <c r="I54" i="15"/>
  <c r="J53" i="67"/>
  <c r="I54" i="67"/>
  <c r="J57" i="67"/>
  <c r="J55" i="67"/>
  <c r="J58" i="67"/>
  <c r="Q50" i="67"/>
  <c r="L56" i="67"/>
  <c r="F66" i="15"/>
  <c r="F50" i="15"/>
  <c r="Q71" i="67"/>
  <c r="B13" i="70"/>
  <c r="M7" i="67"/>
  <c r="F50" i="67"/>
  <c r="Q71" i="15"/>
  <c r="F64" i="15"/>
  <c r="F70" i="67"/>
  <c r="F68" i="67"/>
  <c r="F51" i="15"/>
  <c r="C6" i="67"/>
  <c r="B12" i="70"/>
  <c r="F64" i="67"/>
  <c r="F71" i="15"/>
  <c r="B20" i="31"/>
  <c r="F68" i="15"/>
  <c r="C27" i="67"/>
  <c r="F59" i="15"/>
  <c r="F59" i="67"/>
  <c r="M17" i="15"/>
  <c r="M17" i="67"/>
  <c r="C16" i="77"/>
  <c r="C16" i="67"/>
  <c r="U25" i="39"/>
  <c r="W25" i="39"/>
  <c r="AC25" i="39"/>
  <c r="AB21" i="39"/>
  <c r="W21" i="39"/>
  <c r="S21" i="39"/>
  <c r="AA21" i="39"/>
  <c r="AC17" i="39"/>
  <c r="W17" i="39"/>
  <c r="AB17" i="39"/>
  <c r="U17" i="39"/>
  <c r="W11" i="39"/>
  <c r="AC11" i="39"/>
  <c r="AB11" i="39"/>
  <c r="U11" i="39"/>
  <c r="G81" i="39"/>
  <c r="H81" i="39"/>
  <c r="I81" i="39"/>
  <c r="J81" i="39"/>
  <c r="K81" i="39"/>
  <c r="L81" i="39"/>
  <c r="M81" i="39"/>
  <c r="F11" i="39"/>
  <c r="Q61" i="77"/>
  <c r="Q74" i="77"/>
  <c r="F1" i="77"/>
  <c r="Q52" i="77"/>
  <c r="Q73" i="77"/>
  <c r="Q60" i="77"/>
  <c r="Q57" i="77"/>
  <c r="Q66" i="77"/>
  <c r="C33" i="77"/>
  <c r="C32" i="77"/>
  <c r="M11" i="77"/>
  <c r="J10" i="77"/>
  <c r="J5" i="77"/>
  <c r="F11" i="77"/>
  <c r="H10" i="40"/>
  <c r="C5" i="43"/>
  <c r="C48" i="68"/>
  <c r="C30" i="68"/>
  <c r="S10" i="40"/>
  <c r="AA10" i="40"/>
  <c r="AC6" i="3"/>
  <c r="H6" i="3"/>
  <c r="B115" i="43"/>
  <c r="D117" i="43"/>
  <c r="E117" i="43"/>
  <c r="F117" i="43"/>
  <c r="G117" i="43"/>
  <c r="H117" i="43"/>
  <c r="D116" i="43"/>
  <c r="E116" i="43"/>
  <c r="F116" i="43"/>
  <c r="G116" i="43"/>
  <c r="H116" i="43"/>
  <c r="D118" i="43"/>
  <c r="E118" i="43"/>
  <c r="F118" i="43"/>
  <c r="B116" i="43"/>
  <c r="C116" i="43"/>
  <c r="I117" i="43"/>
  <c r="J117" i="43"/>
  <c r="K117" i="43"/>
  <c r="L117" i="43"/>
  <c r="M117" i="43"/>
  <c r="B117" i="43"/>
  <c r="C117" i="43"/>
  <c r="I116" i="43"/>
  <c r="J116" i="43"/>
  <c r="K116" i="43"/>
  <c r="L116" i="43"/>
  <c r="M116" i="43"/>
  <c r="D115" i="43"/>
  <c r="E115" i="43"/>
  <c r="F115" i="43"/>
  <c r="G115" i="43"/>
  <c r="H115" i="43"/>
  <c r="B118" i="43"/>
  <c r="C118" i="43"/>
  <c r="I115" i="43"/>
  <c r="J115" i="43"/>
  <c r="K115" i="43"/>
  <c r="L115" i="43"/>
  <c r="M115" i="43"/>
  <c r="I118" i="43"/>
  <c r="J118" i="43"/>
  <c r="K118" i="43"/>
  <c r="L118" i="43"/>
  <c r="M118" i="43"/>
  <c r="G118" i="43"/>
  <c r="H118" i="43"/>
  <c r="E58" i="40"/>
  <c r="E63" i="39"/>
  <c r="E28" i="6"/>
  <c r="F30" i="6"/>
  <c r="F31" i="6"/>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11"/>
  <c r="F28" i="12"/>
  <c r="C29" i="12"/>
  <c r="D28" i="12"/>
  <c r="D3" i="34"/>
  <c r="D3" i="33"/>
  <c r="E6" i="6"/>
  <c r="L18" i="9"/>
  <c r="D3" i="37"/>
  <c r="D3" i="21"/>
  <c r="C17" i="4"/>
  <c r="B4" i="52"/>
  <c r="B43" i="72"/>
  <c r="D14" i="12"/>
  <c r="D19" i="11"/>
  <c r="C19" i="11"/>
  <c r="M18" i="9"/>
  <c r="B118" i="9"/>
  <c r="B14" i="74"/>
  <c r="B1" i="74"/>
  <c r="C7" i="74"/>
  <c r="D37" i="11"/>
  <c r="C37" i="11"/>
  <c r="P8" i="1"/>
  <c r="D19" i="53"/>
  <c r="D126" i="9"/>
  <c r="C49" i="15"/>
  <c r="H7" i="33"/>
  <c r="J7" i="33"/>
  <c r="E52" i="37"/>
  <c r="E48" i="35"/>
  <c r="AC10" i="39"/>
  <c r="W10" i="39"/>
  <c r="E46" i="36"/>
  <c r="U7" i="34"/>
  <c r="AB7" i="34"/>
  <c r="T49" i="34"/>
  <c r="G49" i="34"/>
  <c r="J7" i="34"/>
  <c r="S7" i="40"/>
  <c r="AA7" i="40"/>
  <c r="R42" i="40"/>
  <c r="F7" i="33"/>
  <c r="AB10" i="39"/>
  <c r="U10" i="39"/>
  <c r="AC10" i="40"/>
  <c r="W10" i="40"/>
  <c r="E58" i="21"/>
  <c r="S7" i="34"/>
  <c r="AA7" i="34"/>
  <c r="R49" i="34"/>
  <c r="W7" i="40"/>
  <c r="AC7" i="40"/>
  <c r="V42" i="40"/>
  <c r="I42" i="40"/>
  <c r="G47" i="40"/>
  <c r="H47" i="40"/>
  <c r="L68" i="39"/>
  <c r="K70" i="39"/>
  <c r="G46" i="40"/>
  <c r="H46" i="40"/>
  <c r="F24" i="77"/>
  <c r="J18" i="15"/>
  <c r="Q52" i="67"/>
  <c r="F1" i="67"/>
  <c r="Q52" i="15"/>
  <c r="Q74" i="67"/>
  <c r="Q61" i="67"/>
  <c r="Q61" i="15"/>
  <c r="Q74" i="15"/>
  <c r="J6" i="67"/>
  <c r="C32" i="67"/>
  <c r="L56" i="15"/>
  <c r="C49" i="67"/>
  <c r="Q73" i="67"/>
  <c r="Q60" i="67"/>
  <c r="F11" i="67"/>
  <c r="M11" i="67"/>
  <c r="J10" i="67"/>
  <c r="Q73" i="15"/>
  <c r="Q60" i="15"/>
  <c r="P28" i="43"/>
  <c r="N28" i="43"/>
  <c r="M28" i="43"/>
  <c r="G20" i="43"/>
  <c r="O28" i="43"/>
  <c r="AE7" i="1"/>
  <c r="F41" i="77"/>
  <c r="F41" i="67"/>
  <c r="AA11" i="39"/>
  <c r="S11" i="39"/>
  <c r="F69" i="67"/>
  <c r="F69" i="77"/>
  <c r="C24" i="77"/>
  <c r="C53" i="77"/>
  <c r="C48" i="77"/>
  <c r="C10" i="77"/>
  <c r="C5" i="77"/>
  <c r="J24" i="77"/>
  <c r="J26" i="77"/>
  <c r="J29" i="77"/>
  <c r="AB10" i="40"/>
  <c r="U10" i="40"/>
  <c r="E41" i="43"/>
  <c r="C41" i="43"/>
  <c r="C20" i="43"/>
  <c r="E6" i="3"/>
  <c r="K14" i="1"/>
  <c r="K24" i="6"/>
  <c r="M24" i="6"/>
  <c r="I24" i="6"/>
  <c r="K19" i="6"/>
  <c r="S6" i="1"/>
  <c r="K21" i="6"/>
  <c r="M21" i="6"/>
  <c r="I21" i="6"/>
  <c r="K25" i="6"/>
  <c r="M25" i="6"/>
  <c r="I25" i="6"/>
  <c r="K26" i="6"/>
  <c r="M26" i="6"/>
  <c r="I26" i="6"/>
  <c r="K20" i="6"/>
  <c r="K23" i="6"/>
  <c r="M23" i="6"/>
  <c r="I23" i="6"/>
  <c r="E30" i="6"/>
  <c r="E31" i="6"/>
  <c r="K22" i="6"/>
  <c r="M22" i="6"/>
  <c r="I22" i="6"/>
  <c r="E66" i="39"/>
  <c r="C115" i="43"/>
  <c r="D113" i="43"/>
  <c r="D17" i="12"/>
  <c r="C17" i="12"/>
  <c r="C14" i="12"/>
  <c r="M19" i="9"/>
  <c r="C118" i="9"/>
  <c r="B2" i="74"/>
  <c r="D7" i="74"/>
  <c r="D19" i="6"/>
  <c r="D26" i="6"/>
  <c r="C18" i="4"/>
  <c r="D8" i="6"/>
  <c r="D23" i="6"/>
  <c r="D14" i="6"/>
  <c r="D6" i="6"/>
  <c r="D9" i="6"/>
  <c r="D10" i="6"/>
  <c r="L19" i="9"/>
  <c r="D29" i="6"/>
  <c r="D25" i="6"/>
  <c r="D15" i="6"/>
  <c r="D22" i="6"/>
  <c r="D21" i="6"/>
  <c r="D24" i="6"/>
  <c r="D20" i="6"/>
  <c r="D5" i="6"/>
  <c r="D12" i="6"/>
  <c r="D11" i="6"/>
  <c r="D13" i="6"/>
  <c r="D28" i="6"/>
  <c r="E61" i="40"/>
  <c r="C20" i="11"/>
  <c r="C28" i="11"/>
  <c r="C27" i="11"/>
  <c r="D10" i="11"/>
  <c r="C10" i="11"/>
  <c r="D10" i="69"/>
  <c r="D20" i="12"/>
  <c r="C20" i="12"/>
  <c r="C18" i="12"/>
  <c r="C29" i="11"/>
  <c r="D27" i="11"/>
  <c r="C47" i="11"/>
  <c r="D45" i="11"/>
  <c r="C47" i="69"/>
  <c r="D45" i="69"/>
  <c r="C29" i="69"/>
  <c r="D27" i="69"/>
  <c r="I14" i="74"/>
  <c r="B8" i="74"/>
  <c r="D12" i="52"/>
  <c r="D127" i="9"/>
  <c r="D13" i="52"/>
  <c r="D20" i="53"/>
  <c r="B40" i="72"/>
  <c r="B38" i="72"/>
  <c r="R50" i="34"/>
  <c r="E49" i="34"/>
  <c r="M68" i="39"/>
  <c r="L70" i="39"/>
  <c r="F58" i="21"/>
  <c r="W7" i="34"/>
  <c r="AC7" i="34"/>
  <c r="V49" i="34"/>
  <c r="I49" i="34"/>
  <c r="F46" i="36"/>
  <c r="AB7" i="33"/>
  <c r="T48" i="33"/>
  <c r="G48" i="33"/>
  <c r="U7" i="33"/>
  <c r="I46" i="40"/>
  <c r="J46" i="40"/>
  <c r="AA7" i="33"/>
  <c r="R48" i="33"/>
  <c r="S7" i="33"/>
  <c r="R43" i="40"/>
  <c r="E42" i="40"/>
  <c r="I47" i="40"/>
  <c r="J47" i="40"/>
  <c r="G53" i="34"/>
  <c r="H53" i="34"/>
  <c r="G54" i="34"/>
  <c r="H54" i="34"/>
  <c r="F48" i="35"/>
  <c r="F52" i="37"/>
  <c r="G52" i="37"/>
  <c r="H52" i="37"/>
  <c r="I52" i="37"/>
  <c r="J52" i="37"/>
  <c r="K52" i="37"/>
  <c r="L52" i="37"/>
  <c r="M52" i="37"/>
  <c r="N52" i="37"/>
  <c r="O52" i="37"/>
  <c r="J7" i="37"/>
  <c r="AC7" i="33"/>
  <c r="V48" i="33"/>
  <c r="I48" i="33"/>
  <c r="W7" i="33"/>
  <c r="J24" i="15"/>
  <c r="C53" i="67"/>
  <c r="C48" i="67"/>
  <c r="C10" i="67"/>
  <c r="C5" i="67"/>
  <c r="J18" i="67"/>
  <c r="J5" i="67"/>
  <c r="F22" i="11"/>
  <c r="F24" i="67"/>
  <c r="C24" i="67"/>
  <c r="F25" i="12"/>
  <c r="F22" i="69"/>
  <c r="C53" i="15"/>
  <c r="C48" i="15"/>
  <c r="C17" i="77"/>
  <c r="F69" i="15"/>
  <c r="E6" i="70"/>
  <c r="C66" i="77"/>
  <c r="C60" i="77"/>
  <c r="C38" i="77"/>
  <c r="AQ6" i="1"/>
  <c r="AR6" i="1"/>
  <c r="T6" i="1"/>
  <c r="M20" i="6"/>
  <c r="I20" i="6"/>
  <c r="S7" i="1"/>
  <c r="T14" i="43"/>
  <c r="V14" i="43"/>
  <c r="T16" i="43"/>
  <c r="V16" i="43"/>
  <c r="C33" i="43"/>
  <c r="C36" i="43"/>
  <c r="T5" i="43"/>
  <c r="V5" i="43"/>
  <c r="T4" i="43"/>
  <c r="T12" i="43"/>
  <c r="V12" i="43"/>
  <c r="T15" i="43"/>
  <c r="V15" i="43"/>
  <c r="C35" i="43"/>
  <c r="C34" i="43"/>
  <c r="T10" i="43"/>
  <c r="V10" i="43"/>
  <c r="T13" i="43"/>
  <c r="V13" i="43"/>
  <c r="T8" i="43"/>
  <c r="V8" i="43"/>
  <c r="T2" i="43"/>
  <c r="V2" i="43"/>
  <c r="T3" i="43"/>
  <c r="V3" i="43"/>
  <c r="T11" i="43"/>
  <c r="V11" i="43"/>
  <c r="T9" i="43"/>
  <c r="V9" i="43"/>
  <c r="C37" i="43"/>
  <c r="C29" i="43"/>
  <c r="T7" i="43"/>
  <c r="V7" i="43"/>
  <c r="T6" i="43"/>
  <c r="V6" i="43"/>
  <c r="C39" i="43"/>
  <c r="C38" i="43"/>
  <c r="D27" i="6"/>
  <c r="D30" i="6"/>
  <c r="D16" i="6"/>
  <c r="S20" i="6"/>
  <c r="H20" i="6"/>
  <c r="R20" i="6"/>
  <c r="R7" i="1"/>
  <c r="S25" i="6"/>
  <c r="H25" i="6"/>
  <c r="R25" i="6"/>
  <c r="K27" i="6"/>
  <c r="M19" i="6"/>
  <c r="M14" i="1"/>
  <c r="C34" i="69"/>
  <c r="K16" i="1"/>
  <c r="H22" i="6"/>
  <c r="R22" i="6"/>
  <c r="S22" i="6"/>
  <c r="H23" i="6"/>
  <c r="R23" i="6"/>
  <c r="S23" i="6"/>
  <c r="S26" i="6"/>
  <c r="H26" i="6"/>
  <c r="R26" i="6"/>
  <c r="S21" i="6"/>
  <c r="H21" i="6"/>
  <c r="R21" i="6"/>
  <c r="H24" i="6"/>
  <c r="R24" i="6"/>
  <c r="S24" i="6"/>
  <c r="C10" i="69"/>
  <c r="C8" i="69"/>
  <c r="C5" i="69"/>
  <c r="C23" i="69"/>
  <c r="D19" i="69"/>
  <c r="C10" i="68"/>
  <c r="A7" i="51"/>
  <c r="B7" i="72"/>
  <c r="C4" i="52"/>
  <c r="B45" i="72"/>
  <c r="A10" i="51"/>
  <c r="B9" i="72"/>
  <c r="D8" i="74"/>
  <c r="C8" i="74"/>
  <c r="C43" i="40"/>
  <c r="C42" i="40"/>
  <c r="E48" i="33"/>
  <c r="I53" i="33"/>
  <c r="J53" i="33"/>
  <c r="R49" i="33"/>
  <c r="G52" i="33"/>
  <c r="H52" i="33"/>
  <c r="G53" i="33"/>
  <c r="H53" i="33"/>
  <c r="G46" i="36"/>
  <c r="E54" i="34"/>
  <c r="F54" i="34"/>
  <c r="E53" i="34"/>
  <c r="F53" i="34"/>
  <c r="W7" i="37"/>
  <c r="AC7" i="37"/>
  <c r="V42" i="37"/>
  <c r="I42" i="37"/>
  <c r="I52" i="33"/>
  <c r="J52" i="33"/>
  <c r="G48" i="35"/>
  <c r="E47" i="40"/>
  <c r="F47" i="40"/>
  <c r="E46" i="40"/>
  <c r="F46" i="40"/>
  <c r="F7" i="37"/>
  <c r="I53" i="34"/>
  <c r="J53" i="34"/>
  <c r="I54" i="34"/>
  <c r="J54" i="34"/>
  <c r="G58" i="21"/>
  <c r="N68" i="39"/>
  <c r="M70" i="39"/>
  <c r="C50" i="34"/>
  <c r="B2" i="34"/>
  <c r="B3" i="34"/>
  <c r="C49" i="34"/>
  <c r="H7" i="37"/>
  <c r="C60" i="67"/>
  <c r="C66" i="67"/>
  <c r="C44" i="69"/>
  <c r="D41" i="69"/>
  <c r="C26" i="69"/>
  <c r="D22" i="69"/>
  <c r="C26" i="12"/>
  <c r="D25" i="12"/>
  <c r="C66" i="15"/>
  <c r="C60" i="15"/>
  <c r="C44" i="11"/>
  <c r="D41" i="11"/>
  <c r="C25" i="11"/>
  <c r="C24" i="11"/>
  <c r="C26" i="11"/>
  <c r="D22" i="11"/>
  <c r="C23" i="11"/>
  <c r="J24" i="67"/>
  <c r="J26" i="67"/>
  <c r="J29" i="67"/>
  <c r="C38" i="67"/>
  <c r="C14" i="67"/>
  <c r="F35" i="67"/>
  <c r="C14" i="77"/>
  <c r="M21" i="67"/>
  <c r="C17" i="67"/>
  <c r="D31" i="6"/>
  <c r="V4" i="43"/>
  <c r="T20" i="43"/>
  <c r="T21" i="43"/>
  <c r="J20" i="67"/>
  <c r="F63" i="67"/>
  <c r="C62" i="67"/>
  <c r="C34" i="67"/>
  <c r="C15" i="67"/>
  <c r="C18" i="67"/>
  <c r="C15" i="77"/>
  <c r="C18" i="77"/>
  <c r="C19" i="77"/>
  <c r="E7" i="70"/>
  <c r="E2" i="70"/>
  <c r="AQ7" i="1"/>
  <c r="T7" i="1"/>
  <c r="T16" i="1"/>
  <c r="AR7" i="1"/>
  <c r="S16" i="1"/>
  <c r="G39" i="43"/>
  <c r="I39" i="43"/>
  <c r="E39" i="43"/>
  <c r="E37" i="43"/>
  <c r="G37" i="43"/>
  <c r="I37" i="43"/>
  <c r="E34" i="43"/>
  <c r="G34" i="43"/>
  <c r="I34" i="43"/>
  <c r="E36" i="43"/>
  <c r="G36" i="43"/>
  <c r="I36" i="43"/>
  <c r="G38" i="43"/>
  <c r="I38" i="43"/>
  <c r="E38" i="43"/>
  <c r="C30" i="43"/>
  <c r="E30" i="43"/>
  <c r="E29" i="43"/>
  <c r="E35" i="43"/>
  <c r="G35" i="43"/>
  <c r="I35" i="43"/>
  <c r="E33" i="43"/>
  <c r="G33" i="43"/>
  <c r="I33" i="43"/>
  <c r="C22" i="11"/>
  <c r="C31" i="11"/>
  <c r="M16" i="1"/>
  <c r="O14" i="1"/>
  <c r="C35" i="69"/>
  <c r="C38" i="69"/>
  <c r="I19" i="6"/>
  <c r="M27" i="6"/>
  <c r="C19" i="69"/>
  <c r="C24" i="69"/>
  <c r="D37" i="69"/>
  <c r="C37" i="69"/>
  <c r="I6" i="6"/>
  <c r="I5" i="6"/>
  <c r="I46" i="37"/>
  <c r="J46" i="37"/>
  <c r="C49" i="33"/>
  <c r="B2" i="33"/>
  <c r="B3" i="33"/>
  <c r="C48" i="33"/>
  <c r="U7" i="37"/>
  <c r="AB7" i="37"/>
  <c r="T42" i="37"/>
  <c r="G42" i="37"/>
  <c r="O68" i="39"/>
  <c r="O70" i="39"/>
  <c r="J7" i="39"/>
  <c r="N70" i="39"/>
  <c r="H7" i="39"/>
  <c r="H58" i="21"/>
  <c r="S7" i="37"/>
  <c r="AA7" i="37"/>
  <c r="R42" i="37"/>
  <c r="H48" i="35"/>
  <c r="I48" i="35"/>
  <c r="J48" i="35"/>
  <c r="K48" i="35"/>
  <c r="L48" i="35"/>
  <c r="M48" i="35"/>
  <c r="N48" i="35"/>
  <c r="O48" i="35"/>
  <c r="J7" i="35"/>
  <c r="H7" i="35"/>
  <c r="H46" i="36"/>
  <c r="E53" i="33"/>
  <c r="F53" i="33"/>
  <c r="E52" i="33"/>
  <c r="F52" i="33"/>
  <c r="B55" i="40"/>
  <c r="F55" i="40"/>
  <c r="B57" i="40"/>
  <c r="F57" i="40"/>
  <c r="B56" i="40"/>
  <c r="F56" i="40"/>
  <c r="B53" i="40"/>
  <c r="F53" i="40"/>
  <c r="B58" i="40"/>
  <c r="F58" i="40"/>
  <c r="B51" i="40"/>
  <c r="F51" i="40"/>
  <c r="B60" i="40"/>
  <c r="F60" i="40"/>
  <c r="B59" i="40"/>
  <c r="F59" i="40"/>
  <c r="B54" i="40"/>
  <c r="F54" i="40"/>
  <c r="F61" i="40"/>
  <c r="B2" i="40"/>
  <c r="B3" i="40"/>
  <c r="B52" i="40"/>
  <c r="F52" i="40"/>
  <c r="J59" i="15"/>
  <c r="C19" i="67"/>
  <c r="C20" i="67"/>
  <c r="C26" i="67"/>
  <c r="C20" i="77"/>
  <c r="C26" i="77"/>
  <c r="C27" i="43"/>
  <c r="C26" i="43"/>
  <c r="B2" i="43"/>
  <c r="C20" i="69"/>
  <c r="C28" i="69"/>
  <c r="C27" i="69"/>
  <c r="I27" i="6"/>
  <c r="S19" i="6"/>
  <c r="S27" i="6"/>
  <c r="H19" i="6"/>
  <c r="P14" i="1"/>
  <c r="P16" i="1"/>
  <c r="C11" i="12"/>
  <c r="O16" i="1"/>
  <c r="C33" i="69"/>
  <c r="C39" i="69"/>
  <c r="C43" i="69"/>
  <c r="N16" i="1"/>
  <c r="L16" i="1"/>
  <c r="C34" i="11"/>
  <c r="U7" i="39"/>
  <c r="AB7" i="39"/>
  <c r="T47" i="39"/>
  <c r="G47" i="39"/>
  <c r="AB7" i="35"/>
  <c r="T38" i="35"/>
  <c r="G38" i="35"/>
  <c r="U7" i="35"/>
  <c r="R43" i="37"/>
  <c r="E42" i="37"/>
  <c r="I58" i="21"/>
  <c r="W7" i="39"/>
  <c r="AC7" i="39"/>
  <c r="V47" i="39"/>
  <c r="I47" i="39"/>
  <c r="F7" i="39"/>
  <c r="F7" i="35"/>
  <c r="Q48" i="15"/>
  <c r="I46" i="36"/>
  <c r="AC7" i="35"/>
  <c r="V38" i="35"/>
  <c r="I38" i="35"/>
  <c r="W7" i="35"/>
  <c r="G46" i="37"/>
  <c r="H46" i="37"/>
  <c r="G47" i="37"/>
  <c r="H47" i="37"/>
  <c r="B6" i="76"/>
  <c r="E6" i="76"/>
  <c r="C23" i="77"/>
  <c r="C29" i="77"/>
  <c r="C23" i="67"/>
  <c r="C29" i="67"/>
  <c r="J59" i="67"/>
  <c r="J60" i="67"/>
  <c r="Q48" i="67"/>
  <c r="E2" i="76"/>
  <c r="B2" i="76"/>
  <c r="B3" i="43"/>
  <c r="C25" i="69"/>
  <c r="C22" i="69"/>
  <c r="C31" i="69"/>
  <c r="C42" i="69"/>
  <c r="C41" i="69"/>
  <c r="C35" i="11"/>
  <c r="C38" i="11"/>
  <c r="F50" i="11"/>
  <c r="F50" i="69"/>
  <c r="F50" i="68"/>
  <c r="H27" i="6"/>
  <c r="R19" i="6"/>
  <c r="C12" i="12"/>
  <c r="C15" i="12"/>
  <c r="C46" i="69"/>
  <c r="C45" i="69"/>
  <c r="AA7" i="35"/>
  <c r="R38" i="35"/>
  <c r="S7" i="35"/>
  <c r="I51" i="39"/>
  <c r="J51" i="39"/>
  <c r="E47" i="37"/>
  <c r="F47" i="37"/>
  <c r="E46" i="37"/>
  <c r="F46" i="37"/>
  <c r="I47" i="37"/>
  <c r="J47" i="37"/>
  <c r="G51" i="39"/>
  <c r="H51" i="39"/>
  <c r="G52" i="39"/>
  <c r="H52" i="39"/>
  <c r="I42" i="35"/>
  <c r="J42" i="35"/>
  <c r="J46" i="36"/>
  <c r="K46" i="36"/>
  <c r="L46" i="36"/>
  <c r="M46" i="36"/>
  <c r="N46" i="36"/>
  <c r="O46" i="36"/>
  <c r="H7" i="36"/>
  <c r="AA7" i="39"/>
  <c r="R47" i="39"/>
  <c r="S7" i="39"/>
  <c r="J58" i="21"/>
  <c r="C43" i="37"/>
  <c r="B2" i="37"/>
  <c r="B3" i="37"/>
  <c r="C42" i="37"/>
  <c r="G42" i="35"/>
  <c r="H42" i="35"/>
  <c r="G43" i="35"/>
  <c r="H43" i="35"/>
  <c r="L57" i="15"/>
  <c r="L60" i="15"/>
  <c r="C57" i="67"/>
  <c r="C64" i="67"/>
  <c r="Q49" i="77"/>
  <c r="J19" i="77"/>
  <c r="C36" i="67"/>
  <c r="C13" i="77"/>
  <c r="C37" i="77"/>
  <c r="C57" i="77"/>
  <c r="C61" i="77"/>
  <c r="C33" i="67"/>
  <c r="C31" i="67"/>
  <c r="J19" i="67"/>
  <c r="J17" i="67"/>
  <c r="J14" i="77"/>
  <c r="J22" i="77"/>
  <c r="C36" i="77"/>
  <c r="Q49" i="67"/>
  <c r="C13" i="67"/>
  <c r="Q70" i="67"/>
  <c r="J14" i="67"/>
  <c r="J22" i="67"/>
  <c r="C49" i="69"/>
  <c r="C51" i="69"/>
  <c r="C52" i="69"/>
  <c r="B2" i="69"/>
  <c r="B3" i="69"/>
  <c r="B3" i="76"/>
  <c r="C16" i="12"/>
  <c r="C21" i="12"/>
  <c r="C22" i="12"/>
  <c r="C30" i="12"/>
  <c r="C28" i="12"/>
  <c r="C33" i="11"/>
  <c r="C39" i="11"/>
  <c r="R27" i="6"/>
  <c r="K58" i="21"/>
  <c r="L58" i="21"/>
  <c r="M58" i="21"/>
  <c r="N58" i="21"/>
  <c r="O58" i="21"/>
  <c r="F7" i="21"/>
  <c r="H7" i="21"/>
  <c r="E47" i="39"/>
  <c r="R48" i="39"/>
  <c r="J7" i="21"/>
  <c r="F7" i="36"/>
  <c r="E38" i="35"/>
  <c r="R39" i="35"/>
  <c r="U7" i="36"/>
  <c r="AB7" i="36"/>
  <c r="T36" i="36"/>
  <c r="G36" i="36"/>
  <c r="J7" i="36"/>
  <c r="Q66" i="15"/>
  <c r="Q57" i="15"/>
  <c r="M21" i="77"/>
  <c r="M21" i="15"/>
  <c r="F35" i="77"/>
  <c r="C61" i="67"/>
  <c r="C59" i="67"/>
  <c r="C75" i="77"/>
  <c r="C75" i="67"/>
  <c r="Q70" i="77"/>
  <c r="C64" i="77"/>
  <c r="F63" i="15"/>
  <c r="C62" i="15"/>
  <c r="J20" i="15"/>
  <c r="C56" i="77"/>
  <c r="C65" i="77"/>
  <c r="J13" i="67"/>
  <c r="J23" i="67"/>
  <c r="J13" i="77"/>
  <c r="J23" i="77"/>
  <c r="C37" i="67"/>
  <c r="C30" i="67"/>
  <c r="C39" i="67"/>
  <c r="C56" i="67"/>
  <c r="C65" i="67"/>
  <c r="J16" i="67"/>
  <c r="J25" i="67"/>
  <c r="C34" i="77"/>
  <c r="C31" i="77"/>
  <c r="C30" i="77"/>
  <c r="C39" i="77"/>
  <c r="F63" i="77"/>
  <c r="C62" i="77"/>
  <c r="C59" i="77"/>
  <c r="J20" i="77"/>
  <c r="J17" i="77"/>
  <c r="R16" i="1"/>
  <c r="J19" i="15"/>
  <c r="J17" i="15"/>
  <c r="Q49" i="15"/>
  <c r="C57" i="15"/>
  <c r="J14" i="15"/>
  <c r="C42" i="11"/>
  <c r="C46" i="11"/>
  <c r="C45" i="11"/>
  <c r="C43" i="11"/>
  <c r="C27" i="12"/>
  <c r="C25" i="12"/>
  <c r="C32" i="12"/>
  <c r="B2" i="12"/>
  <c r="B3" i="12"/>
  <c r="C57" i="69"/>
  <c r="C56" i="69"/>
  <c r="W7" i="36"/>
  <c r="AC7" i="36"/>
  <c r="V36" i="36"/>
  <c r="I36" i="36"/>
  <c r="E43" i="35"/>
  <c r="F43" i="35"/>
  <c r="E42" i="35"/>
  <c r="F42" i="35"/>
  <c r="I43" i="35"/>
  <c r="J43" i="35"/>
  <c r="W7" i="21"/>
  <c r="AC7" i="21"/>
  <c r="V48" i="21"/>
  <c r="I48" i="21"/>
  <c r="E52" i="39"/>
  <c r="F52" i="39"/>
  <c r="E51" i="39"/>
  <c r="F51" i="39"/>
  <c r="I52" i="39"/>
  <c r="J52" i="39"/>
  <c r="S7" i="21"/>
  <c r="AA7" i="21"/>
  <c r="R48" i="21"/>
  <c r="G40" i="36"/>
  <c r="H40" i="36"/>
  <c r="G41" i="36"/>
  <c r="H41" i="36"/>
  <c r="C38" i="35"/>
  <c r="C39" i="35"/>
  <c r="B2" i="35"/>
  <c r="B3" i="35"/>
  <c r="AA7" i="36"/>
  <c r="R36" i="36"/>
  <c r="S7" i="36"/>
  <c r="C47" i="39"/>
  <c r="C48" i="39"/>
  <c r="AB7" i="21"/>
  <c r="T48" i="21"/>
  <c r="G48" i="21"/>
  <c r="U7" i="21"/>
  <c r="L51" i="77"/>
  <c r="L51" i="67"/>
  <c r="C58" i="67"/>
  <c r="C67" i="67"/>
  <c r="C68" i="67"/>
  <c r="C80" i="67"/>
  <c r="C79" i="67"/>
  <c r="C58" i="77"/>
  <c r="C67" i="77"/>
  <c r="C68" i="77"/>
  <c r="C71" i="77"/>
  <c r="Q69" i="67"/>
  <c r="Q68" i="67"/>
  <c r="J16" i="77"/>
  <c r="J25" i="77"/>
  <c r="C40" i="67"/>
  <c r="Q56" i="67"/>
  <c r="L57" i="67"/>
  <c r="L60" i="67"/>
  <c r="Q67" i="67"/>
  <c r="C71" i="67"/>
  <c r="Q67" i="77"/>
  <c r="C80" i="77"/>
  <c r="C79" i="77"/>
  <c r="Q69" i="77"/>
  <c r="Q68" i="77"/>
  <c r="C40" i="77"/>
  <c r="C61" i="15"/>
  <c r="C59" i="15"/>
  <c r="C64" i="15"/>
  <c r="Q70" i="15"/>
  <c r="C75" i="15"/>
  <c r="C56" i="15"/>
  <c r="C65" i="15"/>
  <c r="J13" i="15"/>
  <c r="J23" i="15"/>
  <c r="J22" i="15"/>
  <c r="C41" i="11"/>
  <c r="C49" i="11"/>
  <c r="C51" i="11"/>
  <c r="C52" i="11"/>
  <c r="B2" i="11"/>
  <c r="B3" i="11"/>
  <c r="B59" i="39"/>
  <c r="F59" i="39"/>
  <c r="B65" i="39"/>
  <c r="F65" i="39"/>
  <c r="B63" i="39"/>
  <c r="F63" i="39"/>
  <c r="B60" i="39"/>
  <c r="F60" i="39"/>
  <c r="B58" i="39"/>
  <c r="F58" i="39"/>
  <c r="B64" i="39"/>
  <c r="F64" i="39"/>
  <c r="B57" i="39"/>
  <c r="F57" i="39"/>
  <c r="B62" i="39"/>
  <c r="F62" i="39"/>
  <c r="B61" i="39"/>
  <c r="F61" i="39"/>
  <c r="B56" i="39"/>
  <c r="F56" i="39"/>
  <c r="E48" i="21"/>
  <c r="R49" i="21"/>
  <c r="I40" i="36"/>
  <c r="J40" i="36"/>
  <c r="G52" i="21"/>
  <c r="H52" i="21"/>
  <c r="G53" i="21"/>
  <c r="H53" i="21"/>
  <c r="R37" i="36"/>
  <c r="E36" i="36"/>
  <c r="I52" i="21"/>
  <c r="J52" i="21"/>
  <c r="L51" i="15"/>
  <c r="F66" i="39"/>
  <c r="B2" i="39"/>
  <c r="C83" i="67"/>
  <c r="C82" i="67"/>
  <c r="C43" i="67"/>
  <c r="C45" i="67"/>
  <c r="C46" i="67"/>
  <c r="Q65" i="67"/>
  <c r="Q47" i="67"/>
  <c r="Q53" i="67"/>
  <c r="L46" i="67"/>
  <c r="D2" i="67"/>
  <c r="B2" i="67"/>
  <c r="Q66" i="67"/>
  <c r="Q57" i="67"/>
  <c r="Q62" i="67"/>
  <c r="Q65" i="77"/>
  <c r="Q75" i="77"/>
  <c r="Q47" i="77"/>
  <c r="Q53" i="77"/>
  <c r="C83" i="77"/>
  <c r="C82" i="77"/>
  <c r="C43" i="77"/>
  <c r="Q56" i="77"/>
  <c r="Q62" i="77"/>
  <c r="B2" i="77"/>
  <c r="C46" i="77"/>
  <c r="C80" i="15"/>
  <c r="C79" i="15"/>
  <c r="J16" i="15"/>
  <c r="J25" i="15"/>
  <c r="Q67" i="15"/>
  <c r="C58" i="15"/>
  <c r="C67" i="15"/>
  <c r="C68" i="15"/>
  <c r="Q69" i="15"/>
  <c r="Q68" i="15"/>
  <c r="C56" i="11"/>
  <c r="C57" i="11"/>
  <c r="C37" i="36"/>
  <c r="B2" i="36"/>
  <c r="B3" i="36"/>
  <c r="C36" i="36"/>
  <c r="E52" i="21"/>
  <c r="F52" i="21"/>
  <c r="E53" i="21"/>
  <c r="F53" i="21"/>
  <c r="I53" i="21"/>
  <c r="J53" i="21"/>
  <c r="E40" i="36"/>
  <c r="F40" i="36"/>
  <c r="E41" i="36"/>
  <c r="F41" i="36"/>
  <c r="I41" i="36"/>
  <c r="J41" i="36"/>
  <c r="C48" i="21"/>
  <c r="C49" i="21"/>
  <c r="B2" i="21"/>
  <c r="B3" i="21"/>
  <c r="B3" i="39"/>
  <c r="C6" i="68"/>
  <c r="C7" i="68"/>
  <c r="C5" i="68"/>
  <c r="Q75" i="67"/>
  <c r="B3" i="67"/>
  <c r="B3" i="77"/>
  <c r="Q56" i="15"/>
  <c r="Q62" i="15"/>
  <c r="C43" i="15"/>
  <c r="Q65" i="15"/>
  <c r="Q75" i="15"/>
  <c r="Q47" i="15"/>
  <c r="Q53" i="15"/>
  <c r="C83" i="15"/>
  <c r="C82" i="15"/>
  <c r="C71" i="15"/>
  <c r="C46" i="15"/>
  <c r="B3" i="15"/>
  <c r="D21" i="9"/>
  <c r="D102" i="9"/>
  <c r="B3" i="70"/>
  <c r="D20" i="9"/>
  <c r="C102" i="9"/>
  <c r="C21" i="9"/>
  <c r="D22" i="9"/>
  <c r="K26" i="1"/>
  <c r="D103" i="9"/>
  <c r="C20" i="9"/>
  <c r="F118" i="9"/>
  <c r="F119" i="9"/>
  <c r="F5" i="52"/>
  <c r="B53" i="72"/>
  <c r="G21" i="9"/>
  <c r="C103" i="9"/>
  <c r="G20" i="9"/>
  <c r="H119" i="9"/>
  <c r="H5" i="52"/>
  <c r="G118" i="9"/>
  <c r="G4" i="52"/>
  <c r="B52" i="72"/>
  <c r="F4" i="52"/>
  <c r="B51" i="72"/>
  <c r="D118" i="9"/>
  <c r="D4" i="52"/>
  <c r="B47" i="72"/>
  <c r="I118" i="9"/>
  <c r="H107" i="9"/>
  <c r="D14" i="74"/>
  <c r="B5" i="74"/>
  <c r="H4" i="52"/>
  <c r="C104" i="9"/>
  <c r="E118" i="9"/>
  <c r="E4" i="52"/>
  <c r="B48" i="72"/>
  <c r="D119" i="9"/>
  <c r="D5" i="52"/>
  <c r="B49" i="72"/>
  <c r="C105" i="9"/>
  <c r="I4" i="52"/>
  <c r="H102" i="9"/>
  <c r="D7" i="53"/>
  <c r="B21" i="72"/>
  <c r="M48" i="9"/>
  <c r="D45" i="9"/>
  <c r="C72" i="9"/>
  <c r="D5" i="53"/>
  <c r="B20" i="72"/>
  <c r="E14" i="74"/>
  <c r="H108" i="9"/>
  <c r="D15" i="53"/>
  <c r="B31" i="72"/>
  <c r="D122" i="9"/>
  <c r="M49" i="9"/>
  <c r="D13" i="53"/>
  <c r="D6" i="53"/>
  <c r="B22" i="72"/>
  <c r="D5" i="74"/>
  <c r="C5" i="74"/>
  <c r="D55" i="9"/>
  <c r="M53" i="9"/>
  <c r="D52" i="9"/>
  <c r="C64" i="9"/>
  <c r="C63" i="9"/>
  <c r="C67" i="9"/>
  <c r="C68" i="9"/>
  <c r="D54" i="9"/>
  <c r="C85" i="9"/>
  <c r="C93" i="9"/>
  <c r="C86" i="9"/>
  <c r="C78" i="9"/>
  <c r="C73" i="9"/>
  <c r="C79" i="9"/>
  <c r="D53" i="9"/>
  <c r="L68" i="9"/>
  <c r="M68" i="9"/>
  <c r="L65" i="9"/>
  <c r="M65" i="9"/>
  <c r="L67" i="9"/>
  <c r="M67" i="9"/>
  <c r="L64" i="9"/>
  <c r="M64" i="9"/>
  <c r="L66" i="9"/>
  <c r="M66" i="9"/>
  <c r="L63" i="9"/>
  <c r="M63" i="9"/>
  <c r="B30" i="72"/>
  <c r="D14" i="53"/>
  <c r="B32" i="72"/>
  <c r="D8" i="52"/>
  <c r="G14" i="74"/>
  <c r="B6" i="74"/>
  <c r="D123" i="9"/>
  <c r="D9" i="52"/>
  <c r="C95" i="9"/>
  <c r="C96" i="9"/>
  <c r="E96" i="9"/>
  <c r="E97" i="9"/>
  <c r="M69" i="9"/>
  <c r="N69" i="9"/>
  <c r="D6" i="74"/>
  <c r="C6" i="74"/>
  <c r="C80" i="9"/>
  <c r="E80" i="9"/>
  <c r="E81" i="9"/>
  <c r="C81" i="9"/>
  <c r="C97" i="9"/>
  <c r="D58" i="9"/>
  <c r="D56" i="9"/>
  <c r="M54" i="9"/>
  <c r="N57" i="9"/>
  <c r="N59" i="9"/>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<sst xmlns="http://schemas.openxmlformats.org/spreadsheetml/2006/main" count="8027" uniqueCount="3219">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</sst>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108393</v>
      </c>
    </row>
    <row r="21" spans="1:2" s="1592" customFormat="1">
      <c r="A21" s="1590" t="s">
        <v>1231</v>
      </c>
      <c r="B21" s="1591">
        <f ca="1">'预评函-2'!D7</f>
        <v>36864</v>
      </c>
    </row>
    <row r="22" spans="1:2" s="1592" customFormat="1">
      <c r="A22" s="1590" t="s">
        <v>1232</v>
      </c>
      <c r="B22" s="1591" t="str">
        <f ca="1">'预评函-2'!D6</f>
        <v>壹拾亿捌仟叁佰玖拾叁万元整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108393</v>
      </c>
    </row>
    <row r="31" spans="1:2" s="1592" customFormat="1">
      <c r="A31" s="1590" t="s">
        <v>1270</v>
      </c>
      <c r="B31" s="1591">
        <f ca="1">'预评函-2'!D15</f>
        <v>36864</v>
      </c>
    </row>
    <row r="32" spans="1:2" s="1592" customFormat="1">
      <c r="A32" s="1590" t="s">
        <v>1237</v>
      </c>
      <c r="B32" s="1591" t="str">
        <f ca="1">'预评函-2'!D14</f>
        <v>壹拾亿捌仟叁佰玖拾叁万元整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1</v>
      </c>
    </row>
    <row r="46" spans="1:2" s="1592" customFormat="1">
      <c r="A46" s="1590" t="s">
        <v>1267</v>
      </c>
      <c r="B46" s="1591" t="str">
        <f>'预评函-3'!D2</f>
        <v>出让国有建设用地使用权价值</v>
      </c>
    </row>
    <row r="47" spans="1:2" s="1592" customFormat="1">
      <c r="A47" s="1590" t="s">
        <v>1242</v>
      </c>
      <c r="B47" s="1591">
        <f ca="1">'预评函-3'!D4</f>
        <v>94780</v>
      </c>
    </row>
    <row r="48" spans="1:2" s="1592" customFormat="1">
      <c r="A48" s="1590" t="s">
        <v>1243</v>
      </c>
      <c r="B48" s="1591">
        <f ca="1">'预评函-3'!E4</f>
        <v>32234</v>
      </c>
    </row>
    <row r="49" spans="1:2" s="1592" customFormat="1">
      <c r="A49" s="1590" t="s">
        <v>1244</v>
      </c>
      <c r="B49" s="1591" t="str">
        <f ca="1">'预评函-3'!D5</f>
        <v>玖亿肆仟柒佰捌拾万元整</v>
      </c>
    </row>
    <row r="50" spans="1:2" s="1592" customFormat="1">
      <c r="A50" s="1590" t="s">
        <v>1268</v>
      </c>
      <c r="B50" s="1591" t="str">
        <f>'预评函-3'!F2</f>
        <v>在建建筑物价值</v>
      </c>
    </row>
    <row r="51" spans="1:2" s="1592" customFormat="1">
      <c r="A51" s="1590" t="s">
        <v>1245</v>
      </c>
      <c r="B51" s="1591">
        <f ca="1">'预评函-3'!F4</f>
        <v>13613</v>
      </c>
    </row>
    <row r="52" spans="1:2" s="1592" customFormat="1">
      <c r="A52" s="1590" t="s">
        <v>1246</v>
      </c>
      <c r="B52" s="1591">
        <f ca="1">'预评函-3'!G4</f>
        <v>4630</v>
      </c>
    </row>
    <row r="53" spans="1:2" s="1592" customFormat="1">
      <c r="A53" s="1590" t="s">
        <v>1274</v>
      </c>
      <c r="B53" s="1591" t="str">
        <f ca="1">'预评函-3'!F5</f>
        <v>壹亿叁仟陆佰壹拾叁万元整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30"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33"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34"/>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55942</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33.31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40"/>
      <c r="C16" s="3041"/>
      <c r="D16" s="3042"/>
      <c r="E16" s="2082" t="s">
        <v>1797</v>
      </c>
      <c r="F16" s="3043"/>
      <c r="G16" s="3044"/>
      <c r="H16" s="3044"/>
      <c r="I16" s="3045"/>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46" t="s">
        <v>1801</v>
      </c>
      <c r="F17" s="3047"/>
      <c r="G17" s="3047"/>
      <c r="H17" s="3047"/>
      <c r="I17" s="3048"/>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1</v>
      </c>
      <c r="D18" s="2087" t="s">
        <v>1800</v>
      </c>
      <c r="E18" s="3049" t="s">
        <v>1804</v>
      </c>
      <c r="F18" s="3050"/>
      <c r="G18" s="3050"/>
      <c r="H18" s="3050"/>
      <c r="I18" s="3051"/>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36" t="s">
        <v>1809</v>
      </c>
      <c r="C20" s="3037"/>
      <c r="D20" s="3038" t="s">
        <v>1810</v>
      </c>
      <c r="E20" s="3039"/>
      <c r="F20" s="2094" t="s">
        <v>1811</v>
      </c>
      <c r="G20" s="2040"/>
      <c r="H20" s="2040"/>
      <c r="I20" s="2040"/>
      <c r="J20" s="2040"/>
      <c r="K20" s="303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23"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3"/>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3"/>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4"/>
      <c r="B30" s="2033" t="s">
        <v>1828</v>
      </c>
      <c r="C30" s="3025"/>
      <c r="D30" s="302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7"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2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22" t="s">
        <v>1838</v>
      </c>
      <c r="T34" s="2131" t="str">
        <f>NUMBERSTRING(7-K34,1)&amp;"通"</f>
        <v>七通</v>
      </c>
      <c r="U34" s="2027"/>
      <c r="V34" s="2027"/>
    </row>
    <row r="35" spans="1:22" ht="18" customHeight="1">
      <c r="A35" s="2132"/>
      <c r="B35" s="3029" t="s">
        <v>1839</v>
      </c>
      <c r="C35" s="3029"/>
      <c r="D35" s="3029"/>
      <c r="E35" s="3029"/>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v>
      </c>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0.31</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0.31</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0.34</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0.34</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0.34</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0.34</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4" t="s">
        <v>1912</v>
      </c>
      <c r="F2" s="1392"/>
      <c r="G2" s="2225"/>
      <c r="H2" s="2226"/>
      <c r="I2" s="2227" t="s">
        <v>1936</v>
      </c>
      <c r="J2" s="1392"/>
      <c r="K2" s="1392"/>
      <c r="L2" s="1392"/>
      <c r="M2" s="1392"/>
      <c r="N2" s="1427"/>
      <c r="O2" s="1392"/>
      <c r="P2" s="1392"/>
    </row>
    <row r="3" spans="1:16" ht="15.75" thickBot="1">
      <c r="A3" s="3064" t="s">
        <v>1909</v>
      </c>
      <c r="B3" s="3064"/>
      <c r="C3" s="3064"/>
      <c r="D3" s="46">
        <f>'数据-基础表'!AY6</f>
        <v>1</v>
      </c>
      <c r="E3" s="46">
        <f>'数据-基础表'!AZ5</f>
        <v>29403.559999999998</v>
      </c>
      <c r="F3" s="1392"/>
      <c r="G3" s="1399"/>
      <c r="H3" s="1247" t="s">
        <v>1910</v>
      </c>
      <c r="I3" s="55">
        <f>ROUND('数据-基础表'!B3/'数据-基础表'!A3,2)</f>
        <v>29403.56</v>
      </c>
      <c r="J3" s="1392"/>
      <c r="K3" s="1392"/>
      <c r="L3" s="1392"/>
      <c r="M3" s="1392"/>
      <c r="N3" s="1427"/>
      <c r="O3" s="1392"/>
      <c r="P3" s="1392"/>
    </row>
    <row r="4" spans="1:16" ht="15">
      <c r="A4" s="3065"/>
      <c r="B4" s="3066"/>
      <c r="C4" s="3067"/>
      <c r="D4" s="2228" t="s">
        <v>1911</v>
      </c>
      <c r="E4" s="2229" t="s">
        <v>1912</v>
      </c>
      <c r="F4" s="1392"/>
      <c r="G4" s="2230" t="s">
        <v>1937</v>
      </c>
      <c r="H4" s="1247" t="s">
        <v>1917</v>
      </c>
      <c r="I4" s="55">
        <f>ROUND(SUMIF('数据-基础表'!I9:AS9,"地上",'数据-基础表'!I5:AS5)/'数据-基础表'!A3,2)</f>
        <v>29403.56</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f>ROUND(E31/D31,2)</f>
        <v>29403.56</v>
      </c>
      <c r="J5" s="1392"/>
      <c r="K5" s="1392"/>
      <c r="L5" s="1392"/>
      <c r="M5" s="1392"/>
      <c r="N5" s="1392"/>
      <c r="O5" s="1392"/>
      <c r="P5" s="1392"/>
    </row>
    <row r="6" spans="1:16" ht="15" thickBot="1">
      <c r="A6" s="2231"/>
      <c r="B6" s="3068" t="s">
        <v>1915</v>
      </c>
      <c r="C6" s="3068"/>
      <c r="D6" s="48">
        <f>ROUND($D$3*E6/$E$3,2)</f>
        <v>1</v>
      </c>
      <c r="E6" s="49">
        <f>E3-E5</f>
        <v>29403.559999999998</v>
      </c>
      <c r="F6" s="1392"/>
      <c r="G6" s="2232" t="s">
        <v>1916</v>
      </c>
      <c r="H6" s="1399" t="s">
        <v>1917</v>
      </c>
      <c r="I6" s="939">
        <f>ROUND(F31/D31,2)</f>
        <v>29403.56</v>
      </c>
      <c r="J6" s="1392"/>
      <c r="K6" s="1392"/>
      <c r="L6" s="1392"/>
      <c r="M6" s="1392"/>
      <c r="N6" s="1392"/>
      <c r="O6" s="1392"/>
      <c r="P6" s="1392"/>
    </row>
    <row r="7" spans="1:16" ht="15">
      <c r="A7" s="3060"/>
      <c r="B7" s="3061"/>
      <c r="C7" s="3062"/>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1</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1</v>
      </c>
      <c r="E16" s="53">
        <f>SUM(E8:E15)</f>
        <v>29403.559999999998</v>
      </c>
      <c r="F16" s="1392"/>
      <c r="G16" s="2234"/>
      <c r="H16" s="2237" t="s">
        <v>1939</v>
      </c>
      <c r="I16" s="2238"/>
      <c r="J16" s="1392"/>
      <c r="K16" s="3057" t="s">
        <v>1939</v>
      </c>
      <c r="L16" s="3058"/>
      <c r="M16" s="3058"/>
      <c r="N16" s="3058"/>
      <c r="O16" s="3058"/>
      <c r="P16" s="3059"/>
    </row>
    <row r="17" spans="1:19" ht="15">
      <c r="A17" s="2239" t="s">
        <v>1940</v>
      </c>
      <c r="B17" s="2240" t="s">
        <v>1941</v>
      </c>
      <c r="C17" s="2241" t="s">
        <v>1942</v>
      </c>
      <c r="D17" s="2242" t="s">
        <v>1930</v>
      </c>
      <c r="E17" s="2243" t="s">
        <v>1931</v>
      </c>
      <c r="F17" s="2244"/>
      <c r="G17" s="2245"/>
      <c r="H17" s="2246" t="s">
        <v>1943</v>
      </c>
      <c r="I17" s="2247" t="s">
        <v>1928</v>
      </c>
      <c r="J17" s="1392"/>
      <c r="K17" s="3054" t="s">
        <v>1944</v>
      </c>
      <c r="L17" s="3055"/>
      <c r="M17" s="3056"/>
      <c r="N17" s="3054" t="s">
        <v>1945</v>
      </c>
      <c r="O17" s="3055"/>
      <c r="P17" s="305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1</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1</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1</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55942</v>
      </c>
      <c r="F6" s="72">
        <f>SUMIF(项目基本情况!D$12:I$12,C6,项目基本情况!D$15:I$15)</f>
        <v>33.31</v>
      </c>
      <c r="G6" s="73">
        <f>IF(ISERROR(ROUND(POWER(1+H6,D6-F6)*(POWER(1+H6,F6)-1)/(POWER(1+H6,D6)-1),3)),0,ROUND(POWER(1+H6,D6-F6)*(POWER(1+H6,F6)-1)/(POWER(1+H6,D6)-1),3))</f>
        <v>0.92900000000000005</v>
      </c>
      <c r="H6" s="802">
        <v>4.4999999999999998E-2</v>
      </c>
      <c r="I6" s="802">
        <v>5.5E-2</v>
      </c>
      <c r="J6" s="74">
        <v>8.5000000000000006E-2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3">
        <f>ROUND($L$14*S6/10000,0)</f>
        <v>0</v>
      </c>
      <c r="U6" s="2965">
        <v>50000000</v>
      </c>
      <c r="V6" s="79">
        <v>0.03</v>
      </c>
      <c r="W6" s="79">
        <v>0</v>
      </c>
      <c r="X6" s="1261"/>
      <c r="Y6" s="80">
        <f>N6</f>
        <v>0.77</v>
      </c>
      <c r="Z6" s="81"/>
      <c r="AA6" s="74"/>
      <c r="AB6" s="74"/>
      <c r="AC6" s="1261"/>
      <c r="AD6" s="82"/>
      <c r="AE6" s="1262">
        <f ca="1">IF(AN6="",0,SUMIF(INDIRECT("'"&amp;AN6&amp;"'"&amp;"!E:E"),$AE$5,INDIRECT("'"&amp;AN6&amp;"'"&amp;"!F:F")))</f>
        <v>33.31</v>
      </c>
      <c r="AF6" s="2954"/>
      <c r="AG6" s="147">
        <f>IF(AF6="",0,AE6-AF6)</f>
        <v>0</v>
      </c>
      <c r="AH6" s="2968">
        <v>1</v>
      </c>
      <c r="AI6" s="85">
        <v>1</v>
      </c>
      <c r="AJ6" s="86"/>
      <c r="AK6" s="87">
        <v>0.01</v>
      </c>
      <c r="AL6" s="88">
        <v>1.5E-3</v>
      </c>
      <c r="AM6" s="89">
        <v>1.4999999999999999E-2</v>
      </c>
      <c r="AN6" s="2306" t="s">
        <v>3100</v>
      </c>
      <c r="AO6" s="55">
        <f ca="1">SUMIF(INDIRECT("'"&amp;AN6&amp;"'"&amp;"!A:A"),"总价",INDIRECT("'"&amp;AN6&amp;"'"&amp;"!B:B"))</f>
        <v>85779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0.92900000000000005</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v>108390</v>
      </c>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f ca="1">结果表!G19</f>
        <v>108393</v>
      </c>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108393</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180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180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180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25873.96</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f>12936.98*2</f>
        <v>25873.96</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2080</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33" sqref="H3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108393</v>
      </c>
      <c r="C5" s="1742">
        <f ca="1">ROUND(B5*10000/$B$1,0)</f>
        <v>36864</v>
      </c>
      <c r="D5" s="1742" t="e">
        <f ca="1">ROUND(B5*10000/$B$2,0)</f>
        <v>#DIV/0!</v>
      </c>
      <c r="E5" s="1741"/>
      <c r="F5" s="1739"/>
      <c r="G5" s="1739"/>
    </row>
    <row r="6" spans="1:10" ht="16.5">
      <c r="A6" s="1742" t="s">
        <v>1352</v>
      </c>
      <c r="B6" s="1742">
        <f ca="1">SUM(G14:G23)</f>
        <v>108393</v>
      </c>
      <c r="C6" s="1742">
        <f ca="1">ROUND(B6*10000/$B$1,0)</f>
        <v>36864</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v>0</v>
      </c>
      <c r="D14" s="1740">
        <f ca="1">结果表!H118</f>
        <v>108393</v>
      </c>
      <c r="E14" s="1740">
        <f ca="1">ROUND(D14*10000/B14,0)</f>
        <v>36864</v>
      </c>
      <c r="F14" s="1740">
        <v>0</v>
      </c>
      <c r="G14" s="1740">
        <f ca="1">结果表!D122</f>
        <v>108393</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H102" sqref="H10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04" t="str">
        <f>项目基本情况!S2</f>
        <v>北京市通州区翠景北里1号楼1至3层商业用房房地产房地产</v>
      </c>
      <c r="B2" s="3105"/>
      <c r="C2" s="3105"/>
      <c r="D2" s="3105"/>
      <c r="E2" s="3105"/>
      <c r="F2" s="3105"/>
      <c r="G2" s="3105"/>
      <c r="H2" s="3105"/>
      <c r="I2" s="3106"/>
    </row>
    <row r="3" spans="1:12" ht="12.75">
      <c r="A3" s="3108" t="s">
        <v>2115</v>
      </c>
      <c r="B3" s="3109"/>
      <c r="C3" s="3109"/>
      <c r="D3" s="3109"/>
      <c r="E3" s="3109"/>
      <c r="F3" s="3109"/>
      <c r="G3" s="3109"/>
      <c r="H3" s="3109"/>
      <c r="I3" s="3109"/>
    </row>
    <row r="4" spans="1:12" ht="14.25">
      <c r="A4" s="2422" t="s">
        <v>2116</v>
      </c>
      <c r="B4" s="2423" t="s">
        <v>2117</v>
      </c>
      <c r="C4" s="2424" t="s">
        <v>3094</v>
      </c>
      <c r="D4" s="2424" t="s">
        <v>3095</v>
      </c>
      <c r="E4" s="3101" t="s">
        <v>2118</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2119</v>
      </c>
      <c r="B5" s="3022">
        <v>25</v>
      </c>
      <c r="C5" s="3087"/>
      <c r="D5" s="3107"/>
      <c r="E5" s="140" t="s">
        <v>2120</v>
      </c>
      <c r="F5" s="2426"/>
      <c r="G5" s="2426"/>
      <c r="H5" s="2426"/>
      <c r="I5" s="1830"/>
    </row>
    <row r="6" spans="1:12" ht="12.75">
      <c r="A6" s="3084"/>
      <c r="B6" s="3022"/>
      <c r="C6" s="3088"/>
      <c r="D6" s="3107"/>
      <c r="E6" s="140" t="s">
        <v>2121</v>
      </c>
      <c r="F6" s="2426"/>
      <c r="G6" s="2426"/>
      <c r="H6" s="2426"/>
      <c r="I6" s="1830"/>
    </row>
    <row r="7" spans="1:12" ht="12.75">
      <c r="A7" s="3084"/>
      <c r="B7" s="3022"/>
      <c r="C7" s="3089"/>
      <c r="D7" s="3107"/>
      <c r="E7" s="140" t="s">
        <v>2122</v>
      </c>
      <c r="F7" s="2426"/>
      <c r="G7" s="2426"/>
      <c r="H7" s="2426"/>
      <c r="I7" s="1830"/>
    </row>
    <row r="8" spans="1:12" ht="12.75">
      <c r="A8" s="3084" t="s">
        <v>2123</v>
      </c>
      <c r="B8" s="3022">
        <v>15</v>
      </c>
      <c r="C8" s="3087"/>
      <c r="D8" s="3107"/>
      <c r="E8" s="140" t="s">
        <v>2124</v>
      </c>
      <c r="F8" s="2426"/>
      <c r="G8" s="2426"/>
      <c r="H8" s="2426"/>
      <c r="I8" s="1830"/>
    </row>
    <row r="9" spans="1:12" ht="12.75">
      <c r="A9" s="3084"/>
      <c r="B9" s="3022"/>
      <c r="C9" s="3089"/>
      <c r="D9" s="3107"/>
      <c r="E9" s="140" t="s">
        <v>2125</v>
      </c>
      <c r="F9" s="2426"/>
      <c r="G9" s="2426"/>
      <c r="H9" s="2426"/>
      <c r="I9" s="1830"/>
    </row>
    <row r="10" spans="1:12" ht="12.75">
      <c r="A10" s="3084" t="s">
        <v>2126</v>
      </c>
      <c r="B10" s="3022">
        <v>15</v>
      </c>
      <c r="C10" s="3087"/>
      <c r="D10" s="3107"/>
      <c r="E10" s="140" t="s">
        <v>2127</v>
      </c>
      <c r="F10" s="2426"/>
      <c r="G10" s="2426"/>
      <c r="H10" s="2426"/>
      <c r="I10" s="1830"/>
    </row>
    <row r="11" spans="1:12" ht="12.75">
      <c r="A11" s="3084"/>
      <c r="B11" s="3022"/>
      <c r="C11" s="3089"/>
      <c r="D11" s="3107"/>
      <c r="E11" s="140" t="s">
        <v>2128</v>
      </c>
      <c r="F11" s="2426"/>
      <c r="G11" s="2426"/>
      <c r="H11" s="2426"/>
      <c r="I11" s="1830"/>
    </row>
    <row r="12" spans="1:12" ht="12.75">
      <c r="A12" s="3084" t="s">
        <v>2129</v>
      </c>
      <c r="B12" s="3022">
        <v>15</v>
      </c>
      <c r="C12" s="3087"/>
      <c r="D12" s="3107"/>
      <c r="E12" s="140" t="s">
        <v>2130</v>
      </c>
      <c r="F12" s="2426"/>
      <c r="G12" s="2426"/>
      <c r="H12" s="2426"/>
      <c r="I12" s="1830"/>
    </row>
    <row r="13" spans="1:12" ht="12.75">
      <c r="A13" s="3084"/>
      <c r="B13" s="3022"/>
      <c r="C13" s="3089"/>
      <c r="D13" s="3107"/>
      <c r="E13" s="140" t="s">
        <v>2131</v>
      </c>
      <c r="F13" s="2426"/>
      <c r="G13" s="2426"/>
      <c r="H13" s="2426"/>
      <c r="I13" s="1830"/>
    </row>
    <row r="14" spans="1:12" ht="12.75">
      <c r="A14" s="3084" t="s">
        <v>2132</v>
      </c>
      <c r="B14" s="3022">
        <v>30</v>
      </c>
      <c r="C14" s="3087">
        <v>4</v>
      </c>
      <c r="D14" s="3107">
        <v>6</v>
      </c>
      <c r="E14" s="140" t="s">
        <v>2133</v>
      </c>
      <c r="F14" s="2426"/>
      <c r="G14" s="2426"/>
      <c r="H14" s="2426"/>
      <c r="I14" s="1830"/>
    </row>
    <row r="15" spans="1:12" ht="12.75">
      <c r="A15" s="3084"/>
      <c r="B15" s="3022"/>
      <c r="C15" s="3088"/>
      <c r="D15" s="3107"/>
      <c r="E15" s="140" t="s">
        <v>2134</v>
      </c>
      <c r="F15" s="2426"/>
      <c r="G15" s="2426"/>
      <c r="H15" s="2426"/>
      <c r="I15" s="1830"/>
    </row>
    <row r="16" spans="1:12" ht="12.75">
      <c r="A16" s="3084"/>
      <c r="B16" s="3022"/>
      <c r="C16" s="3089"/>
      <c r="D16" s="3107"/>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142313</v>
      </c>
      <c r="D19" s="144">
        <f ca="1">SUMIF(INDIRECT("'"&amp;D4&amp;"'"&amp;"!A:A"),结果表!B19,INDIRECT("'"&amp;D4&amp;"'"&amp;"!B:B"))</f>
        <v>85779</v>
      </c>
      <c r="E19" s="2431" t="s">
        <v>2143</v>
      </c>
      <c r="F19" s="2432" t="s">
        <v>2142</v>
      </c>
      <c r="G19" s="145">
        <f ca="1">ROUND(C19*$C$18+D19*$D$18,0)</f>
        <v>108393</v>
      </c>
      <c r="H19" s="2433" t="s">
        <v>2144</v>
      </c>
      <c r="I19" s="138"/>
      <c r="J19" s="2969">
        <v>92253</v>
      </c>
      <c r="K19" s="2425" t="s">
        <v>2145</v>
      </c>
      <c r="L19" s="2425">
        <f>IF(C1="",'数据-汇总表'!D3,SUMIF(项目类型,C1,'数据-汇总表'!D17:D26)+SUMIF(项目类型,C1,'数据-汇总表'!H17:H27))</f>
        <v>1</v>
      </c>
      <c r="M19" s="2425">
        <f>IF(C1="",'数据-汇总表'!D3,SUMIF(项目类型,C1,'数据-汇总表'!D17:D26))</f>
        <v>1</v>
      </c>
    </row>
    <row r="20" spans="1:35" ht="15">
      <c r="A20" s="2434"/>
      <c r="B20" s="1247" t="s">
        <v>2146</v>
      </c>
      <c r="C20" s="146">
        <f ca="1">SUMIF(INDIRECT("'"&amp;C4&amp;"'"&amp;"!A:A"),结果表!B20,INDIRECT("'"&amp;C4&amp;"'"&amp;"!B:B"))</f>
        <v>48400</v>
      </c>
      <c r="D20" s="147">
        <f ca="1">SUMIF(INDIRECT("'"&amp;D4&amp;"'"&amp;"!A:A"),结果表!B20,INDIRECT("'"&amp;D4&amp;"'"&amp;"!B:B"))</f>
        <v>29173</v>
      </c>
      <c r="E20" s="2434"/>
      <c r="F20" s="1247" t="s">
        <v>2146</v>
      </c>
      <c r="G20" s="148">
        <f ca="1">ROUND(C20*$C$18+D20*$D$18,0)</f>
        <v>36864</v>
      </c>
      <c r="H20" s="980" t="s">
        <v>2147</v>
      </c>
      <c r="I20" s="138"/>
    </row>
    <row r="21" spans="1:35" ht="15" customHeight="1" thickBot="1">
      <c r="A21" s="1000"/>
      <c r="B21" s="2435" t="s">
        <v>2148</v>
      </c>
      <c r="C21" s="789">
        <f ca="1">ROUND(C19*10000/L19,0)</f>
        <v>1423130000</v>
      </c>
      <c r="D21" s="790">
        <f ca="1">ROUND(D19*10000/L19,0)</f>
        <v>857790000</v>
      </c>
      <c r="E21" s="1000"/>
      <c r="F21" s="2435" t="s">
        <v>2148</v>
      </c>
      <c r="G21" s="149">
        <f ca="1">ROUND(G19*10000/L19,0)</f>
        <v>1083930000</v>
      </c>
      <c r="H21" s="2436" t="s">
        <v>2147</v>
      </c>
      <c r="I21" s="138"/>
      <c r="J21" s="795">
        <v>1</v>
      </c>
      <c r="K21" s="795">
        <v>50000</v>
      </c>
    </row>
    <row r="22" spans="1:35" ht="15" thickBot="1">
      <c r="A22" s="2278" t="s">
        <v>2149</v>
      </c>
      <c r="B22" s="2437"/>
      <c r="C22" s="2438"/>
      <c r="D22" s="791">
        <f ca="1">IF(C19&lt;D19,D19/C19-1,C19/D19-1)</f>
        <v>0.65906573870061447</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078" t="s">
        <v>2150</v>
      </c>
      <c r="B24" s="2432" t="s">
        <v>2142</v>
      </c>
      <c r="C24" s="145">
        <f>IF(B30=0,0,D30)</f>
        <v>0</v>
      </c>
      <c r="D24" s="2439"/>
      <c r="E24" s="138"/>
      <c r="F24" s="138"/>
      <c r="G24" s="138"/>
      <c r="H24" s="138"/>
      <c r="I24" s="138"/>
      <c r="K24" s="795">
        <f>SUM(K21:K23)</f>
        <v>105000</v>
      </c>
    </row>
    <row r="25" spans="1:35" ht="14.25">
      <c r="A25" s="3079"/>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108390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108393</v>
      </c>
      <c r="D32" s="2446" t="s">
        <v>2157</v>
      </c>
      <c r="E32" s="138"/>
      <c r="F32" s="138"/>
      <c r="G32" s="138"/>
      <c r="H32" s="138"/>
      <c r="I32" s="138"/>
    </row>
    <row r="33" spans="1:15" ht="15">
      <c r="A33" s="957" t="s">
        <v>2158</v>
      </c>
      <c r="B33" s="2447"/>
      <c r="C33" s="2448" t="s">
        <v>3218</v>
      </c>
      <c r="D33" s="2449" t="s">
        <v>3094</v>
      </c>
      <c r="E33" s="2450" t="s">
        <v>2159</v>
      </c>
      <c r="F33" s="2451" t="str">
        <f>IF(D32="楼面单价","取值（单价）","取值（总价）")</f>
        <v>取值（总价）</v>
      </c>
      <c r="G33" s="138"/>
      <c r="H33" s="138"/>
      <c r="I33" s="138"/>
    </row>
    <row r="34" spans="1:15" ht="15">
      <c r="A34" s="2452"/>
      <c r="B34" s="2453" t="s">
        <v>2160</v>
      </c>
      <c r="C34" s="157">
        <f ca="1">IF(C33="自定义",F34,C32-C35)</f>
        <v>94780</v>
      </c>
      <c r="D34" s="1055">
        <f ca="1">IF(C33="自定义",ROUND(C34/C32,3),IF(C33="收益比率",SUMIF(INDIRECT("'"&amp;D33&amp;"'"&amp;"!b:b"),"土地收益比率",INDIRECT("'"&amp;D33&amp;"'"&amp;"!c:c")),SUMIF(INDIRECT("'"&amp;D33&amp;"'"&amp;"!b:b"),"土地成本比率",INDIRECT("'"&amp;D33&amp;"'"&amp;"!c:c"))))</f>
        <v>0.874</v>
      </c>
      <c r="E34" s="2454" t="s">
        <v>2161</v>
      </c>
      <c r="F34" s="1735">
        <f ca="1">ROUND(H101-F35,0)</f>
        <v>94780</v>
      </c>
      <c r="G34" s="138"/>
      <c r="H34" s="138"/>
      <c r="I34" s="138"/>
    </row>
    <row r="35" spans="1:15" ht="15.75" thickBot="1">
      <c r="A35" s="2455"/>
      <c r="B35" s="2456" t="s">
        <v>2162</v>
      </c>
      <c r="C35" s="1441">
        <f ca="1">IF(C33="自定义",F35,ROUND(C32*D35,0))</f>
        <v>13613</v>
      </c>
      <c r="D35" s="1442">
        <f ca="1">IF(C33="自定义",ROUND(C35/C32,3),IF(C33="收益比率",SUMIF(INDIRECT("'"&amp;D33&amp;"'"&amp;"!b:b"),"建筑物收益比率",INDIRECT("'"&amp;D33&amp;"'"&amp;"!c:c")),SUMIF(INDIRECT("'"&amp;D33&amp;"'"&amp;"!b:b"),"建筑物成本比率",INDIRECT("'"&amp;D33&amp;"'"&amp;"!c:c"))))</f>
        <v>0.126</v>
      </c>
      <c r="E35" s="2457" t="s">
        <v>2163</v>
      </c>
      <c r="F35" s="163">
        <f ca="1">成本法!C51</f>
        <v>13613</v>
      </c>
      <c r="G35" s="138"/>
      <c r="H35" s="138"/>
      <c r="I35" s="138"/>
    </row>
    <row r="36" spans="1:15" ht="15.75" thickBot="1">
      <c r="A36" s="3096" t="s">
        <v>2164</v>
      </c>
      <c r="B36" s="2458" t="s">
        <v>2165</v>
      </c>
      <c r="C36" s="154"/>
      <c r="D36" s="2459"/>
      <c r="E36" s="2460"/>
      <c r="F36" s="2461"/>
      <c r="G36" s="138"/>
      <c r="H36" s="138"/>
      <c r="I36" s="138"/>
    </row>
    <row r="37" spans="1:15" ht="15.75" thickBot="1">
      <c r="A37" s="3097"/>
      <c r="B37" s="2264" t="s">
        <v>2166</v>
      </c>
      <c r="C37" s="156"/>
      <c r="D37" s="1392"/>
      <c r="E37" s="1392"/>
      <c r="F37" s="2461"/>
      <c r="G37" s="138"/>
      <c r="H37" s="138"/>
      <c r="I37" s="138"/>
    </row>
    <row r="38" spans="1:15" ht="15.75" thickBot="1">
      <c r="A38" s="3098"/>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hidden="1">
      <c r="A44" s="2471" t="s">
        <v>2176</v>
      </c>
      <c r="B44" s="2472"/>
      <c r="C44" s="2472"/>
      <c r="D44" s="2473"/>
      <c r="E44" s="2473"/>
      <c r="F44" s="2474"/>
      <c r="G44" s="2474"/>
      <c r="H44" s="2474"/>
      <c r="I44" s="2474"/>
      <c r="J44" s="2475" t="s">
        <v>2177</v>
      </c>
      <c r="K44" s="2476"/>
      <c r="L44" s="2476"/>
      <c r="M44" s="2476"/>
      <c r="N44" s="2476"/>
      <c r="O44" s="2476"/>
    </row>
    <row r="45" spans="1:15" ht="14.25" hidden="1" customHeight="1" thickBot="1">
      <c r="A45" s="3075" t="s">
        <v>2178</v>
      </c>
      <c r="B45" s="3076"/>
      <c r="C45" s="3077"/>
      <c r="D45" s="164">
        <f ca="1">ROUND(H101*F45,0)</f>
        <v>108393</v>
      </c>
      <c r="E45" s="165" t="s">
        <v>2179</v>
      </c>
      <c r="F45" s="166">
        <v>1</v>
      </c>
      <c r="G45" s="167" t="s">
        <v>2180</v>
      </c>
      <c r="H45" s="138"/>
      <c r="I45" s="138"/>
      <c r="J45" s="3135" t="s">
        <v>2181</v>
      </c>
      <c r="K45" s="3135"/>
      <c r="L45" s="3135"/>
      <c r="M45" s="3135"/>
      <c r="N45" s="3135"/>
      <c r="O45" s="3135"/>
    </row>
    <row r="46" spans="1:15" ht="14.25" hidden="1" customHeight="1">
      <c r="A46" s="3072" t="s">
        <v>2182</v>
      </c>
      <c r="B46" s="3073"/>
      <c r="C46" s="3073"/>
      <c r="D46" s="3073"/>
      <c r="E46" s="3073"/>
      <c r="F46" s="3073"/>
      <c r="G46" s="3074"/>
      <c r="H46" s="2477"/>
      <c r="I46" s="168"/>
      <c r="J46" s="1808">
        <v>1</v>
      </c>
      <c r="K46" s="3135" t="s">
        <v>2183</v>
      </c>
      <c r="L46" s="3135"/>
      <c r="M46" s="3155"/>
      <c r="N46" s="3155"/>
      <c r="O46" s="3155"/>
    </row>
    <row r="47" spans="1:15" ht="12" hidden="1" customHeight="1">
      <c r="A47" s="169" t="s">
        <v>2184</v>
      </c>
      <c r="B47" s="170"/>
      <c r="C47" s="171"/>
      <c r="D47" s="172" t="s">
        <v>2185</v>
      </c>
      <c r="E47" s="24" t="s">
        <v>2186</v>
      </c>
      <c r="F47" s="173" t="s">
        <v>2187</v>
      </c>
      <c r="G47" s="174" t="s">
        <v>2188</v>
      </c>
      <c r="H47" s="2477"/>
      <c r="I47" s="168"/>
      <c r="J47" s="1808">
        <v>2</v>
      </c>
      <c r="K47" s="3135" t="s">
        <v>2189</v>
      </c>
      <c r="L47" s="3135"/>
      <c r="M47" s="3156">
        <f>'数据-取费表'!B2</f>
        <v>43782</v>
      </c>
      <c r="N47" s="3156"/>
      <c r="O47" s="3156"/>
    </row>
    <row r="48" spans="1:15" ht="25.5" hidden="1">
      <c r="A48" s="3103" t="s">
        <v>2190</v>
      </c>
      <c r="B48" s="3086"/>
      <c r="C48" s="3086"/>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135" t="s">
        <v>2193</v>
      </c>
      <c r="L48" s="3135"/>
      <c r="M48" s="3157">
        <f ca="1">H101</f>
        <v>108393</v>
      </c>
      <c r="N48" s="3157"/>
      <c r="O48" s="3157"/>
    </row>
    <row r="49" spans="1:35" ht="25.5" hidden="1" customHeight="1">
      <c r="A49" s="176" t="s">
        <v>2194</v>
      </c>
      <c r="B49" s="3071" t="s">
        <v>2195</v>
      </c>
      <c r="C49" s="3071"/>
      <c r="D49" s="177">
        <v>0</v>
      </c>
      <c r="E49" s="23" t="s">
        <v>2196</v>
      </c>
      <c r="F49" s="28" t="s">
        <v>34</v>
      </c>
      <c r="G49" s="3141"/>
      <c r="H49" s="138"/>
      <c r="I49" s="2480"/>
      <c r="J49" s="1808">
        <v>4</v>
      </c>
      <c r="K49" s="3135" t="str">
        <f>IF(项目基本情况!E8="房地产抵押价值","房地产抵押价值","抵押担保权已注销时的房地产抵押价值")</f>
        <v>房地产抵押价值</v>
      </c>
      <c r="L49" s="3135"/>
      <c r="M49" s="3157">
        <f ca="1">IF(项目基本情况!E8="房地产抵押价值",H107,H109)</f>
        <v>108393</v>
      </c>
      <c r="N49" s="3157"/>
      <c r="O49" s="3157"/>
    </row>
    <row r="50" spans="1:35" ht="25.5" hidden="1" customHeight="1">
      <c r="A50" s="178"/>
      <c r="B50" s="3071" t="s">
        <v>2197</v>
      </c>
      <c r="C50" s="3071"/>
      <c r="D50" s="179"/>
      <c r="E50" s="31"/>
      <c r="F50" s="180"/>
      <c r="G50" s="3142"/>
      <c r="H50" s="138"/>
      <c r="I50" s="2480"/>
      <c r="J50" s="3135" t="s">
        <v>2198</v>
      </c>
      <c r="K50" s="3135"/>
      <c r="L50" s="3135"/>
      <c r="M50" s="3135"/>
      <c r="N50" s="3135"/>
      <c r="O50" s="3135"/>
    </row>
    <row r="51" spans="1:35" ht="12" hidden="1" customHeight="1">
      <c r="A51" s="181"/>
      <c r="B51" s="3071" t="s">
        <v>2199</v>
      </c>
      <c r="C51" s="3071"/>
      <c r="D51" s="182"/>
      <c r="E51" s="30"/>
      <c r="F51" s="180"/>
      <c r="G51" s="3143"/>
      <c r="H51" s="138"/>
      <c r="I51" s="2480"/>
      <c r="J51" s="2481" t="s">
        <v>2200</v>
      </c>
      <c r="K51" s="3135" t="s">
        <v>2201</v>
      </c>
      <c r="L51" s="3135"/>
      <c r="M51" s="2481" t="s">
        <v>2202</v>
      </c>
      <c r="N51" s="2481" t="s">
        <v>2203</v>
      </c>
      <c r="O51" s="2481" t="s">
        <v>2204</v>
      </c>
    </row>
    <row r="52" spans="1:35" ht="24" hidden="1" customHeight="1">
      <c r="A52" s="183" t="s">
        <v>2205</v>
      </c>
      <c r="B52" s="3071" t="s">
        <v>2206</v>
      </c>
      <c r="C52" s="3071"/>
      <c r="D52" s="182">
        <f ca="1">ROUND(D45*'数据-取费表'!B41/(1+'数据-取费表'!C42),0)</f>
        <v>5678</v>
      </c>
      <c r="E52" s="11" t="s">
        <v>2207</v>
      </c>
      <c r="F52" s="184">
        <f>'数据-取费表'!B41</f>
        <v>5.5000000000000007E-2</v>
      </c>
      <c r="G52" s="2482"/>
      <c r="H52" s="138"/>
      <c r="I52" s="2480"/>
      <c r="J52" s="1808">
        <v>1</v>
      </c>
      <c r="K52" s="3136" t="s">
        <v>2208</v>
      </c>
      <c r="L52" s="3136"/>
      <c r="M52" s="1750">
        <f>D48</f>
        <v>0</v>
      </c>
      <c r="N52" s="1808" t="str">
        <f>E48</f>
        <v>销售额×税（费）率</v>
      </c>
      <c r="O52" s="1751" t="str">
        <f>F48</f>
        <v>免征</v>
      </c>
    </row>
    <row r="53" spans="1:35" ht="12" hidden="1" customHeight="1">
      <c r="A53" s="183" t="s">
        <v>2209</v>
      </c>
      <c r="B53" s="3094" t="s">
        <v>2210</v>
      </c>
      <c r="C53" s="3095"/>
      <c r="D53" s="182">
        <f ca="1">ROUND(D45*'数据-取费表'!B41/(1+'数据-取费表'!C42),0)</f>
        <v>5678</v>
      </c>
      <c r="E53" s="11" t="s">
        <v>2207</v>
      </c>
      <c r="F53" s="184">
        <f>'数据-取费表'!B41</f>
        <v>5.5000000000000007E-2</v>
      </c>
      <c r="G53" s="2482"/>
      <c r="H53" s="138"/>
      <c r="I53" s="2480"/>
      <c r="J53" s="1808">
        <v>2</v>
      </c>
      <c r="K53" s="3136" t="s">
        <v>2211</v>
      </c>
      <c r="L53" s="3136"/>
      <c r="M53" s="1750">
        <f t="shared" ref="M53:O54" ca="1" si="0">D55</f>
        <v>542</v>
      </c>
      <c r="N53" s="1808" t="str">
        <f t="shared" si="0"/>
        <v>销售额×税（费）率</v>
      </c>
      <c r="O53" s="1751">
        <f t="shared" si="0"/>
        <v>5.0000000000000001E-3</v>
      </c>
    </row>
    <row r="54" spans="1:35" ht="12" hidden="1" customHeight="1">
      <c r="A54" s="183" t="s">
        <v>2212</v>
      </c>
      <c r="B54" s="3094" t="s">
        <v>2213</v>
      </c>
      <c r="C54" s="3095"/>
      <c r="D54" s="182">
        <f ca="1">C68</f>
        <v>5678</v>
      </c>
      <c r="E54" s="30" t="s">
        <v>2214</v>
      </c>
      <c r="F54" s="184">
        <f>'数据-取费表'!B41</f>
        <v>5.5000000000000007E-2</v>
      </c>
      <c r="G54" s="2482"/>
      <c r="H54" s="2483"/>
      <c r="I54" s="2480"/>
      <c r="J54" s="1808">
        <v>3</v>
      </c>
      <c r="K54" s="3136" t="s">
        <v>2215</v>
      </c>
      <c r="L54" s="3136"/>
      <c r="M54" s="1750">
        <f t="shared" ca="1" si="0"/>
        <v>61448</v>
      </c>
      <c r="N54" s="1808" t="str">
        <f t="shared" si="0"/>
        <v>增值额×税（费）率</v>
      </c>
      <c r="O54" s="1752" t="str">
        <f t="shared" si="0"/>
        <v>——</v>
      </c>
    </row>
    <row r="55" spans="1:35" ht="24" hidden="1" customHeight="1">
      <c r="A55" s="3085" t="s">
        <v>2216</v>
      </c>
      <c r="B55" s="3086"/>
      <c r="C55" s="3086"/>
      <c r="D55" s="185">
        <f ca="1">IF(H55="个人住宅",0,ROUND(D45*I55,0))</f>
        <v>542</v>
      </c>
      <c r="E55" s="11" t="s">
        <v>2217</v>
      </c>
      <c r="F55" s="184">
        <f>IF(H55="正常",I55,"免征")</f>
        <v>5.0000000000000001E-3</v>
      </c>
      <c r="G55" s="2482"/>
      <c r="H55" s="2479" t="s">
        <v>2218</v>
      </c>
      <c r="I55" s="186">
        <f>'数据-取费表'!B49</f>
        <v>5.0000000000000001E-3</v>
      </c>
      <c r="J55" s="1808" t="str">
        <f>IF(H59="非个人房产","",4)</f>
        <v/>
      </c>
      <c r="K55" s="3136" t="str">
        <f>IF(H59="非个人房产","——","个人所得税")</f>
        <v>——</v>
      </c>
      <c r="L55" s="3136"/>
      <c r="M55" s="1753" t="str">
        <f>D59</f>
        <v>——</v>
      </c>
      <c r="N55" s="1806" t="str">
        <f>E59</f>
        <v>——</v>
      </c>
      <c r="O55" s="1754" t="str">
        <f>F59</f>
        <v>——</v>
      </c>
    </row>
    <row r="56" spans="1:35" ht="24.75" hidden="1">
      <c r="A56" s="3085" t="s">
        <v>2219</v>
      </c>
      <c r="B56" s="3086"/>
      <c r="C56" s="3086"/>
      <c r="D56" s="185">
        <f ca="1">IF(H56="个人住宅",D57,D58)</f>
        <v>61448</v>
      </c>
      <c r="E56" s="11" t="s">
        <v>2220</v>
      </c>
      <c r="F56" s="184" t="str">
        <f>IF(H56="正常",F58,"免征")</f>
        <v>——</v>
      </c>
      <c r="G56" s="2484" t="s">
        <v>2221</v>
      </c>
      <c r="H56" s="2485" t="s">
        <v>2218</v>
      </c>
      <c r="I56" s="2486"/>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hidden="1">
      <c r="A57" s="183" t="s">
        <v>2194</v>
      </c>
      <c r="B57" s="3101" t="s">
        <v>2222</v>
      </c>
      <c r="C57" s="3110"/>
      <c r="D57" s="187">
        <v>0</v>
      </c>
      <c r="E57" s="23" t="s">
        <v>2196</v>
      </c>
      <c r="F57" s="155"/>
      <c r="G57" s="2482"/>
      <c r="H57" s="2486"/>
      <c r="I57" s="2486"/>
      <c r="J57" s="3136">
        <f>IF(AND(J55="",J56=""),4,IF(项目基本情况!K6="上海银行",结果表!J56+1,结果表!J55+1))</f>
        <v>4</v>
      </c>
      <c r="K57" s="3136" t="s">
        <v>2223</v>
      </c>
      <c r="L57" s="2487" t="s">
        <v>2224</v>
      </c>
      <c r="M57" s="1755"/>
      <c r="N57" s="1756">
        <f ca="1">SUMIF(M52:M56,"&lt;9e307")</f>
        <v>61990</v>
      </c>
      <c r="O57" s="2488"/>
      <c r="P57" s="1749">
        <f ca="1">N57/M49</f>
        <v>0.57190039947229065</v>
      </c>
    </row>
    <row r="58" spans="1:35" ht="24.75" hidden="1">
      <c r="A58" s="183" t="s">
        <v>2205</v>
      </c>
      <c r="B58" s="3101" t="s">
        <v>2225</v>
      </c>
      <c r="C58" s="3102"/>
      <c r="D58" s="185">
        <f ca="1">IF(H58="转让取得",C81,C97)</f>
        <v>61448</v>
      </c>
      <c r="E58" s="11" t="s">
        <v>2220</v>
      </c>
      <c r="F58" s="24" t="s">
        <v>34</v>
      </c>
      <c r="G58" s="2482"/>
      <c r="H58" s="2485" t="s">
        <v>2226</v>
      </c>
      <c r="I58" s="2486"/>
      <c r="J58" s="3136"/>
      <c r="K58" s="3136"/>
      <c r="L58" s="2487" t="s">
        <v>2227</v>
      </c>
      <c r="M58" s="1757"/>
      <c r="N58" s="2489" t="str">
        <f ca="1">NUMBERSTRING(INT(N57*10000),2)&amp;"元整"</f>
        <v>陆亿壹仟玖佰玖拾万元整</v>
      </c>
      <c r="O58" s="2490"/>
    </row>
    <row r="59" spans="1:35" ht="24.75" hidden="1" thickBot="1">
      <c r="A59" s="3139" t="s">
        <v>2228</v>
      </c>
      <c r="B59" s="3140"/>
      <c r="C59" s="3140"/>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37">
        <f>J57+1</f>
        <v>5</v>
      </c>
      <c r="K59" s="3136" t="s">
        <v>2230</v>
      </c>
      <c r="L59" s="1808" t="s">
        <v>2224</v>
      </c>
      <c r="M59" s="1758"/>
      <c r="N59" s="1759">
        <f ca="1">M49-N57</f>
        <v>46403</v>
      </c>
      <c r="O59" s="2492"/>
    </row>
    <row r="60" spans="1:35" ht="12" hidden="1" customHeight="1">
      <c r="A60" s="2493"/>
      <c r="B60" s="2415"/>
      <c r="C60" s="2415"/>
      <c r="D60" s="2415"/>
      <c r="E60" s="2163"/>
      <c r="F60" s="2486"/>
      <c r="G60" s="2486"/>
      <c r="H60" s="2494"/>
      <c r="I60" s="138"/>
      <c r="J60" s="3138"/>
      <c r="K60" s="3136"/>
      <c r="L60" s="2487" t="s">
        <v>2227</v>
      </c>
      <c r="M60" s="1757"/>
      <c r="N60" s="2489" t="str">
        <f ca="1">NUMBERSTRING(INT(N59*10000),2)&amp;"元整"</f>
        <v>肆亿陆仟肆佰零叁万元整</v>
      </c>
      <c r="O60" s="2490"/>
    </row>
    <row r="61" spans="1:35" ht="13.5" hidden="1" thickBot="1">
      <c r="A61" s="3083" t="s">
        <v>2231</v>
      </c>
      <c r="B61" s="3083"/>
      <c r="C61" s="3083"/>
      <c r="D61" s="3083"/>
      <c r="E61" s="3083"/>
      <c r="F61" s="2486"/>
      <c r="G61" s="2486"/>
      <c r="H61" s="2494"/>
      <c r="I61" s="138"/>
      <c r="J61" s="1808">
        <f>J59+1</f>
        <v>6</v>
      </c>
      <c r="K61" s="3136" t="s">
        <v>2232</v>
      </c>
      <c r="L61" s="3136"/>
      <c r="M61" s="1760"/>
      <c r="N61" s="1761">
        <f ca="1">ROUND(N59*10000/'数据-汇总表'!E3,0)</f>
        <v>15781</v>
      </c>
      <c r="O61" s="2495"/>
    </row>
    <row r="62" spans="1:35" ht="12.75" hidden="1">
      <c r="A62" s="3099" t="s">
        <v>2233</v>
      </c>
      <c r="B62" s="3100"/>
      <c r="C62" s="1800"/>
      <c r="D62" s="1800" t="s">
        <v>2234</v>
      </c>
      <c r="E62" s="192" t="s">
        <v>2235</v>
      </c>
      <c r="F62" s="2486"/>
      <c r="G62" s="2486"/>
      <c r="H62" s="2494"/>
      <c r="I62" s="138"/>
    </row>
    <row r="63" spans="1:35" ht="12.75" hidden="1">
      <c r="A63" s="203" t="s">
        <v>775</v>
      </c>
      <c r="B63" s="193" t="s">
        <v>2236</v>
      </c>
      <c r="C63" s="194">
        <f ca="1">ROUND((C64+C65)/(1+'数据-取费表'!C42),0)</f>
        <v>103231</v>
      </c>
      <c r="D63" s="195"/>
      <c r="E63" s="196"/>
      <c r="F63" s="2486"/>
      <c r="G63" s="2486"/>
      <c r="H63" s="2494"/>
      <c r="I63" s="138"/>
      <c r="J63" s="3161" t="s">
        <v>2237</v>
      </c>
      <c r="K63" s="2496" t="s">
        <v>2238</v>
      </c>
      <c r="L63" s="1748">
        <f ca="1">IF(M49&gt;10000,M49*0.5%,IF(AND(M49&gt;1000,M49&lt;=10000),M49*1%,IF(AND(M49&gt;100,M49&lt;=1000),M49*3%,IF(AND(M49&gt;10,M49&lt;=100),M49*5%,M49*8%))))</f>
        <v>541.96500000000003</v>
      </c>
      <c r="M63" s="24">
        <f ca="1">ROUND(L63,1)</f>
        <v>542</v>
      </c>
      <c r="Z63" s="2420"/>
      <c r="AI63" s="2421"/>
    </row>
    <row r="64" spans="1:35" ht="14.25" hidden="1" customHeight="1">
      <c r="A64" s="197" t="s">
        <v>770</v>
      </c>
      <c r="B64" s="198" t="s">
        <v>2239</v>
      </c>
      <c r="C64" s="199">
        <f ca="1">D45</f>
        <v>108393</v>
      </c>
      <c r="D64" s="200" t="s">
        <v>32</v>
      </c>
      <c r="E64" s="201"/>
      <c r="F64" s="2486"/>
      <c r="G64" s="2486"/>
      <c r="H64" s="2494"/>
      <c r="I64" s="138"/>
      <c r="J64" s="3161"/>
      <c r="K64" s="2496" t="s">
        <v>2240</v>
      </c>
      <c r="L64" s="1748">
        <f ca="1">IF(M49&gt;2000,M49*0.5%,IF(AND(M49&gt;1000,M49&lt;=2000),M49*0.6%,IF(AND(M49&gt;500,M49&lt;=1000),M49*0.7%,IF(AND(M49&gt;200,M49&lt;=500),M49*0.8%,IF(AND(M49&gt;100,M49&lt;=200),M49*0.9%,IF(AND(M49&gt;50,M49&lt;=100),M49*1%,IF(AND(M49&gt;20,M49&lt;=50),M49*1.5%,IF(AND(M49&gt;10,M49&lt;=20),M49*2%,IF(AND(M49&gt;1,M49&lt;=10),M49*2.5%)))))))))</f>
        <v>541.96500000000003</v>
      </c>
      <c r="M64" s="24">
        <f t="shared" ref="M64:M65" ca="1" si="1">ROUND(L64,1)</f>
        <v>542</v>
      </c>
      <c r="N64" s="138" t="s">
        <v>2241</v>
      </c>
      <c r="Z64" s="2420"/>
      <c r="AI64" s="2421"/>
    </row>
    <row r="65" spans="1:35" ht="14.25" hidden="1" customHeight="1">
      <c r="A65" s="197" t="s">
        <v>771</v>
      </c>
      <c r="B65" s="198" t="s">
        <v>2242</v>
      </c>
      <c r="C65" s="202"/>
      <c r="D65" s="200"/>
      <c r="E65" s="201"/>
      <c r="F65" s="2486"/>
      <c r="G65" s="2486"/>
      <c r="H65" s="2494"/>
      <c r="I65" s="138"/>
      <c r="J65" s="3161"/>
      <c r="K65" s="2496" t="s">
        <v>2243</v>
      </c>
      <c r="L65" s="1748">
        <f ca="1">IF(M49&gt;1000,M49*0.1%,IF(AND(M49&gt;500,M49&lt;=1000),M49*0.5%,IF(AND(M49&gt;50,M49&lt;=500),M49*1%,IF(AND(M49&gt;1,M49&lt;=50),M49*1.5%))))</f>
        <v>108.393</v>
      </c>
      <c r="M65" s="24">
        <f t="shared" ca="1" si="1"/>
        <v>108.4</v>
      </c>
      <c r="N65" s="138" t="s">
        <v>2241</v>
      </c>
      <c r="Z65" s="2420"/>
      <c r="AI65" s="2421"/>
    </row>
    <row r="66" spans="1:35" ht="14.25" hidden="1" customHeight="1">
      <c r="A66" s="203" t="s">
        <v>772</v>
      </c>
      <c r="B66" s="204" t="s">
        <v>2244</v>
      </c>
      <c r="C66" s="205"/>
      <c r="D66" s="206" t="s">
        <v>32</v>
      </c>
      <c r="E66" s="1772" t="s">
        <v>1367</v>
      </c>
      <c r="F66" s="2486"/>
      <c r="G66" s="2486"/>
      <c r="H66" s="2494"/>
      <c r="I66" s="138"/>
      <c r="J66" s="3161"/>
      <c r="K66" s="2496" t="s">
        <v>2245</v>
      </c>
      <c r="L66" s="1748">
        <f ca="1">M49*0.5%</f>
        <v>541.96500000000003</v>
      </c>
      <c r="M66" s="24">
        <f ca="1">IF(L66&gt;0.5,0.5,ROUND(L66,0))</f>
        <v>0.5</v>
      </c>
      <c r="N66" s="138" t="s">
        <v>2246</v>
      </c>
      <c r="Z66" s="2420"/>
      <c r="AI66" s="2421"/>
    </row>
    <row r="67" spans="1:35" ht="14.25" hidden="1" customHeight="1">
      <c r="A67" s="203" t="s">
        <v>773</v>
      </c>
      <c r="B67" s="204" t="s">
        <v>2247</v>
      </c>
      <c r="C67" s="207">
        <f ca="1">C63-C66</f>
        <v>103231</v>
      </c>
      <c r="D67" s="200" t="s">
        <v>32</v>
      </c>
      <c r="E67" s="201"/>
      <c r="F67" s="2486"/>
      <c r="G67" s="2486"/>
      <c r="H67" s="2494"/>
      <c r="I67" s="138"/>
      <c r="J67" s="3161"/>
      <c r="K67" s="2496" t="s">
        <v>2248</v>
      </c>
      <c r="L67" s="1748">
        <f ca="1">IF(M49&gt;=10000,(8.25+(M49-10000)*0.01%),IF(AND(M49&gt;=8000,M49&lt;10000),(7.85+(M49-8000)*0.02%),IF(AND(M49&gt;=5000,M49&lt;8000),(6.65+(M49-5000)*0.04%),IF(AND(M49&gt;=2000,M49&lt;5000),(4.25+(PM49-2000)*0.08%),IF(AND(M49&gt;=1000,M49&lt;2000),(2.75+(M49-1000)*0.15%),IF(AND(M49&gt;=100,M49&lt;1000),(0.5+(M49-100)*0.25%),IF(AND(M49&gt;0,M49&lt;100),M49*0.5%)))))))</f>
        <v>18.089300000000001</v>
      </c>
      <c r="M67" s="24">
        <f ca="1">ROUND(L67*0.9,1)</f>
        <v>16.3</v>
      </c>
      <c r="Z67" s="2420"/>
      <c r="AI67" s="2421"/>
    </row>
    <row r="68" spans="1:35" ht="14.25" hidden="1" customHeight="1" thickBot="1">
      <c r="A68" s="208" t="s">
        <v>774</v>
      </c>
      <c r="B68" s="209" t="s">
        <v>2249</v>
      </c>
      <c r="C68" s="210">
        <f ca="1">IF(C67&lt;=0,0,ROUND(C67*D68,0))</f>
        <v>5678</v>
      </c>
      <c r="D68" s="211">
        <f>'数据-取费表'!B41</f>
        <v>5.5000000000000007E-2</v>
      </c>
      <c r="E68" s="212"/>
      <c r="F68" s="2486"/>
      <c r="G68" s="2486"/>
      <c r="H68" s="2494"/>
      <c r="I68" s="138"/>
      <c r="J68" s="3161"/>
      <c r="K68" s="2496" t="s">
        <v>2250</v>
      </c>
      <c r="L68" s="1748">
        <f ca="1">IF(M49&gt;10000,M49*0.5%,IF(AND(M49&gt;5000,M49&lt;=10000),M49*1%,IF(AND(M49&gt;1000,M49&lt;=5000),M49*2%,IF(AND(M49&gt;200,M49&lt;=1000),M49*3%,M49*5%))))</f>
        <v>541.96500000000003</v>
      </c>
      <c r="M68" s="24">
        <f ca="1">ROUND(L68,1)</f>
        <v>542</v>
      </c>
      <c r="Z68" s="2420"/>
      <c r="AI68" s="2421"/>
    </row>
    <row r="69" spans="1:35" s="2443" customFormat="1" ht="16.5" hidden="1" customHeight="1">
      <c r="A69" s="2497"/>
      <c r="B69" s="2498"/>
      <c r="C69" s="2499"/>
      <c r="D69" s="2500"/>
      <c r="E69" s="2501"/>
      <c r="F69" s="2163"/>
      <c r="G69" s="2163"/>
      <c r="H69" s="2162"/>
      <c r="I69" s="2415"/>
      <c r="J69" s="3161"/>
      <c r="K69" s="2496" t="s">
        <v>2251</v>
      </c>
      <c r="L69" s="2502"/>
      <c r="M69" s="24">
        <f ca="1">ROUND(SUM(M63:M68),0)</f>
        <v>1751</v>
      </c>
      <c r="N69" s="1749">
        <f ca="1">M69/M49</f>
        <v>1.6154179697950976E-2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0" t="s">
        <v>2252</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99" t="s">
        <v>2233</v>
      </c>
      <c r="B71" s="3100"/>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2253</v>
      </c>
      <c r="C72" s="207">
        <f ca="1">ROUND(D45/(1+'数据-取费表'!C42),0)</f>
        <v>103231</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2254</v>
      </c>
      <c r="C73" s="207">
        <f ca="1">C74+C78</f>
        <v>516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2260</v>
      </c>
      <c r="C76" s="200">
        <f>IF(F75="购房发票",ROUND(C75*H75*D76,0),0)</f>
        <v>0</v>
      </c>
      <c r="D76" s="222">
        <v>0.05</v>
      </c>
      <c r="E76" s="3094" t="s">
        <v>2261</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2265</v>
      </c>
      <c r="C78" s="225">
        <f ca="1">ROUND(D45*D78/(1+'数据-取费表'!C42),0)</f>
        <v>516</v>
      </c>
      <c r="D78" s="226">
        <f>'数据-取费表'!B43</f>
        <v>5.000000000000001E-3</v>
      </c>
      <c r="E78" s="3080" t="s">
        <v>2266</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2267</v>
      </c>
      <c r="C79" s="207">
        <f ca="1">C72-C73</f>
        <v>102715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2268</v>
      </c>
      <c r="C80" s="227">
        <f ca="1">IF(C79&lt;=0,0,C79/C73)</f>
        <v>199.06007751937983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2269</v>
      </c>
      <c r="C81" s="228">
        <f ca="1">ROUND(IF(C79&lt;=0,0,IF(C80&gt;=200%,C79*60%-C73*35%,IF(C80&gt;=100%,C79*50%-C73*15%,IF(C80&gt;=50%,C79*40%-C73*5%,IF(C80&lt;50%,C79*30%,0))))),0)</f>
        <v>61448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20" t="s">
        <v>2270</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99" t="s">
        <v>2233</v>
      </c>
      <c r="B84" s="3100"/>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2253</v>
      </c>
      <c r="C85" s="207">
        <f ca="1">ROUND(D45/(1+'数据-取费表'!C42),0)</f>
        <v>103231</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2254</v>
      </c>
      <c r="C86" s="207">
        <f ca="1">IF(H88="仅含出让金",C87+C90+C91+C92+C93+C94,C87+C91+C92+C93+C94)</f>
        <v>516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2277</v>
      </c>
      <c r="B91" s="198" t="s">
        <v>2278</v>
      </c>
      <c r="C91" s="225">
        <f>IF(H91="——",成本法!C33,I91)</f>
        <v>0</v>
      </c>
      <c r="D91" s="226"/>
      <c r="E91" s="3080" t="s">
        <v>2279</v>
      </c>
      <c r="F91" s="3081"/>
      <c r="G91" s="3081"/>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2281</v>
      </c>
      <c r="B92" s="198" t="s">
        <v>2282</v>
      </c>
      <c r="C92" s="225">
        <f>ROUND((C87+C90+C91)*D92,0)</f>
        <v>0</v>
      </c>
      <c r="D92" s="226">
        <v>0.1</v>
      </c>
      <c r="E92" s="3080" t="s">
        <v>2283</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2284</v>
      </c>
      <c r="B93" s="198" t="s">
        <v>2265</v>
      </c>
      <c r="C93" s="225">
        <f ca="1">ROUND(D45*D93/(1+'数据-取费表'!C42),0)</f>
        <v>516</v>
      </c>
      <c r="D93" s="226">
        <f>'数据-取费表'!B43</f>
        <v>5.000000000000001E-3</v>
      </c>
      <c r="E93" s="3080" t="s">
        <v>2266</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2285</v>
      </c>
      <c r="B94" s="198" t="s">
        <v>2286</v>
      </c>
      <c r="C94" s="236">
        <f>ROUND((C87+C90+C91)*D94,0)</f>
        <v>0</v>
      </c>
      <c r="D94" s="226">
        <v>0.2</v>
      </c>
      <c r="E94" s="3091" t="s">
        <v>2287</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2267</v>
      </c>
      <c r="C95" s="207">
        <f ca="1">ROUND(C85-C86,0)</f>
        <v>102715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2268</v>
      </c>
      <c r="C96" s="227">
        <f ca="1">IF(C95&lt;=0,0,C95/C86)</f>
        <v>199.06007751937983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2269</v>
      </c>
      <c r="C97" s="228">
        <f ca="1">ROUND(IF(C95&lt;=0,0,IF(C96&gt;=200%,C95*60%-C86*35%,IF(C96&gt;=100%,C95*50%-C86*15%,IF(C96&gt;=50%,C95*40%-C86*5%,IF(C96&lt;50%,C95*30%,0))))),0)</f>
        <v>61448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65" t="s">
        <v>2289</v>
      </c>
      <c r="B100" s="3066"/>
      <c r="C100" s="3066"/>
      <c r="D100" s="3082"/>
      <c r="E100" s="3066" t="s">
        <v>2290</v>
      </c>
      <c r="F100" s="3066"/>
      <c r="G100" s="3066"/>
      <c r="H100" s="3082"/>
      <c r="I100" s="138"/>
    </row>
    <row r="101" spans="1:35" ht="18.75" customHeight="1">
      <c r="A101" s="3144" t="s">
        <v>2291</v>
      </c>
      <c r="B101" s="3145"/>
      <c r="C101" s="736" t="str">
        <f>C4</f>
        <v>成本法</v>
      </c>
      <c r="D101" s="737" t="str">
        <f>D4</f>
        <v>收益法（汇总）</v>
      </c>
      <c r="E101" s="3158" t="s">
        <v>2292</v>
      </c>
      <c r="F101" s="3112"/>
      <c r="G101" s="2517" t="s">
        <v>2293</v>
      </c>
      <c r="H101" s="1045">
        <f ca="1">H118</f>
        <v>108393</v>
      </c>
      <c r="I101" s="138"/>
    </row>
    <row r="102" spans="1:35" ht="18.75" customHeight="1">
      <c r="A102" s="3114" t="s">
        <v>2294</v>
      </c>
      <c r="B102" s="2517" t="s">
        <v>2293</v>
      </c>
      <c r="C102" s="736">
        <f ca="1">C19</f>
        <v>142313</v>
      </c>
      <c r="D102" s="737">
        <f ca="1">D19</f>
        <v>85779</v>
      </c>
      <c r="E102" s="3158"/>
      <c r="F102" s="3112"/>
      <c r="G102" s="2517" t="s">
        <v>2295</v>
      </c>
      <c r="H102" s="371">
        <f ca="1">I118</f>
        <v>36864</v>
      </c>
      <c r="I102" s="138"/>
    </row>
    <row r="103" spans="1:35" ht="42.75" customHeight="1">
      <c r="A103" s="3114"/>
      <c r="B103" s="2517" t="s">
        <v>2295</v>
      </c>
      <c r="C103" s="738">
        <f ca="1">C20</f>
        <v>48400</v>
      </c>
      <c r="D103" s="739">
        <f ca="1">D20</f>
        <v>29173</v>
      </c>
      <c r="E103" s="3153" t="s">
        <v>2296</v>
      </c>
      <c r="F103" s="3154"/>
      <c r="G103" s="2518" t="s">
        <v>2297</v>
      </c>
      <c r="H103" s="1045">
        <f>IF(D36="正常操作",H104+H105+H106,H105+H106)</f>
        <v>0</v>
      </c>
      <c r="I103" s="138"/>
    </row>
    <row r="104" spans="1:35" ht="18.75" customHeight="1">
      <c r="A104" s="3114" t="s">
        <v>2298</v>
      </c>
      <c r="B104" s="2519" t="s">
        <v>2293</v>
      </c>
      <c r="C104" s="740">
        <f ca="1">H118</f>
        <v>108393</v>
      </c>
      <c r="D104" s="741"/>
      <c r="E104" s="2264" t="s">
        <v>2299</v>
      </c>
      <c r="F104" s="2255"/>
      <c r="G104" s="2518" t="s">
        <v>2297</v>
      </c>
      <c r="H104" s="1046">
        <f>IF(D36="同一抵押权人同一抵押物续贷",C36&amp;"（未扣减，详见特别提示）",C36)</f>
        <v>0</v>
      </c>
      <c r="I104" s="138"/>
    </row>
    <row r="105" spans="1:35" ht="18.75" customHeight="1" thickBot="1">
      <c r="A105" s="3115"/>
      <c r="B105" s="2520" t="s">
        <v>2295</v>
      </c>
      <c r="C105" s="742">
        <f ca="1">I118</f>
        <v>36864</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11" t="str">
        <f>IF(项目基本情况!E8="已注销","——","3.房地产抵押价值")</f>
        <v>3.房地产抵押价值</v>
      </c>
      <c r="F107" s="3112"/>
      <c r="G107" s="2517" t="s">
        <v>2293</v>
      </c>
      <c r="H107" s="1045">
        <f ca="1">IF(E107="——","——",H101-H103)</f>
        <v>108393</v>
      </c>
      <c r="I107" s="138"/>
    </row>
    <row r="108" spans="1:35" ht="18.75" customHeight="1">
      <c r="A108" s="138"/>
      <c r="B108" s="138"/>
      <c r="C108" s="138"/>
      <c r="D108" s="138"/>
      <c r="E108" s="3111"/>
      <c r="F108" s="3112"/>
      <c r="G108" s="2517" t="s">
        <v>2295</v>
      </c>
      <c r="H108" s="371">
        <f ca="1">ROUND(H107*10000/'数据-汇总表'!E3,0)</f>
        <v>36864</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7" t="s">
        <v>2293</v>
      </c>
      <c r="H109" s="348" t="str">
        <f>IF(E109="——","——",H101-H105-H106)</f>
        <v>——</v>
      </c>
      <c r="I109" s="138"/>
    </row>
    <row r="110" spans="1:35" ht="18.75" customHeight="1">
      <c r="A110" s="138"/>
      <c r="B110" s="138"/>
      <c r="C110" s="138"/>
      <c r="D110" s="138"/>
      <c r="E110" s="3111"/>
      <c r="F110" s="3112"/>
      <c r="G110" s="2517" t="s">
        <v>2295</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2293</v>
      </c>
      <c r="H111" s="1045" t="str">
        <f>IF(E111="——","——",N59)</f>
        <v>——</v>
      </c>
      <c r="I111" s="138"/>
    </row>
    <row r="112" spans="1:35" ht="18.75" customHeight="1" thickBot="1">
      <c r="A112" s="138"/>
      <c r="B112" s="138"/>
      <c r="C112" s="138"/>
      <c r="D112" s="138"/>
      <c r="E112" s="3148"/>
      <c r="F112" s="3149"/>
      <c r="G112" s="2522" t="s">
        <v>2295</v>
      </c>
      <c r="H112" s="790" t="str">
        <f>IF(E111="——","——",N61)</f>
        <v>——</v>
      </c>
      <c r="I112" s="138"/>
    </row>
    <row r="113" spans="1:11" ht="18.75" customHeight="1">
      <c r="A113" s="138"/>
      <c r="B113" s="138"/>
      <c r="C113" s="138"/>
      <c r="D113" s="138"/>
      <c r="E113" s="3116" t="s">
        <v>2301</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2303</v>
      </c>
      <c r="B115" s="3130"/>
      <c r="C115" s="3130"/>
      <c r="D115" s="3130"/>
      <c r="E115" s="3130"/>
      <c r="F115" s="3130"/>
      <c r="G115" s="3130"/>
      <c r="H115" s="3130"/>
      <c r="I115" s="3131"/>
    </row>
    <row r="116" spans="1:11" ht="27" customHeight="1">
      <c r="A116" s="3022" t="s">
        <v>2304</v>
      </c>
      <c r="B116" s="3117" t="s">
        <v>2305</v>
      </c>
      <c r="C116" s="3117" t="s">
        <v>2306</v>
      </c>
      <c r="D116" s="3133" t="s">
        <v>2307</v>
      </c>
      <c r="E116" s="3134"/>
      <c r="F116" s="3125" t="s">
        <v>2308</v>
      </c>
      <c r="G116" s="3125"/>
      <c r="H116" s="3022" t="s">
        <v>2309</v>
      </c>
      <c r="I116" s="3022"/>
    </row>
    <row r="117" spans="1:11" ht="18.75" customHeight="1">
      <c r="A117" s="3022"/>
      <c r="B117" s="3118"/>
      <c r="C117" s="3118"/>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1</v>
      </c>
      <c r="D118" s="1794">
        <f ca="1">ROUND(IF(D32="总价",C34,E118*B118/10000),0)</f>
        <v>94780</v>
      </c>
      <c r="E118" s="1794">
        <f ca="1">ROUND(IF(C33="自定义",IF(D32="楼面单价",C34,D118*10000/B118),I118-G118),0)</f>
        <v>32234</v>
      </c>
      <c r="F118" s="1794">
        <f ca="1">ROUND(IF(D32="总价",C35,G118*B118/10000),0)</f>
        <v>13613</v>
      </c>
      <c r="G118" s="1794">
        <f ca="1">ROUND(IF(D32="楼面单价",C35,F118*10000/B118),0)</f>
        <v>4630</v>
      </c>
      <c r="H118" s="1794">
        <f ca="1">ROUND(IF(D32="总价",C32,I118*B118/10000),0)</f>
        <v>108393</v>
      </c>
      <c r="I118" s="1794">
        <f ca="1">ROUND(IF(D32="楼面单价",C32,H118*10000/B118),0)</f>
        <v>36864</v>
      </c>
    </row>
    <row r="119" spans="1:11" ht="18.75" customHeight="1">
      <c r="A119" s="3022" t="s">
        <v>2313</v>
      </c>
      <c r="B119" s="3022"/>
      <c r="C119" s="3022"/>
      <c r="D119" s="3122" t="str">
        <f ca="1">NUMBERSTRING(INT(D118*10000),2)&amp;"元整"</f>
        <v>玖亿肆仟柒佰捌拾万元整</v>
      </c>
      <c r="E119" s="3124"/>
      <c r="F119" s="3122" t="str">
        <f ca="1">NUMBERSTRING(INT(F118*10000),2)&amp;"元整"</f>
        <v>壹亿叁仟陆佰壹拾叁万元整</v>
      </c>
      <c r="G119" s="3124"/>
      <c r="H119" s="3122" t="str">
        <f ca="1">NUMBERSTRING(INT(H118*10000),2)&amp;"元整"</f>
        <v>壹拾亿捌仟叁佰玖拾叁万元整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2313</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108393</v>
      </c>
      <c r="E122" s="3151"/>
      <c r="F122" s="3151"/>
      <c r="G122" s="3151"/>
      <c r="H122" s="3151"/>
      <c r="I122" s="3152"/>
    </row>
    <row r="123" spans="1:11" ht="18.75" customHeight="1">
      <c r="A123" s="3022" t="s">
        <v>2313</v>
      </c>
      <c r="B123" s="3022"/>
      <c r="C123" s="3022"/>
      <c r="D123" s="3122" t="str">
        <f ca="1">NUMBERSTRING(INT(D122*10000),2)&amp;"元整"</f>
        <v>壹拾亿捌仟叁佰玖拾叁万元整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2313</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2313</v>
      </c>
      <c r="B127" s="3022"/>
      <c r="C127" s="3022"/>
      <c r="D127" s="3122" t="e">
        <f>NUMBERSTRING(INT(D126*10000),2)&amp;"元整"</f>
        <v>#VALUE!</v>
      </c>
      <c r="E127" s="3123"/>
      <c r="F127" s="3123"/>
      <c r="G127" s="3123"/>
      <c r="H127" s="3123"/>
      <c r="I127" s="3124"/>
    </row>
    <row r="128" spans="1:11" ht="21.75" customHeight="1">
      <c r="A128" s="3132" t="s">
        <v>2314</v>
      </c>
      <c r="B128" s="3132"/>
      <c r="C128" s="3132"/>
      <c r="D128" s="3132"/>
      <c r="E128" s="3132"/>
      <c r="F128" s="3132"/>
      <c r="G128" s="3132"/>
      <c r="H128" s="3132"/>
      <c r="I128" s="313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25684</v>
      </c>
      <c r="U2" s="1602">
        <f>'数据-基础表'!I13</f>
        <v>9217.61</v>
      </c>
      <c r="V2" s="1601">
        <f ca="1">ROUND(T2*U2/10000,0)</f>
        <v>23675</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18436</v>
      </c>
      <c r="U3" s="1602">
        <f>'数据-基础表'!I14</f>
        <v>10041.85</v>
      </c>
      <c r="V3" s="1601">
        <f t="shared" ref="V3:V16" ca="1" si="1">ROUND(T3*U3/10000,0)</f>
        <v>18513</v>
      </c>
      <c r="W3" s="1605"/>
      <c r="X3" s="1605"/>
      <c r="Y3" s="1605"/>
      <c r="Z3" s="1605"/>
      <c r="AA3" s="1605"/>
      <c r="AB3" s="1605"/>
      <c r="AC3" s="1606"/>
      <c r="AD3" s="1607"/>
      <c r="AE3" s="1607"/>
      <c r="AF3" s="1607"/>
      <c r="AG3" s="1607"/>
      <c r="AH3" s="1607"/>
      <c r="AI3" s="1607"/>
      <c r="AJ3" s="1608"/>
    </row>
    <row r="4" spans="1:36" ht="15.75">
      <c r="A4" s="3167"/>
      <c r="B4" s="3168"/>
      <c r="C4" s="3168"/>
      <c r="D4" s="3169"/>
      <c r="E4" s="3169"/>
      <c r="F4" s="3169"/>
      <c r="G4" s="3169"/>
      <c r="H4" s="3169"/>
      <c r="I4" s="3169"/>
      <c r="J4" s="3170"/>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14874</v>
      </c>
      <c r="U4" s="1602">
        <f>'数据-基础表'!I15</f>
        <v>10144.1</v>
      </c>
      <c r="V4" s="1601">
        <f t="shared" ca="1" si="1"/>
        <v>15088</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11934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10163</v>
      </c>
      <c r="U6" s="1602"/>
      <c r="V6" s="1601">
        <f t="shared" ca="1" si="1"/>
        <v>0</v>
      </c>
      <c r="W6" s="1605"/>
      <c r="X6" s="1605"/>
      <c r="Y6" s="1605"/>
      <c r="Z6" s="1605"/>
      <c r="AA6" s="1605"/>
      <c r="AB6" s="1605"/>
      <c r="AC6" s="2734"/>
      <c r="AD6" s="2735"/>
      <c r="AE6" s="2735"/>
      <c r="AF6" s="2735"/>
      <c r="AG6" s="2735"/>
      <c r="AH6" s="2735"/>
      <c r="AI6" s="2735"/>
      <c r="AJ6" s="2736"/>
    </row>
    <row r="7" spans="1:36" ht="24">
      <c r="A7" s="3171"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8937</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72"/>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4" t="s">
        <v>2835</v>
      </c>
      <c r="X8" s="3165"/>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72"/>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6"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2"/>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2"/>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6"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71"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6"/>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3"/>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66"/>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73"/>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4"/>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71" t="s">
        <v>2878</v>
      </c>
      <c r="B16" s="2744" t="s">
        <v>2879</v>
      </c>
      <c r="C16" s="2931">
        <f>ROUND(IF(F17="与级别开发程度一致",0,(G17-E17)/C17),0)</f>
        <v>-20</v>
      </c>
      <c r="D16" s="3185" t="s">
        <v>2883</v>
      </c>
      <c r="E16" s="3186"/>
      <c r="F16" s="3185" t="s">
        <v>2880</v>
      </c>
      <c r="G16" s="3186"/>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75"/>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0.94140000000000001</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33.31</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58994</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19664.666666666668</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25684</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6421</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82" t="s">
        <v>2925</v>
      </c>
      <c r="B33" s="2852" t="s">
        <v>2926</v>
      </c>
      <c r="C33" s="206">
        <f ca="1">ROUND(D5*C19*C20*C24*F33,0)</f>
        <v>8774</v>
      </c>
      <c r="D33" s="2836"/>
      <c r="E33" s="200">
        <f ca="1">ROUND(C33*D33/10000,0)</f>
        <v>0</v>
      </c>
      <c r="F33" s="200">
        <f>SUMIF(修正!A45:A56,G2,修正!B45:B56)</f>
        <v>0.7</v>
      </c>
      <c r="G33" s="200">
        <f t="shared" ref="G33" ca="1" si="6">ROUND(IF(E2="工业",C33*$M$39,C33*$M$38),0)</f>
        <v>2194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3"/>
      <c r="B34" s="2764" t="s">
        <v>2927</v>
      </c>
      <c r="C34" s="206">
        <f ca="1">ROUND(D5*C19*C20*C24*F34,0)</f>
        <v>5014</v>
      </c>
      <c r="D34" s="2836"/>
      <c r="E34" s="200">
        <f t="shared" ref="E34:E39" ca="1" si="7">ROUND(C34*D34/10000,0)</f>
        <v>0</v>
      </c>
      <c r="F34" s="200">
        <f>SUMIF(修正!A45:A56,G2,修正!C45:C56)</f>
        <v>0.4</v>
      </c>
      <c r="G34" s="200">
        <f ca="1">ROUND(IF(E2="工业",C34*$M$39,C34*$M$38),0)</f>
        <v>1254</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3"/>
      <c r="B35" s="2764" t="s">
        <v>2928</v>
      </c>
      <c r="C35" s="206">
        <f ca="1">ROUND(D5*C19*C20*C24*F35,0)</f>
        <v>3510</v>
      </c>
      <c r="D35" s="2836"/>
      <c r="E35" s="200">
        <f t="shared" ca="1" si="7"/>
        <v>0</v>
      </c>
      <c r="F35" s="200">
        <f>SUMIF(修正!A45:A56,G2,修正!D45:D56)</f>
        <v>0.28000000000000003</v>
      </c>
      <c r="G35" s="200">
        <f ca="1">ROUND(IF(E2="工业",C35*$M$39,C35*$M$38),0)</f>
        <v>878</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84"/>
      <c r="B36" s="2764" t="s">
        <v>2929</v>
      </c>
      <c r="C36" s="206">
        <f ca="1">ROUND(D5*C19*C20*C24*F36,0)</f>
        <v>3133</v>
      </c>
      <c r="D36" s="2836"/>
      <c r="E36" s="200">
        <f t="shared" ca="1" si="7"/>
        <v>0</v>
      </c>
      <c r="F36" s="200">
        <f>SUMIF(修正!A45:A56,G2,修正!E45:E56)</f>
        <v>0.25</v>
      </c>
      <c r="G36" s="200">
        <f ca="1">ROUND(IF(E2="工业",C36*$M$39,C36*$M$38),0)</f>
        <v>783</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3133</v>
      </c>
      <c r="D37" s="2836"/>
      <c r="E37" s="200">
        <f t="shared" ca="1" si="7"/>
        <v>0</v>
      </c>
      <c r="F37" s="206">
        <f>SUMIF(修正!A45:A56,G2,修正!F45:F56)</f>
        <v>0.25</v>
      </c>
      <c r="G37" s="200">
        <f ca="1">ROUND(IF(E2="工业",C37*$M$39,C37*$M$38),0)</f>
        <v>783</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76" t="s">
        <v>2967</v>
      </c>
      <c r="B90" s="3176"/>
      <c r="C90" s="3176"/>
      <c r="D90" s="3176"/>
      <c r="E90" s="3176"/>
      <c r="F90" s="3176"/>
      <c r="G90" s="3176"/>
      <c r="H90" s="3176"/>
      <c r="I90" s="3176"/>
      <c r="J90" s="3176"/>
      <c r="K90" s="2883"/>
      <c r="L90" s="2883"/>
      <c r="M90" s="2883"/>
      <c r="N90" s="2883"/>
    </row>
    <row r="91" spans="1:37">
      <c r="A91" s="3178" t="s">
        <v>2968</v>
      </c>
      <c r="B91" s="3178" t="s">
        <v>2969</v>
      </c>
      <c r="C91" s="2837" t="s">
        <v>2970</v>
      </c>
      <c r="D91" s="2838"/>
      <c r="E91" s="2838"/>
      <c r="F91" s="2838"/>
      <c r="G91" s="2838"/>
      <c r="H91" s="2838"/>
      <c r="I91" s="2838"/>
      <c r="J91" s="2884"/>
      <c r="K91" s="2885"/>
      <c r="L91" s="2885"/>
      <c r="M91" s="2885"/>
      <c r="N91" s="2885"/>
    </row>
    <row r="92" spans="1:37">
      <c r="A92" s="3178"/>
      <c r="B92" s="317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79"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8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8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8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8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8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80"/>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81"/>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79"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80"/>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80"/>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80"/>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80"/>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80"/>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80"/>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80"/>
      <c r="B108" s="3137"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81"/>
      <c r="B109" s="3138"/>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77" t="s">
        <v>2975</v>
      </c>
      <c r="B110" s="3177"/>
      <c r="C110" s="3177"/>
      <c r="D110" s="3177"/>
      <c r="E110" s="3177"/>
      <c r="F110" s="3177"/>
      <c r="G110" s="3177"/>
      <c r="H110" s="3177"/>
      <c r="I110" s="3177"/>
      <c r="J110" s="3177"/>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北京市通州区翠景北里1号楼1至3层商业用房房地产房地产抵押价值预评估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11" sqref="K11"/>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86199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29316</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30" ht="30.75" customHeight="1">
      <c r="A5" s="404"/>
      <c r="B5" s="405"/>
      <c r="C5" s="3226" t="str">
        <f>项目基本情况!F10</f>
        <v>通州区翠景北里1号楼1至3层商业用房房地产</v>
      </c>
      <c r="D5" s="3222"/>
      <c r="E5" s="3229" t="str">
        <f>土地案例!A2</f>
        <v>朝阳区金盏乡楼梓庄村1113-602地块</v>
      </c>
      <c r="F5" s="3230"/>
      <c r="G5" s="3221" t="str">
        <f>土地案例!A3</f>
        <v>朝阳区孙河乡西甸村2902-71地块</v>
      </c>
      <c r="H5" s="3222"/>
      <c r="I5" s="3221" t="str">
        <f>土地案例!A4</f>
        <v>朝阳区金盏乡楼梓庄村1113-604地块</v>
      </c>
      <c r="J5" s="3222"/>
      <c r="K5" s="610"/>
      <c r="L5" s="1130"/>
      <c r="M5" s="1131"/>
      <c r="N5" s="1131"/>
      <c r="O5" s="1131"/>
      <c r="P5" s="3209"/>
      <c r="Q5" s="3210"/>
      <c r="R5" s="3215"/>
      <c r="S5" s="3216"/>
      <c r="T5" s="3215"/>
      <c r="U5" s="3216"/>
      <c r="V5" s="3200"/>
      <c r="W5" s="3200"/>
      <c r="X5" s="1812"/>
      <c r="Y5" s="3215"/>
      <c r="Z5" s="3216"/>
      <c r="AA5" s="3202"/>
      <c r="AB5" s="3202"/>
      <c r="AC5" s="3202"/>
    </row>
    <row r="6" spans="1:30"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223" t="s">
        <v>2545</v>
      </c>
      <c r="Q7" s="3225"/>
      <c r="R7" s="770" t="s">
        <v>17</v>
      </c>
      <c r="S7" s="771">
        <f t="shared" ref="S7:S15" si="0">F7</f>
        <v>95</v>
      </c>
      <c r="T7" s="770" t="s">
        <v>17</v>
      </c>
      <c r="U7" s="771">
        <f t="shared" ref="U7:U15" si="1">H7</f>
        <v>95</v>
      </c>
      <c r="V7" s="770" t="s">
        <v>17</v>
      </c>
      <c r="W7" s="771">
        <f t="shared" ref="W7:W15" si="2">J7</f>
        <v>94.5</v>
      </c>
      <c r="X7" s="772"/>
      <c r="Y7" s="3223" t="s">
        <v>2545</v>
      </c>
      <c r="Z7" s="3224"/>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3" t="s">
        <v>2548</v>
      </c>
      <c r="Q8" s="3224"/>
      <c r="R8" s="770" t="s">
        <v>17</v>
      </c>
      <c r="S8" s="771">
        <f t="shared" si="0"/>
        <v>100</v>
      </c>
      <c r="T8" s="770" t="s">
        <v>17</v>
      </c>
      <c r="U8" s="771">
        <f t="shared" si="1"/>
        <v>100</v>
      </c>
      <c r="V8" s="770" t="s">
        <v>17</v>
      </c>
      <c r="W8" s="771">
        <f t="shared" si="2"/>
        <v>100</v>
      </c>
      <c r="X8" s="772"/>
      <c r="Y8" s="3223" t="s">
        <v>2548</v>
      </c>
      <c r="Z8" s="3224"/>
      <c r="AA8" s="773">
        <f t="shared" ref="AA8:AA45" si="3">D8/F8</f>
        <v>1</v>
      </c>
      <c r="AB8" s="773">
        <f t="shared" ref="AB8:AB45" si="4">D8/H8</f>
        <v>1</v>
      </c>
      <c r="AC8" s="773">
        <f t="shared" ref="AC8:AC45" si="5">D8/J8</f>
        <v>1</v>
      </c>
    </row>
    <row r="9" spans="1:30" s="117" customFormat="1">
      <c r="A9" s="415" t="s">
        <v>2549</v>
      </c>
      <c r="B9" s="71" t="s">
        <v>2550</v>
      </c>
      <c r="C9" s="2970" t="s">
        <v>3198</v>
      </c>
      <c r="D9" s="135">
        <v>100</v>
      </c>
      <c r="E9" s="2970" t="s">
        <v>3199</v>
      </c>
      <c r="F9" s="135">
        <f>SUMIF(75:75,E9,76:76)-SUMIF(75:75,C9,76:76)+100</f>
        <v>95</v>
      </c>
      <c r="G9" s="2970" t="s">
        <v>3199</v>
      </c>
      <c r="H9" s="135">
        <f>SUMIF(75:75,G9,76:76)-SUMIF(75:75,C9,76:76)+100</f>
        <v>95</v>
      </c>
      <c r="I9" s="2970" t="s">
        <v>3199</v>
      </c>
      <c r="J9" s="135">
        <f>SUMIF(75:75,I9,76:76)-SUMIF(75:75,C9,76:76)+100</f>
        <v>95</v>
      </c>
      <c r="K9" s="611"/>
      <c r="L9" s="1132"/>
      <c r="M9" s="1133"/>
      <c r="N9" s="1133"/>
      <c r="O9" s="1134"/>
      <c r="P9" s="3194" t="s">
        <v>2551</v>
      </c>
      <c r="Q9" s="1794" t="str">
        <f t="shared" ref="Q9:Q15" si="6">B9</f>
        <v>用途</v>
      </c>
      <c r="R9" s="770" t="s">
        <v>17</v>
      </c>
      <c r="S9" s="771">
        <f t="shared" si="0"/>
        <v>95</v>
      </c>
      <c r="T9" s="770" t="s">
        <v>17</v>
      </c>
      <c r="U9" s="771">
        <f t="shared" si="1"/>
        <v>95</v>
      </c>
      <c r="V9" s="770" t="s">
        <v>17</v>
      </c>
      <c r="W9" s="771">
        <f t="shared" si="2"/>
        <v>95</v>
      </c>
      <c r="X9" s="772"/>
      <c r="Y9" s="3022"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33.31</v>
      </c>
      <c r="D10" s="136">
        <v>100</v>
      </c>
      <c r="E10" s="465" t="s">
        <v>3200</v>
      </c>
      <c r="F10" s="136">
        <f>ROUND(100/'数据-取费表'!G16,0)</f>
        <v>108</v>
      </c>
      <c r="G10" s="465" t="s">
        <v>3200</v>
      </c>
      <c r="H10" s="136">
        <f>ROUND(100/'数据-取费表'!G16,0)</f>
        <v>108</v>
      </c>
      <c r="I10" s="465" t="s">
        <v>3200</v>
      </c>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22"/>
      <c r="Z10" s="55" t="str">
        <f t="shared" si="7"/>
        <v>土地使用年限（年）</v>
      </c>
      <c r="AA10" s="773">
        <f t="shared" si="3"/>
        <v>0.92592592592592593</v>
      </c>
      <c r="AB10" s="773">
        <f t="shared" si="4"/>
        <v>0.92592592592592593</v>
      </c>
      <c r="AC10" s="773">
        <f t="shared" si="5"/>
        <v>0.92592592592592593</v>
      </c>
    </row>
    <row r="11" spans="1:30" ht="15">
      <c r="A11" s="428"/>
      <c r="B11" s="422" t="s">
        <v>2554</v>
      </c>
      <c r="C11" s="429">
        <f>'数据-汇总表'!I7</f>
        <v>2.4</v>
      </c>
      <c r="D11" s="136">
        <v>100</v>
      </c>
      <c r="E11" s="429">
        <f>土地案例!H2</f>
        <v>3</v>
      </c>
      <c r="F11" s="136">
        <f>LOOKUP(E11,80:80,81:81)-LOOKUP(C11,80:80,81:81)+100</f>
        <v>98</v>
      </c>
      <c r="G11" s="430">
        <f>土地案例!H3</f>
        <v>1</v>
      </c>
      <c r="H11" s="136">
        <f>LOOKUP(G11,80:80,81:81)-LOOKUP(C11,80:80,81:81)+100</f>
        <v>102</v>
      </c>
      <c r="I11" s="429">
        <f>土地案例!H4</f>
        <v>2</v>
      </c>
      <c r="J11" s="136">
        <f>LOOKUP(I11,80:80,81:81)-LOOKUP(C11,80:80,81:81)+100</f>
        <v>100</v>
      </c>
      <c r="K11" s="673">
        <v>2</v>
      </c>
      <c r="L11" s="1138"/>
      <c r="M11" s="1131"/>
      <c r="N11" s="1131"/>
      <c r="O11" s="1139"/>
      <c r="P11" s="3194"/>
      <c r="Q11" s="1794" t="str">
        <f t="shared" si="6"/>
        <v>容积率</v>
      </c>
      <c r="R11" s="770" t="s">
        <v>17</v>
      </c>
      <c r="S11" s="771">
        <f t="shared" si="0"/>
        <v>98</v>
      </c>
      <c r="T11" s="770" t="s">
        <v>17</v>
      </c>
      <c r="U11" s="771">
        <f t="shared" si="1"/>
        <v>102</v>
      </c>
      <c r="V11" s="770" t="s">
        <v>17</v>
      </c>
      <c r="W11" s="771">
        <f t="shared" si="2"/>
        <v>100</v>
      </c>
      <c r="X11" s="772"/>
      <c r="Y11" s="3022"/>
      <c r="Z11" s="55" t="str">
        <f t="shared" si="7"/>
        <v>容积率</v>
      </c>
      <c r="AA11" s="773">
        <f t="shared" si="3"/>
        <v>1.0204081632653061</v>
      </c>
      <c r="AB11" s="773">
        <f t="shared" si="4"/>
        <v>0.98039215686274506</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4"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2556</v>
      </c>
      <c r="Q15" s="1809" t="str">
        <f t="shared" si="6"/>
        <v>居住社区成熟度</v>
      </c>
      <c r="R15" s="774" t="s">
        <v>17</v>
      </c>
      <c r="S15" s="775">
        <f t="shared" si="0"/>
        <v>100</v>
      </c>
      <c r="T15" s="774" t="s">
        <v>17</v>
      </c>
      <c r="U15" s="775">
        <f t="shared" si="1"/>
        <v>100</v>
      </c>
      <c r="V15" s="774" t="s">
        <v>17</v>
      </c>
      <c r="W15" s="775">
        <f t="shared" si="2"/>
        <v>100</v>
      </c>
      <c r="X15" s="1812"/>
      <c r="Y15" s="3196"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15">
      <c r="A17" s="428"/>
      <c r="B17" s="451" t="s">
        <v>2649</v>
      </c>
      <c r="C17" s="2663" t="str">
        <f>估价对象房地状况!C16</f>
        <v>较好</v>
      </c>
      <c r="D17" s="450">
        <v>100</v>
      </c>
      <c r="E17" s="452"/>
      <c r="F17" s="450">
        <f>SUMIF(90:90,E18,91:91)-SUMIF(90:90,C18,91:91)+100</f>
        <v>98</v>
      </c>
      <c r="G17" s="452"/>
      <c r="H17" s="455">
        <f>SUMIF(90:90,G18,91:91)-SUMIF(90:90,C18,91:91)+100</f>
        <v>98</v>
      </c>
      <c r="I17" s="454"/>
      <c r="J17" s="455">
        <f>SUMIF(90:90,I18,91:91)-SUMIF(90:90,C18,91:91)+100</f>
        <v>98</v>
      </c>
      <c r="K17" s="673">
        <v>2</v>
      </c>
      <c r="L17" s="1140"/>
      <c r="M17" s="1131"/>
      <c r="N17" s="1131"/>
      <c r="O17" s="1139"/>
      <c r="P17" s="3197"/>
      <c r="Q17" s="1809" t="str">
        <f>B17</f>
        <v>商业繁华度</v>
      </c>
      <c r="R17" s="774" t="s">
        <v>17</v>
      </c>
      <c r="S17" s="775">
        <f>F17</f>
        <v>98</v>
      </c>
      <c r="T17" s="774" t="s">
        <v>17</v>
      </c>
      <c r="U17" s="775">
        <f>H17</f>
        <v>98</v>
      </c>
      <c r="V17" s="774" t="s">
        <v>17</v>
      </c>
      <c r="W17" s="775">
        <f>J17</f>
        <v>98</v>
      </c>
      <c r="X17" s="1812"/>
      <c r="Y17" s="3197"/>
      <c r="Z17" s="1813" t="str">
        <f>Q17</f>
        <v>商业繁华度</v>
      </c>
      <c r="AA17" s="1810">
        <f t="shared" si="3"/>
        <v>1.0204081632653061</v>
      </c>
      <c r="AB17" s="1810">
        <f t="shared" si="4"/>
        <v>1.0204081632653061</v>
      </c>
      <c r="AC17" s="1810">
        <f t="shared" si="5"/>
        <v>1.0204081632653061</v>
      </c>
    </row>
    <row r="18" spans="1:29" ht="15">
      <c r="A18" s="428"/>
      <c r="B18" s="456"/>
      <c r="C18" s="2607" t="s">
        <v>3080</v>
      </c>
      <c r="D18" s="450"/>
      <c r="E18" s="2607" t="s">
        <v>3081</v>
      </c>
      <c r="F18" s="450"/>
      <c r="G18" s="2607" t="s">
        <v>3081</v>
      </c>
      <c r="H18" s="448"/>
      <c r="I18" s="2607" t="s">
        <v>3081</v>
      </c>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09" t="str">
        <f>B19</f>
        <v>办公集聚程度</v>
      </c>
      <c r="R19" s="774" t="s">
        <v>17</v>
      </c>
      <c r="S19" s="775">
        <f>F19</f>
        <v>100</v>
      </c>
      <c r="T19" s="774" t="s">
        <v>17</v>
      </c>
      <c r="U19" s="775">
        <f>H19</f>
        <v>100</v>
      </c>
      <c r="V19" s="774" t="s">
        <v>17</v>
      </c>
      <c r="W19" s="775">
        <f>J19</f>
        <v>100</v>
      </c>
      <c r="X19" s="1812"/>
      <c r="Y19" s="3197"/>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197"/>
      <c r="Q20" s="1809"/>
      <c r="R20" s="774"/>
      <c r="S20" s="775"/>
      <c r="T20" s="774"/>
      <c r="U20" s="775"/>
      <c r="V20" s="774"/>
      <c r="W20" s="775"/>
      <c r="X20" s="1812"/>
      <c r="Y20" s="3197"/>
      <c r="Z20" s="1813"/>
      <c r="AA20" s="1810">
        <v>1</v>
      </c>
      <c r="AB20" s="1810">
        <v>1</v>
      </c>
      <c r="AC20" s="1810">
        <v>1</v>
      </c>
    </row>
    <row r="21" spans="1:29" ht="15">
      <c r="A21" s="428"/>
      <c r="B21" s="451" t="s">
        <v>2705</v>
      </c>
      <c r="C21" s="2606" t="str">
        <f>估价对象房地状况!C18</f>
        <v>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197"/>
      <c r="Q21" s="1809" t="str">
        <f>B21</f>
        <v>交通便捷度</v>
      </c>
      <c r="R21" s="774" t="s">
        <v>17</v>
      </c>
      <c r="S21" s="775">
        <f>F21</f>
        <v>98</v>
      </c>
      <c r="T21" s="774" t="s">
        <v>17</v>
      </c>
      <c r="U21" s="775">
        <f>H21</f>
        <v>98</v>
      </c>
      <c r="V21" s="774" t="s">
        <v>17</v>
      </c>
      <c r="W21" s="775">
        <f>J21</f>
        <v>98</v>
      </c>
      <c r="X21" s="1812"/>
      <c r="Y21" s="3197"/>
      <c r="Z21" s="1813" t="str">
        <f>Q21</f>
        <v>交通便捷度</v>
      </c>
      <c r="AA21" s="1810">
        <f t="shared" si="3"/>
        <v>1.0204081632653061</v>
      </c>
      <c r="AB21" s="1810">
        <f t="shared" si="4"/>
        <v>1.0204081632653061</v>
      </c>
      <c r="AC21" s="1810">
        <f t="shared" si="5"/>
        <v>1.0204081632653061</v>
      </c>
    </row>
    <row r="22" spans="1:29" ht="15">
      <c r="A22" s="428"/>
      <c r="B22" s="1384"/>
      <c r="C22" s="2971" t="s">
        <v>3201</v>
      </c>
      <c r="D22" s="450"/>
      <c r="E22" s="2971" t="s">
        <v>3081</v>
      </c>
      <c r="F22" s="448"/>
      <c r="G22" s="2971" t="s">
        <v>3081</v>
      </c>
      <c r="H22" s="448"/>
      <c r="I22" s="2971" t="s">
        <v>3081</v>
      </c>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7"/>
      <c r="Q23" s="1809" t="str">
        <f t="shared" ref="Q23:Q37" si="8">B23</f>
        <v>区域土地利用方向</v>
      </c>
      <c r="R23" s="774" t="s">
        <v>17</v>
      </c>
      <c r="S23" s="775">
        <f>F23</f>
        <v>100</v>
      </c>
      <c r="T23" s="774" t="s">
        <v>17</v>
      </c>
      <c r="U23" s="775">
        <f>H23</f>
        <v>100</v>
      </c>
      <c r="V23" s="774" t="s">
        <v>17</v>
      </c>
      <c r="W23" s="775">
        <f>J23</f>
        <v>100</v>
      </c>
      <c r="X23" s="1812"/>
      <c r="Y23" s="3197"/>
      <c r="Z23" s="1813" t="str">
        <f>Q23</f>
        <v>区域土地利用方向</v>
      </c>
      <c r="AA23" s="1810">
        <f t="shared" si="3"/>
        <v>1</v>
      </c>
      <c r="AB23" s="1810">
        <f t="shared" si="4"/>
        <v>1</v>
      </c>
      <c r="AC23" s="1810">
        <f t="shared" si="5"/>
        <v>1</v>
      </c>
    </row>
    <row r="24" spans="1:29" ht="15">
      <c r="A24" s="404"/>
      <c r="B24" s="456"/>
      <c r="C24" s="2971" t="s">
        <v>3201</v>
      </c>
      <c r="D24" s="448"/>
      <c r="E24" s="2971" t="s">
        <v>3201</v>
      </c>
      <c r="F24" s="448"/>
      <c r="G24" s="2971" t="s">
        <v>3201</v>
      </c>
      <c r="H24" s="448"/>
      <c r="I24" s="2971" t="s">
        <v>3201</v>
      </c>
      <c r="J24" s="448"/>
      <c r="K24" s="812"/>
      <c r="L24" s="1140"/>
      <c r="M24" s="1131"/>
      <c r="N24" s="1131"/>
      <c r="O24" s="1139"/>
      <c r="P24" s="3197"/>
      <c r="Q24" s="1809"/>
      <c r="R24" s="774"/>
      <c r="S24" s="775"/>
      <c r="T24" s="774"/>
      <c r="U24" s="775"/>
      <c r="V24" s="774"/>
      <c r="W24" s="775"/>
      <c r="X24" s="1812"/>
      <c r="Y24" s="3197"/>
      <c r="Z24" s="1813"/>
      <c r="AA24" s="1810"/>
      <c r="AB24" s="1810"/>
      <c r="AC24" s="1810"/>
    </row>
    <row r="25" spans="1:29" ht="27">
      <c r="A25" s="404"/>
      <c r="B25" s="1384" t="s">
        <v>2745</v>
      </c>
      <c r="C25" s="2663" t="str">
        <f>估价对象房地状况!C20</f>
        <v>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197"/>
      <c r="Q25" s="1809" t="str">
        <f t="shared" si="8"/>
        <v>自然及人文环境状况</v>
      </c>
      <c r="R25" s="774" t="s">
        <v>17</v>
      </c>
      <c r="S25" s="775">
        <f>F25</f>
        <v>102</v>
      </c>
      <c r="T25" s="774" t="s">
        <v>17</v>
      </c>
      <c r="U25" s="775">
        <f>H25</f>
        <v>102</v>
      </c>
      <c r="V25" s="774" t="s">
        <v>17</v>
      </c>
      <c r="W25" s="775">
        <f>J25</f>
        <v>102</v>
      </c>
      <c r="X25" s="1812"/>
      <c r="Y25" s="3197"/>
      <c r="Z25" s="1813" t="str">
        <f>Q25</f>
        <v>自然及人文环境状况</v>
      </c>
      <c r="AA25" s="1810">
        <f t="shared" si="3"/>
        <v>0.98039215686274506</v>
      </c>
      <c r="AB25" s="1810">
        <f t="shared" si="4"/>
        <v>0.98039215686274506</v>
      </c>
      <c r="AC25" s="1810">
        <f t="shared" si="5"/>
        <v>0.98039215686274506</v>
      </c>
    </row>
    <row r="26" spans="1:29" ht="15">
      <c r="A26" s="404"/>
      <c r="B26" s="456"/>
      <c r="C26" s="2607" t="s">
        <v>3081</v>
      </c>
      <c r="D26" s="448"/>
      <c r="E26" s="2607" t="s">
        <v>3080</v>
      </c>
      <c r="F26" s="448"/>
      <c r="G26" s="2607" t="s">
        <v>3080</v>
      </c>
      <c r="H26" s="448"/>
      <c r="I26" s="2607" t="s">
        <v>3080</v>
      </c>
      <c r="J26" s="448"/>
      <c r="K26" s="672"/>
      <c r="L26" s="1140"/>
      <c r="M26" s="1131"/>
      <c r="N26" s="1131"/>
      <c r="O26" s="1139"/>
      <c r="P26" s="3197"/>
      <c r="Q26" s="1809"/>
      <c r="R26" s="774"/>
      <c r="S26" s="775"/>
      <c r="T26" s="774"/>
      <c r="U26" s="775"/>
      <c r="V26" s="774"/>
      <c r="W26" s="775"/>
      <c r="X26" s="1812"/>
      <c r="Y26" s="3197"/>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197"/>
      <c r="Q27" s="1794" t="str">
        <f t="shared" si="8"/>
        <v>公共配套设施</v>
      </c>
      <c r="R27" s="770" t="s">
        <v>17</v>
      </c>
      <c r="S27" s="771">
        <f>F27</f>
        <v>98</v>
      </c>
      <c r="T27" s="770" t="s">
        <v>17</v>
      </c>
      <c r="U27" s="771">
        <f>H27</f>
        <v>98</v>
      </c>
      <c r="V27" s="770" t="s">
        <v>17</v>
      </c>
      <c r="W27" s="771">
        <f>J27</f>
        <v>98</v>
      </c>
      <c r="X27" s="772"/>
      <c r="Y27" s="3197"/>
      <c r="Z27" s="55" t="str">
        <f>Q27</f>
        <v>公共配套设施</v>
      </c>
      <c r="AA27" s="1810">
        <f>D27/F27</f>
        <v>1.0204081632653061</v>
      </c>
      <c r="AB27" s="1810">
        <f>D27/H27</f>
        <v>1.0204081632653061</v>
      </c>
      <c r="AC27" s="1810">
        <f>D27/J27</f>
        <v>1.0204081632653061</v>
      </c>
    </row>
    <row r="28" spans="1:29" s="117" customFormat="1" ht="15">
      <c r="A28" s="649"/>
      <c r="B28" s="456"/>
      <c r="C28" s="2971" t="s">
        <v>3201</v>
      </c>
      <c r="D28" s="448"/>
      <c r="E28" s="2971" t="s">
        <v>3081</v>
      </c>
      <c r="F28" s="448"/>
      <c r="G28" s="2971" t="s">
        <v>3081</v>
      </c>
      <c r="H28" s="448"/>
      <c r="I28" s="2971" t="s">
        <v>3081</v>
      </c>
      <c r="J28" s="448"/>
      <c r="K28" s="672"/>
      <c r="L28" s="1132"/>
      <c r="M28" s="1133"/>
      <c r="N28" s="1133"/>
      <c r="O28" s="1134"/>
      <c r="P28" s="3197"/>
      <c r="Q28" s="1794"/>
      <c r="R28" s="770"/>
      <c r="S28" s="771"/>
      <c r="T28" s="770"/>
      <c r="U28" s="771"/>
      <c r="V28" s="770"/>
      <c r="W28" s="771"/>
      <c r="X28" s="772"/>
      <c r="Y28" s="3197"/>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7"/>
      <c r="Q29" s="1794"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0">
        <f>D29/F29</f>
        <v>1</v>
      </c>
      <c r="AB29" s="1810">
        <f>D29/H29</f>
        <v>1</v>
      </c>
      <c r="AC29" s="1810">
        <f>D29/J29</f>
        <v>1</v>
      </c>
    </row>
    <row r="30" spans="1:29" s="117" customFormat="1" ht="15.75" thickBot="1">
      <c r="A30" s="649"/>
      <c r="B30" s="456"/>
      <c r="C30" s="2972" t="s">
        <v>3202</v>
      </c>
      <c r="D30" s="448"/>
      <c r="E30" s="2972" t="s">
        <v>3202</v>
      </c>
      <c r="F30" s="448"/>
      <c r="G30" s="2972" t="s">
        <v>3202</v>
      </c>
      <c r="H30" s="448"/>
      <c r="I30" s="2972" t="s">
        <v>3202</v>
      </c>
      <c r="J30" s="448"/>
      <c r="K30" s="672"/>
      <c r="L30" s="1132"/>
      <c r="M30" s="1133"/>
      <c r="N30" s="1133"/>
      <c r="O30" s="1134"/>
      <c r="P30" s="3197"/>
      <c r="Q30" s="1794"/>
      <c r="R30" s="770"/>
      <c r="S30" s="771"/>
      <c r="T30" s="770"/>
      <c r="U30" s="771"/>
      <c r="V30" s="770"/>
      <c r="W30" s="771"/>
      <c r="X30" s="772"/>
      <c r="Y30" s="3197"/>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7"/>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09" t="str">
        <f t="shared" si="8"/>
        <v>毗邻道路的类型与等级</v>
      </c>
      <c r="R32" s="774" t="s">
        <v>17</v>
      </c>
      <c r="S32" s="775">
        <f t="shared" si="10"/>
        <v>100</v>
      </c>
      <c r="T32" s="774" t="s">
        <v>17</v>
      </c>
      <c r="U32" s="775">
        <f t="shared" si="11"/>
        <v>100</v>
      </c>
      <c r="V32" s="774" t="s">
        <v>17</v>
      </c>
      <c r="W32" s="775">
        <f t="shared" si="12"/>
        <v>100</v>
      </c>
      <c r="X32" s="1812"/>
      <c r="Y32" s="3197"/>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197"/>
      <c r="Q33" s="1809"/>
      <c r="R33" s="774"/>
      <c r="S33" s="775"/>
      <c r="T33" s="774"/>
      <c r="U33" s="775"/>
      <c r="V33" s="774"/>
      <c r="W33" s="775"/>
      <c r="X33" s="1812"/>
      <c r="Y33" s="3197"/>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9" t="str">
        <f t="shared" si="8"/>
        <v>土地级别</v>
      </c>
      <c r="R34" s="774" t="s">
        <v>17</v>
      </c>
      <c r="S34" s="775">
        <f t="shared" si="10"/>
        <v>100</v>
      </c>
      <c r="T34" s="774" t="s">
        <v>17</v>
      </c>
      <c r="U34" s="775">
        <f t="shared" si="11"/>
        <v>100</v>
      </c>
      <c r="V34" s="774" t="s">
        <v>17</v>
      </c>
      <c r="W34" s="775">
        <f t="shared" si="12"/>
        <v>100</v>
      </c>
      <c r="X34" s="1812"/>
      <c r="Y34" s="319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9">
        <f t="shared" si="8"/>
        <v>111</v>
      </c>
      <c r="R35" s="774" t="s">
        <v>17</v>
      </c>
      <c r="S35" s="775">
        <f t="shared" si="10"/>
        <v>100</v>
      </c>
      <c r="T35" s="774" t="s">
        <v>17</v>
      </c>
      <c r="U35" s="775">
        <f t="shared" si="11"/>
        <v>100</v>
      </c>
      <c r="V35" s="774" t="s">
        <v>17</v>
      </c>
      <c r="W35" s="775">
        <f t="shared" si="12"/>
        <v>100</v>
      </c>
      <c r="X35" s="1812"/>
      <c r="Y35" s="319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8" t="s">
        <v>2561</v>
      </c>
      <c r="Q36" s="1809">
        <f t="shared" si="8"/>
        <v>111</v>
      </c>
      <c r="R36" s="774" t="s">
        <v>17</v>
      </c>
      <c r="S36" s="775">
        <f t="shared" si="10"/>
        <v>100</v>
      </c>
      <c r="T36" s="774" t="s">
        <v>17</v>
      </c>
      <c r="U36" s="775">
        <f t="shared" si="11"/>
        <v>100</v>
      </c>
      <c r="V36" s="774" t="s">
        <v>17</v>
      </c>
      <c r="W36" s="775">
        <f t="shared" si="12"/>
        <v>100</v>
      </c>
      <c r="X36" s="1812"/>
      <c r="Y36" s="3199"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9">
        <f t="shared" si="8"/>
        <v>111</v>
      </c>
      <c r="R37" s="777" t="s">
        <v>17</v>
      </c>
      <c r="S37" s="778">
        <f t="shared" si="10"/>
        <v>100</v>
      </c>
      <c r="T37" s="777" t="s">
        <v>17</v>
      </c>
      <c r="U37" s="778">
        <f t="shared" si="11"/>
        <v>100</v>
      </c>
      <c r="V37" s="777" t="s">
        <v>17</v>
      </c>
      <c r="W37" s="778">
        <f t="shared" si="12"/>
        <v>100</v>
      </c>
      <c r="X37" s="779"/>
      <c r="Y37" s="3199"/>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199"/>
      <c r="Q38" s="1809" t="str">
        <f>B38</f>
        <v>宗地面积</v>
      </c>
      <c r="R38" s="774" t="s">
        <v>17</v>
      </c>
      <c r="S38" s="775">
        <f t="shared" si="10"/>
        <v>100</v>
      </c>
      <c r="T38" s="774" t="s">
        <v>17</v>
      </c>
      <c r="U38" s="775">
        <f t="shared" si="11"/>
        <v>100</v>
      </c>
      <c r="V38" s="774" t="s">
        <v>17</v>
      </c>
      <c r="W38" s="775">
        <f t="shared" si="12"/>
        <v>100</v>
      </c>
      <c r="X38" s="1812"/>
      <c r="Y38" s="3199"/>
      <c r="Z38" s="1813" t="str">
        <f t="shared" si="13"/>
        <v>宗地面积</v>
      </c>
      <c r="AA38" s="1810">
        <f t="shared" si="3"/>
        <v>1</v>
      </c>
      <c r="AB38" s="1810">
        <f t="shared" si="4"/>
        <v>1</v>
      </c>
      <c r="AC38" s="1810">
        <f t="shared" si="5"/>
        <v>1</v>
      </c>
    </row>
    <row r="39" spans="1:29" ht="15">
      <c r="A39" s="472"/>
      <c r="B39" s="422" t="s">
        <v>2748</v>
      </c>
      <c r="C39" s="2973" t="s">
        <v>3203</v>
      </c>
      <c r="D39" s="435">
        <v>100</v>
      </c>
      <c r="E39" s="2973" t="s">
        <v>3203</v>
      </c>
      <c r="F39" s="435">
        <f>SUMIF(119:119,E39,120:120)-SUMIF(119:119,C39,120:120)+100</f>
        <v>100</v>
      </c>
      <c r="G39" s="2973" t="s">
        <v>3203</v>
      </c>
      <c r="H39" s="435">
        <f>SUMIF(119:119,G39,120:120)-SUMIF(119:119,C39,120:120)+100</f>
        <v>100</v>
      </c>
      <c r="I39" s="2973" t="s">
        <v>3203</v>
      </c>
      <c r="J39" s="435">
        <f>SUMIF(119:119,I39,120:120)-SUMIF(119:119,C39,120:120)+100</f>
        <v>100</v>
      </c>
      <c r="K39" s="612">
        <v>2</v>
      </c>
      <c r="L39" s="1140"/>
      <c r="M39" s="1131"/>
      <c r="N39" s="1131"/>
      <c r="O39" s="1139"/>
      <c r="P39" s="3199"/>
      <c r="Q39" s="1809" t="str">
        <f t="shared" ref="Q39:Q45" si="14">B39</f>
        <v>宗地形状</v>
      </c>
      <c r="R39" s="774" t="s">
        <v>17</v>
      </c>
      <c r="S39" s="775">
        <f t="shared" si="10"/>
        <v>100</v>
      </c>
      <c r="T39" s="774" t="s">
        <v>17</v>
      </c>
      <c r="U39" s="775">
        <f t="shared" si="11"/>
        <v>100</v>
      </c>
      <c r="V39" s="774" t="s">
        <v>17</v>
      </c>
      <c r="W39" s="775">
        <f t="shared" si="12"/>
        <v>100</v>
      </c>
      <c r="X39" s="1812"/>
      <c r="Y39" s="3199"/>
      <c r="Z39" s="1813" t="str">
        <f t="shared" si="13"/>
        <v>宗地形状</v>
      </c>
      <c r="AA39" s="1810">
        <f t="shared" si="3"/>
        <v>1</v>
      </c>
      <c r="AB39" s="1810">
        <f t="shared" si="4"/>
        <v>1</v>
      </c>
      <c r="AC39" s="1810">
        <f t="shared" si="5"/>
        <v>1</v>
      </c>
    </row>
    <row r="40" spans="1:29" ht="15">
      <c r="A40" s="472"/>
      <c r="B40" s="422" t="s">
        <v>2749</v>
      </c>
      <c r="C40" s="2973" t="s">
        <v>3204</v>
      </c>
      <c r="D40" s="435">
        <v>100</v>
      </c>
      <c r="E40" s="2973" t="s">
        <v>3204</v>
      </c>
      <c r="F40" s="435">
        <f>SUMIF(121:121,E40,122:122)-SUMIF(121:121,C40,122:122)+100</f>
        <v>100</v>
      </c>
      <c r="G40" s="2973" t="s">
        <v>3204</v>
      </c>
      <c r="H40" s="435">
        <f>SUMIF(121:121,G40,122:122)-SUMIF(121:121,C40,122:122)+100</f>
        <v>100</v>
      </c>
      <c r="I40" s="2973" t="s">
        <v>3204</v>
      </c>
      <c r="J40" s="435">
        <f>SUMIF(121:121,I40,122:122)-SUMIF(121:121,C40,122:122)+100</f>
        <v>100</v>
      </c>
      <c r="K40" s="612">
        <v>2</v>
      </c>
      <c r="L40" s="1140"/>
      <c r="M40" s="1131"/>
      <c r="N40" s="1131"/>
      <c r="O40" s="1139"/>
      <c r="P40" s="3199"/>
      <c r="Q40" s="1809" t="str">
        <f t="shared" si="14"/>
        <v>临街宽度及深度</v>
      </c>
      <c r="R40" s="774" t="s">
        <v>17</v>
      </c>
      <c r="S40" s="775">
        <f t="shared" si="10"/>
        <v>100</v>
      </c>
      <c r="T40" s="774" t="s">
        <v>17</v>
      </c>
      <c r="U40" s="775">
        <f t="shared" si="11"/>
        <v>100</v>
      </c>
      <c r="V40" s="774" t="s">
        <v>17</v>
      </c>
      <c r="W40" s="775">
        <f t="shared" si="12"/>
        <v>100</v>
      </c>
      <c r="X40" s="1812"/>
      <c r="Y40" s="3199"/>
      <c r="Z40" s="1813" t="str">
        <f t="shared" si="13"/>
        <v>临街宽度及深度</v>
      </c>
      <c r="AA40" s="1810">
        <f t="shared" si="3"/>
        <v>1</v>
      </c>
      <c r="AB40" s="1810">
        <f t="shared" si="4"/>
        <v>1</v>
      </c>
      <c r="AC40" s="1810">
        <f t="shared" si="5"/>
        <v>1</v>
      </c>
    </row>
    <row r="41" spans="1:29" s="117" customFormat="1" ht="15">
      <c r="A41" s="473"/>
      <c r="B41" s="422" t="s">
        <v>2750</v>
      </c>
      <c r="C41" s="2974" t="s">
        <v>3205</v>
      </c>
      <c r="D41" s="136">
        <v>100</v>
      </c>
      <c r="E41" s="2974" t="s">
        <v>3205</v>
      </c>
      <c r="F41" s="435">
        <f>SUMIF(123:123,E41,124:124)-SUMIF(123:123,C41,124:124)+100</f>
        <v>100</v>
      </c>
      <c r="G41" s="2974" t="s">
        <v>3205</v>
      </c>
      <c r="H41" s="435">
        <f>SUMIF(123:123,G41,124:124)-SUMIF(123:123,C41,124:124)+100</f>
        <v>100</v>
      </c>
      <c r="I41" s="2974" t="s">
        <v>3205</v>
      </c>
      <c r="J41" s="435">
        <f>SUMIF(123:123,I41,124:124)-SUMIF(123:123,C41,124:124)+100</f>
        <v>100</v>
      </c>
      <c r="K41" s="612">
        <v>1</v>
      </c>
      <c r="L41" s="1132"/>
      <c r="M41" s="1133"/>
      <c r="N41" s="1133"/>
      <c r="O41" s="1134"/>
      <c r="P41" s="3199"/>
      <c r="Q41" s="1809"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75" thickBot="1">
      <c r="A42" s="472"/>
      <c r="B42" s="422" t="s">
        <v>2751</v>
      </c>
      <c r="C42" s="2973" t="s">
        <v>3201</v>
      </c>
      <c r="D42" s="435">
        <v>100</v>
      </c>
      <c r="E42" s="2973" t="s">
        <v>3201</v>
      </c>
      <c r="F42" s="435">
        <f>SUMIF(125:125,E42,126:126)-SUMIF(125:125,C42,126:126)+100</f>
        <v>100</v>
      </c>
      <c r="G42" s="2973" t="s">
        <v>3201</v>
      </c>
      <c r="H42" s="435">
        <f>SUMIF(125:125,G42,126:126)-SUMIF(125:125,C42,126:126)+100</f>
        <v>100</v>
      </c>
      <c r="I42" s="2973" t="s">
        <v>3201</v>
      </c>
      <c r="J42" s="435">
        <f>SUMIF(125:125,I42,126:126)-SUMIF(125:125,C42,126:126)+100</f>
        <v>100</v>
      </c>
      <c r="K42" s="612">
        <v>2</v>
      </c>
      <c r="L42" s="1140"/>
      <c r="M42" s="1131"/>
      <c r="N42" s="1131"/>
      <c r="O42" s="1139"/>
      <c r="P42" s="3199" t="s">
        <v>2561</v>
      </c>
      <c r="Q42" s="1809" t="str">
        <f t="shared" si="14"/>
        <v>工程地质条件</v>
      </c>
      <c r="R42" s="774" t="s">
        <v>17</v>
      </c>
      <c r="S42" s="775">
        <f t="shared" si="10"/>
        <v>100</v>
      </c>
      <c r="T42" s="774" t="s">
        <v>17</v>
      </c>
      <c r="U42" s="775">
        <f t="shared" si="11"/>
        <v>100</v>
      </c>
      <c r="V42" s="774" t="s">
        <v>17</v>
      </c>
      <c r="W42" s="775">
        <f t="shared" si="12"/>
        <v>100</v>
      </c>
      <c r="X42" s="1812"/>
      <c r="Y42" s="3199"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9">
        <f t="shared" si="14"/>
        <v>111</v>
      </c>
      <c r="R43" s="774" t="s">
        <v>17</v>
      </c>
      <c r="S43" s="775">
        <f t="shared" si="10"/>
        <v>100</v>
      </c>
      <c r="T43" s="774" t="s">
        <v>17</v>
      </c>
      <c r="U43" s="775">
        <f t="shared" si="11"/>
        <v>100</v>
      </c>
      <c r="V43" s="774" t="s">
        <v>17</v>
      </c>
      <c r="W43" s="775">
        <f t="shared" si="12"/>
        <v>100</v>
      </c>
      <c r="X43" s="1812"/>
      <c r="Y43" s="319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9">
        <f t="shared" si="14"/>
        <v>111</v>
      </c>
      <c r="R44" s="774" t="s">
        <v>17</v>
      </c>
      <c r="S44" s="775">
        <f t="shared" si="10"/>
        <v>100</v>
      </c>
      <c r="T44" s="774" t="s">
        <v>17</v>
      </c>
      <c r="U44" s="775">
        <f t="shared" si="11"/>
        <v>100</v>
      </c>
      <c r="V44" s="774" t="s">
        <v>17</v>
      </c>
      <c r="W44" s="775">
        <f t="shared" si="12"/>
        <v>100</v>
      </c>
      <c r="X44" s="1812"/>
      <c r="Y44" s="3199"/>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9">
        <f t="shared" si="14"/>
        <v>111</v>
      </c>
      <c r="R45" s="777" t="s">
        <v>17</v>
      </c>
      <c r="S45" s="778">
        <f t="shared" si="10"/>
        <v>100</v>
      </c>
      <c r="T45" s="777" t="s">
        <v>17</v>
      </c>
      <c r="U45" s="778">
        <f t="shared" si="11"/>
        <v>100</v>
      </c>
      <c r="V45" s="777" t="s">
        <v>17</v>
      </c>
      <c r="W45" s="778">
        <f t="shared" si="12"/>
        <v>100</v>
      </c>
      <c r="X45" s="779"/>
      <c r="Y45" s="3199"/>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194" t="str">
        <f>A46</f>
        <v>成交单价</v>
      </c>
      <c r="Q46" s="3194"/>
      <c r="R46" s="3200">
        <f>E46</f>
        <v>24490</v>
      </c>
      <c r="S46" s="3200"/>
      <c r="T46" s="3200">
        <f>G46</f>
        <v>31000</v>
      </c>
      <c r="U46" s="3200"/>
      <c r="V46" s="3200">
        <f>I46</f>
        <v>26772</v>
      </c>
      <c r="W46" s="3200"/>
      <c r="X46" s="759"/>
      <c r="Y46" s="781"/>
      <c r="Z46" s="759"/>
      <c r="AA46" s="759"/>
      <c r="AB46" s="759"/>
      <c r="AC46" s="759"/>
    </row>
    <row r="47" spans="1:29" ht="15.75" thickBot="1">
      <c r="A47" s="486" t="s">
        <v>2665</v>
      </c>
      <c r="B47" s="683"/>
      <c r="C47" s="490">
        <f>R48</f>
        <v>29316</v>
      </c>
      <c r="D47" s="489"/>
      <c r="E47" s="490">
        <f>R47</f>
        <v>26706</v>
      </c>
      <c r="F47" s="491"/>
      <c r="G47" s="488">
        <f>T47</f>
        <v>32480</v>
      </c>
      <c r="H47" s="489"/>
      <c r="I47" s="490">
        <f>V47</f>
        <v>28762</v>
      </c>
      <c r="J47" s="489"/>
      <c r="K47" s="784"/>
      <c r="L47" s="1143"/>
      <c r="M47" s="1144"/>
      <c r="N47" s="1144"/>
      <c r="O47" s="1144"/>
      <c r="P47" s="3194" t="str">
        <f>A47</f>
        <v>比较价值（元/平方米）</v>
      </c>
      <c r="Q47" s="3194"/>
      <c r="R47" s="3187">
        <f>ROUND(PRODUCT(R46,AA7:AA45),0)</f>
        <v>26706</v>
      </c>
      <c r="S47" s="3187"/>
      <c r="T47" s="3187">
        <f>ROUND(PRODUCT(T46,AB7:AB45),0)</f>
        <v>32480</v>
      </c>
      <c r="U47" s="3187"/>
      <c r="V47" s="3187">
        <f>ROUND(PRODUCT(V46,AC7:AC45),0)</f>
        <v>28762</v>
      </c>
      <c r="W47" s="3187"/>
      <c r="X47" s="759"/>
      <c r="Y47" s="759"/>
      <c r="Z47" s="759"/>
      <c r="AA47" s="759"/>
      <c r="AB47" s="759"/>
      <c r="AC47" s="759"/>
    </row>
    <row r="48" spans="1:29" ht="15.75" thickBot="1">
      <c r="A48" s="492" t="s">
        <v>2753</v>
      </c>
      <c r="B48" s="493"/>
      <c r="C48" s="494">
        <f>R48</f>
        <v>29316</v>
      </c>
      <c r="D48" s="494"/>
      <c r="E48" s="494"/>
      <c r="F48" s="494"/>
      <c r="G48" s="494"/>
      <c r="H48" s="494"/>
      <c r="I48" s="494"/>
      <c r="J48" s="494"/>
      <c r="K48" s="785"/>
      <c r="L48" s="1143"/>
      <c r="M48" s="1144"/>
      <c r="N48" s="1144"/>
      <c r="O48" s="1144"/>
      <c r="P48" s="3188" t="str">
        <f>A48</f>
        <v>估价对象XX用房的比较价值（楼面单价，元/平方米）</v>
      </c>
      <c r="Q48" s="3189"/>
      <c r="R48" s="3190">
        <f>ROUND(AVERAGE(R47:V47),0)</f>
        <v>29316</v>
      </c>
      <c r="S48" s="3190"/>
      <c r="T48" s="3190"/>
      <c r="U48" s="3190"/>
      <c r="V48" s="3190"/>
      <c r="W48" s="31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9.0485912617394915E-2</v>
      </c>
      <c r="F51" s="500" t="str">
        <f>IF(OR(E51&gt;=0.3,E51&lt;=-0.3),"超过30%","")</f>
        <v/>
      </c>
      <c r="G51" s="499">
        <f>IF(G46&lt;G47,G47/G46-1,G46/G47-1)</f>
        <v>4.7741935483871067E-2</v>
      </c>
      <c r="H51" s="500" t="str">
        <f>IF(OR(G51&gt;=0.3,G51&lt;=-0.3),"超过30%","")</f>
        <v/>
      </c>
      <c r="I51" s="499">
        <f>IF(I46&lt;I47,I47/I46-1,I46/I47-1)</f>
        <v>7.4331391005528102E-2</v>
      </c>
      <c r="J51" s="500" t="str">
        <f>IF(OR(I51&gt;=0.3,I51&lt;=-0.3),"超过30%","")</f>
        <v/>
      </c>
      <c r="K51" s="1105"/>
      <c r="L51" s="1106"/>
      <c r="M51" s="1144"/>
      <c r="N51" s="1144"/>
      <c r="O51" s="1144"/>
    </row>
    <row r="52" spans="1:15" ht="13.5" customHeight="1">
      <c r="A52" s="1144"/>
      <c r="B52" s="1144"/>
      <c r="C52" s="497" t="s">
        <v>2668</v>
      </c>
      <c r="D52" s="501"/>
      <c r="E52" s="499">
        <f>IF(E47&lt;G47,G47/E47-1,E47/G47-1)</f>
        <v>0.21620609600838758</v>
      </c>
      <c r="F52" s="500" t="str">
        <f>IF(OR(E52&gt;=0.2,E52&lt;=-0.2),"超过20%","")</f>
        <v>超过20%</v>
      </c>
      <c r="G52" s="499">
        <f>IF(G47&lt;I47,I47/G47-1,G47/I47-1)</f>
        <v>0.12926778388151039</v>
      </c>
      <c r="H52" s="500" t="str">
        <f>IF(OR(G52&gt;=0.2,G52&lt;=-0.2),"超过20%","")</f>
        <v/>
      </c>
      <c r="I52" s="499">
        <f>IF(I47&lt;E47,E47/I47-1,I47/E47-1)</f>
        <v>7.6986444993634384E-2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191" t="s">
        <v>2760</v>
      </c>
      <c r="H55" s="3192"/>
      <c r="I55" s="144" t="s">
        <v>2761</v>
      </c>
      <c r="J55" s="2706">
        <f>项目基本情况!F35</f>
        <v>0</v>
      </c>
      <c r="K55" s="2707" t="s">
        <v>2762</v>
      </c>
      <c r="L55" s="1106"/>
      <c r="M55" s="1144"/>
      <c r="N55" s="1144"/>
      <c r="O55" s="1144"/>
    </row>
    <row r="56" spans="1:15" s="692" customFormat="1">
      <c r="A56" s="688" t="s">
        <v>2763</v>
      </c>
      <c r="B56" s="689">
        <f>C48</f>
        <v>29316</v>
      </c>
      <c r="C56" s="690">
        <v>1</v>
      </c>
      <c r="D56" s="1163">
        <v>1</v>
      </c>
      <c r="E56" s="690">
        <f>'数据-汇总表'!E8+'数据-汇总表'!E9</f>
        <v>29403.559999999998</v>
      </c>
      <c r="F56" s="1103">
        <f t="shared" ref="F56:F65" si="15">ROUND(B56*E56/10000,0)</f>
        <v>86199</v>
      </c>
      <c r="G56" s="3193"/>
      <c r="H56" s="3194"/>
      <c r="I56" s="1108">
        <v>1</v>
      </c>
      <c r="J56" s="1111">
        <v>1</v>
      </c>
      <c r="K56" s="1145"/>
      <c r="L56" s="941"/>
      <c r="M56" s="941"/>
      <c r="N56" s="941"/>
      <c r="O56" s="941"/>
    </row>
    <row r="57" spans="1:15" s="692" customFormat="1">
      <c r="A57" s="693" t="s">
        <v>2764</v>
      </c>
      <c r="B57" s="262">
        <f>ROUND($C$48*C57*D57,0)</f>
        <v>5130</v>
      </c>
      <c r="C57" s="200">
        <f t="shared" ref="C57:C65" si="16">IF($C$55="北京市系数",I57,J57)</f>
        <v>0.7</v>
      </c>
      <c r="D57" s="1164">
        <v>0.25</v>
      </c>
      <c r="E57" s="694"/>
      <c r="F57" s="1103">
        <f t="shared" si="15"/>
        <v>0</v>
      </c>
      <c r="G57" s="3195"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2932</v>
      </c>
      <c r="C58" s="200">
        <f t="shared" si="16"/>
        <v>0.4</v>
      </c>
      <c r="D58" s="1164">
        <v>0.25</v>
      </c>
      <c r="E58" s="694"/>
      <c r="F58" s="1103">
        <f t="shared" si="15"/>
        <v>0</v>
      </c>
      <c r="G58" s="3195"/>
      <c r="H58" s="1104" t="str">
        <f>项目基本情况!B37</f>
        <v>六级</v>
      </c>
      <c r="I58" s="1108">
        <f>SUMIF(修正!A45:A56,H58,修正!C45:C56)</f>
        <v>0.4</v>
      </c>
      <c r="J58" s="1112"/>
      <c r="K58" s="1145"/>
      <c r="L58" s="941"/>
      <c r="M58" s="941"/>
      <c r="N58" s="941"/>
      <c r="O58" s="941"/>
    </row>
    <row r="59" spans="1:15" s="692" customFormat="1">
      <c r="A59" s="693" t="s">
        <v>2767</v>
      </c>
      <c r="B59" s="262">
        <f t="shared" si="17"/>
        <v>2052</v>
      </c>
      <c r="C59" s="200">
        <f t="shared" si="16"/>
        <v>0.28000000000000003</v>
      </c>
      <c r="D59" s="1164">
        <v>0.25</v>
      </c>
      <c r="E59" s="694"/>
      <c r="F59" s="1103">
        <f t="shared" si="15"/>
        <v>0</v>
      </c>
      <c r="G59" s="3195"/>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1832</v>
      </c>
      <c r="C60" s="200">
        <f t="shared" si="16"/>
        <v>0.25</v>
      </c>
      <c r="D60" s="1164">
        <v>0.25</v>
      </c>
      <c r="E60" s="694"/>
      <c r="F60" s="1103">
        <f t="shared" si="15"/>
        <v>0</v>
      </c>
      <c r="G60" s="3195"/>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1466</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86199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75" t="s">
        <v>3198</v>
      </c>
      <c r="D75" s="297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2976" t="s">
        <v>3206</v>
      </c>
      <c r="D106" s="2976" t="s">
        <v>3207</v>
      </c>
      <c r="E106" s="2976" t="s">
        <v>3208</v>
      </c>
      <c r="F106" s="2976" t="s">
        <v>3209</v>
      </c>
      <c r="G106" s="297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2977" t="s">
        <v>3203</v>
      </c>
      <c r="D119" s="2977" t="s">
        <v>3211</v>
      </c>
      <c r="E119" s="297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2789</v>
      </c>
      <c r="C121" s="2976" t="s">
        <v>3204</v>
      </c>
      <c r="D121" s="2976" t="s">
        <v>3213</v>
      </c>
      <c r="E121" s="297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2790</v>
      </c>
      <c r="C123" s="2976" t="s">
        <v>3202</v>
      </c>
      <c r="D123" s="297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2976" t="s">
        <v>3201</v>
      </c>
      <c r="D125" s="2976" t="s">
        <v>3215</v>
      </c>
      <c r="E125" s="297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2" workbookViewId="0">
      <selection activeCell="I44" sqref="I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142313</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48400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89804</v>
      </c>
      <c r="D5" s="255" t="s">
        <v>2330</v>
      </c>
      <c r="E5" s="256" t="s">
        <v>2331</v>
      </c>
      <c r="F5" s="256" t="s">
        <v>2332</v>
      </c>
      <c r="G5" s="257"/>
    </row>
    <row r="6" spans="1:9" s="258" customFormat="1" ht="13.5" customHeight="1">
      <c r="A6" s="949" t="s">
        <v>2333</v>
      </c>
      <c r="B6" s="259" t="s">
        <v>2334</v>
      </c>
      <c r="C6" s="260">
        <f>'土地比较法-住宅、综合'!B2</f>
        <v>86199</v>
      </c>
      <c r="D6" s="261"/>
      <c r="E6" s="262"/>
      <c r="F6" s="262"/>
      <c r="G6" s="263"/>
    </row>
    <row r="7" spans="1:9" s="258" customFormat="1" ht="13.5" customHeight="1">
      <c r="A7" s="949" t="s">
        <v>2335</v>
      </c>
      <c r="B7" s="259" t="s">
        <v>2336</v>
      </c>
      <c r="C7" s="264">
        <f>ROUND(C6*F7,0)</f>
        <v>3017</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180</v>
      </c>
      <c r="F19" s="275"/>
      <c r="G19" s="2549" t="s">
        <v>3093</v>
      </c>
    </row>
    <row r="20" spans="1:7" s="258" customFormat="1" ht="13.5" customHeight="1">
      <c r="A20" s="299" t="s">
        <v>2354</v>
      </c>
      <c r="B20" s="254" t="s">
        <v>2355</v>
      </c>
      <c r="C20" s="276">
        <f>ROUND((C5+C19)*F20,0)</f>
        <v>1796</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8819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8734</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85</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18320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18320</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128700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12819</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529</v>
      </c>
      <c r="D37" s="261">
        <f ca="1">D19</f>
        <v>29403.559999999998</v>
      </c>
      <c r="E37" s="293">
        <f>'数据-取费表'!B35</f>
        <v>180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256</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621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609</v>
      </c>
      <c r="D42" s="282"/>
      <c r="E42" s="282"/>
      <c r="F42" s="283"/>
      <c r="G42" s="3231" t="s">
        <v>2405</v>
      </c>
    </row>
    <row r="43" spans="1:7" ht="13.5" customHeight="1">
      <c r="A43" s="951" t="s">
        <v>792</v>
      </c>
      <c r="B43" s="259" t="s">
        <v>2406</v>
      </c>
      <c r="C43" s="282">
        <f ca="1">ROUND(IF('数据-取费表'!B22&lt;=1,C39*F22*'数据-取费表'!B21/2,C39*(POWER((1+F22),'数据-取费表'!B21/2)-1)),0)</f>
        <v>12</v>
      </c>
      <c r="D43" s="282"/>
      <c r="E43" s="282"/>
      <c r="F43" s="283"/>
      <c r="G43" s="3232"/>
    </row>
    <row r="44" spans="1:7" ht="13.5" customHeight="1">
      <c r="A44" s="951" t="s">
        <v>793</v>
      </c>
      <c r="B44" s="259" t="s">
        <v>2407</v>
      </c>
      <c r="C44" s="282">
        <f ca="1">ROUND(IF('数据-取费表'!B22&lt;=1,C40*F22*'数据-取费表'!B21/2,C40*(POWER((1+F22),'数据-取费表'!B21/2)-1)),4)</f>
        <v>1E-3</v>
      </c>
      <c r="D44" s="282"/>
      <c r="E44" s="282"/>
      <c r="F44" s="283"/>
      <c r="G44" s="3233"/>
    </row>
    <row r="45" spans="1:7" s="258" customFormat="1" ht="13.5" customHeight="1">
      <c r="A45" s="299" t="s">
        <v>2408</v>
      </c>
      <c r="B45" s="288" t="s">
        <v>2374</v>
      </c>
      <c r="C45" s="289">
        <f ca="1">C46</f>
        <v>2615</v>
      </c>
      <c r="D45" s="279">
        <f ca="1">C47</f>
        <v>4.0000000000000001E-3</v>
      </c>
      <c r="E45" s="280" t="s">
        <v>2400</v>
      </c>
      <c r="F45" s="290"/>
      <c r="G45" s="291" t="s">
        <v>2409</v>
      </c>
    </row>
    <row r="46" spans="1:7" s="258" customFormat="1" ht="13.5" customHeight="1">
      <c r="A46" s="951" t="s">
        <v>791</v>
      </c>
      <c r="B46" s="292" t="s">
        <v>2410</v>
      </c>
      <c r="C46" s="293">
        <f ca="1">ROUND((C33+C39)*F27,0)</f>
        <v>2615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17679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13613</v>
      </c>
      <c r="D51" s="276"/>
      <c r="E51" s="276"/>
      <c r="F51" s="308"/>
      <c r="G51" s="278" t="s">
        <v>2421</v>
      </c>
    </row>
    <row r="52" spans="1:7" s="252" customFormat="1" ht="16.5" thickBot="1">
      <c r="A52" s="309" t="s">
        <v>2422</v>
      </c>
      <c r="B52" s="310"/>
      <c r="C52" s="311">
        <f ca="1">C31+C51</f>
        <v>142313</v>
      </c>
      <c r="D52" s="310"/>
      <c r="E52" s="310"/>
      <c r="F52" s="310"/>
      <c r="G52" s="312"/>
    </row>
    <row r="55" spans="1:7" ht="15">
      <c r="B55" s="314" t="s">
        <v>2423</v>
      </c>
      <c r="C55" s="315"/>
    </row>
    <row r="56" spans="1:7">
      <c r="B56" s="317" t="s">
        <v>1508</v>
      </c>
      <c r="C56" s="319">
        <f ca="1">1-C57</f>
        <v>0.90400000000000003</v>
      </c>
    </row>
    <row r="57" spans="1:7">
      <c r="B57" s="317" t="s">
        <v>1509</v>
      </c>
      <c r="C57" s="318">
        <f ca="1">ROUND(C51/C52,3)</f>
        <v>9.6000000000000002E-2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15216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5175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5292641</v>
      </c>
      <c r="D19" s="1036">
        <f ca="1">D9+D10</f>
        <v>29403.559999999998</v>
      </c>
      <c r="E19" s="255">
        <f>'数据-取费表'!B31</f>
        <v>180</v>
      </c>
      <c r="F19" s="275"/>
      <c r="G19" s="2549"/>
    </row>
    <row r="20" spans="1:7" s="258" customFormat="1" ht="13.5" customHeight="1">
      <c r="A20" s="299" t="s">
        <v>2435</v>
      </c>
      <c r="B20" s="254" t="s">
        <v>2436</v>
      </c>
      <c r="C20" s="276">
        <f ca="1">ROUND((C5+C19)*F20,0)</f>
        <v>223467</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1097293</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514742</v>
      </c>
      <c r="D24" s="282"/>
      <c r="E24" s="282"/>
      <c r="F24" s="283"/>
      <c r="G24" s="284" t="s">
        <v>2447</v>
      </c>
    </row>
    <row r="25" spans="1:7" s="258" customFormat="1" ht="24">
      <c r="A25" s="951" t="s">
        <v>2337</v>
      </c>
      <c r="B25" s="259" t="s">
        <v>2448</v>
      </c>
      <c r="C25" s="1381">
        <f ca="1">ROUND(IF('数据-取费表'!B22&lt;=1,C20*F22*'数据-取费表'!B22/2,C20*(POWER((1+F22),'数据-取费表'!B22/2)-1)),0)</f>
        <v>10615</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2279364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2279364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16012873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128199522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5292641</v>
      </c>
      <c r="D37" s="261">
        <f ca="1">D19</f>
        <v>29403.559999999998</v>
      </c>
      <c r="E37" s="293">
        <f>'数据-取费表'!B35</f>
        <v>180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2563990</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6211267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6089477</v>
      </c>
      <c r="D42" s="282"/>
      <c r="E42" s="282"/>
      <c r="F42" s="283"/>
      <c r="G42" s="3231" t="s">
        <v>2452</v>
      </c>
    </row>
    <row r="43" spans="1:7" ht="13.5" customHeight="1">
      <c r="A43" s="951" t="s">
        <v>792</v>
      </c>
      <c r="B43" s="259" t="s">
        <v>2406</v>
      </c>
      <c r="C43" s="282">
        <f ca="1">ROUND(IF('数据-取费表'!B22&lt;=1,C39*F22*'数据-取费表'!B20/2,C39*(POWER((1+F22),'数据-取费表'!B20/2)-1)),0)</f>
        <v>121790</v>
      </c>
      <c r="D43" s="282"/>
      <c r="E43" s="282"/>
      <c r="F43" s="283"/>
      <c r="G43" s="3232"/>
    </row>
    <row r="44" spans="1:7" ht="13.5" customHeight="1">
      <c r="A44" s="951" t="s">
        <v>793</v>
      </c>
      <c r="B44" s="259" t="s">
        <v>2407</v>
      </c>
      <c r="C44" s="282">
        <f ca="1">ROUND(IF('数据-取费表'!B22&lt;=1,C40*F22*'数据-取费表'!B20/2,C40*(POWER((1+F22),'数据-取费表'!B20/2)-1)),4)</f>
        <v>1E-3</v>
      </c>
      <c r="D44" s="282"/>
      <c r="E44" s="282"/>
      <c r="F44" s="283"/>
      <c r="G44" s="3233"/>
    </row>
    <row r="45" spans="1:7" s="258" customFormat="1" ht="13.5" customHeight="1">
      <c r="A45" s="299" t="s">
        <v>2408</v>
      </c>
      <c r="B45" s="288" t="s">
        <v>2374</v>
      </c>
      <c r="C45" s="289">
        <f ca="1">C46</f>
        <v>26152702</v>
      </c>
      <c r="D45" s="279">
        <f ca="1">C47</f>
        <v>4.0000000000000001E-3</v>
      </c>
      <c r="E45" s="280" t="s">
        <v>2400</v>
      </c>
      <c r="F45" s="290"/>
      <c r="G45" s="291" t="s">
        <v>2409</v>
      </c>
    </row>
    <row r="46" spans="1:7" s="258" customFormat="1" ht="13.5" customHeight="1">
      <c r="A46" s="951" t="s">
        <v>791</v>
      </c>
      <c r="B46" s="292" t="s">
        <v>2410</v>
      </c>
      <c r="C46" s="293">
        <f ca="1">ROUND((C33+C39)*F27,0)</f>
        <v>26152702</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176812791</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136145849</v>
      </c>
      <c r="D51" s="276"/>
      <c r="E51" s="276"/>
      <c r="F51" s="308"/>
      <c r="G51" s="278" t="s">
        <v>2421</v>
      </c>
    </row>
    <row r="52" spans="1:7" s="252" customFormat="1" ht="16.5" thickBot="1">
      <c r="A52" s="309" t="s">
        <v>2422</v>
      </c>
      <c r="B52" s="310"/>
      <c r="C52" s="311">
        <f ca="1">C31+C51</f>
        <v>152158722</v>
      </c>
      <c r="D52" s="310"/>
      <c r="E52" s="310"/>
      <c r="F52" s="310"/>
      <c r="G52" s="312"/>
    </row>
    <row r="55" spans="1:7" ht="15">
      <c r="B55" s="314" t="s">
        <v>2423</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180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85779</v>
      </c>
      <c r="C2" s="2565" t="s">
        <v>2515</v>
      </c>
      <c r="D2" s="2566" t="s">
        <v>2516</v>
      </c>
      <c r="E2" s="2567">
        <f>SUM(E6:E13)</f>
        <v>29403.559999999998</v>
      </c>
    </row>
    <row r="3" spans="1:6" ht="15.75">
      <c r="A3" s="2563" t="s">
        <v>1390</v>
      </c>
      <c r="B3" s="2564">
        <f ca="1">ROUND(B2*10000/E2,0)</f>
        <v>29173</v>
      </c>
      <c r="C3" s="2565" t="s">
        <v>2523</v>
      </c>
      <c r="D3" s="2568"/>
      <c r="E3" s="2569"/>
    </row>
    <row r="4" spans="1:6" ht="15.75">
      <c r="A4" s="2570"/>
      <c r="B4" s="2568"/>
      <c r="C4" s="2568"/>
      <c r="D4" s="2568"/>
      <c r="E4" s="2569"/>
    </row>
    <row r="5" spans="1:6" ht="15">
      <c r="A5" s="2571" t="s">
        <v>2517</v>
      </c>
      <c r="B5" s="3234" t="s">
        <v>2518</v>
      </c>
      <c r="C5" s="3234"/>
      <c r="D5" s="2572"/>
      <c r="E5" s="2573" t="s">
        <v>2519</v>
      </c>
      <c r="F5" s="2574" t="s">
        <v>2520</v>
      </c>
    </row>
    <row r="6" spans="1:6">
      <c r="A6" s="2575" t="str">
        <f>'数据-取费表'!AN6</f>
        <v>收益法</v>
      </c>
      <c r="B6" s="2574">
        <f ca="1">IF(F6="是",'数据-取费表'!AO6,0)</f>
        <v>85779</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235" t="s">
        <v>1398</v>
      </c>
      <c r="C6" s="1296" t="e">
        <f ca="1">ROUND(F6*F8*F7*(1-F9)/10000,0)</f>
        <v>#N/A</v>
      </c>
      <c r="D6" s="164" t="s">
        <v>3027</v>
      </c>
      <c r="E6" s="347" t="s">
        <v>1400</v>
      </c>
      <c r="F6" s="348" t="e">
        <f ca="1">INDIRECT("'数据-取费表'!u"&amp;$G$1)</f>
        <v>#N/A</v>
      </c>
      <c r="G6" s="1850"/>
      <c r="H6" s="1291" t="s">
        <v>1032</v>
      </c>
      <c r="I6" s="3235" t="s">
        <v>1398</v>
      </c>
      <c r="J6" s="346" t="e">
        <f ca="1">ROUND(M6*M8*M7*(1-M9)/10000,0)</f>
        <v>#N/A</v>
      </c>
      <c r="K6" s="164" t="s">
        <v>3026</v>
      </c>
      <c r="L6" s="347" t="s">
        <v>1400</v>
      </c>
      <c r="M6" s="348" t="e">
        <f ca="1">INDIRECT("'数据-取费表'!z"&amp;$G$1)</f>
        <v>#N/A</v>
      </c>
    </row>
    <row r="7" spans="1:37" ht="18" customHeight="1">
      <c r="A7" s="1295"/>
      <c r="B7" s="3236"/>
      <c r="C7" s="1297"/>
      <c r="D7" s="352"/>
      <c r="E7" s="2960" t="s">
        <v>1401</v>
      </c>
      <c r="F7" s="348" t="e">
        <f ca="1">IF(INDIRECT("'数据-取费表'!ah"&amp;$G$1)="",INDIRECT("'数据-取费表'!k"&amp;$G$1),INDIRECT("'数据-取费表'!ah"&amp;$G$1))</f>
        <v>#N/A</v>
      </c>
      <c r="G7" s="1850"/>
      <c r="H7" s="349"/>
      <c r="I7" s="3236"/>
      <c r="J7" s="351"/>
      <c r="K7" s="352"/>
      <c r="L7" s="347" t="s">
        <v>1401</v>
      </c>
      <c r="M7" s="348" t="e">
        <f ca="1">F7</f>
        <v>#N/A</v>
      </c>
    </row>
    <row r="8" spans="1:37" ht="18" customHeight="1">
      <c r="A8" s="349"/>
      <c r="B8" s="3236"/>
      <c r="C8" s="351"/>
      <c r="D8" s="352"/>
      <c r="E8" s="347" t="s">
        <v>1402</v>
      </c>
      <c r="F8" s="348" t="e">
        <f ca="1">INDIRECT("'数据-取费表'!ai"&amp;$G$1)</f>
        <v>#N/A</v>
      </c>
      <c r="G8" s="1850"/>
      <c r="H8" s="349"/>
      <c r="I8" s="3236"/>
      <c r="J8" s="351"/>
      <c r="K8" s="352"/>
      <c r="L8" s="347" t="s">
        <v>1402</v>
      </c>
      <c r="M8" s="348" t="e">
        <f ca="1">INDIRECT("'数据-取费表'!ai"&amp;$G$1)</f>
        <v>#N/A</v>
      </c>
    </row>
    <row r="9" spans="1:37" ht="18" customHeight="1">
      <c r="A9" s="349"/>
      <c r="B9" s="3237"/>
      <c r="C9" s="351"/>
      <c r="D9" s="352"/>
      <c r="E9" s="347" t="s">
        <v>1403</v>
      </c>
      <c r="F9" s="357" t="e">
        <f ca="1">INDIRECT("'数据-取费表'!w"&amp;$G$1)</f>
        <v>#N/A</v>
      </c>
      <c r="G9" s="1850"/>
      <c r="H9" s="349"/>
      <c r="I9" s="3237"/>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180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238" t="s">
        <v>1543</v>
      </c>
      <c r="L53" s="3239"/>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25873.96</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33.31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85779</v>
      </c>
      <c r="C2" s="1844" t="s">
        <v>1511</v>
      </c>
      <c r="D2" s="1844"/>
      <c r="E2" s="1845"/>
      <c r="F2" s="1846"/>
      <c r="G2" s="1847"/>
      <c r="H2" s="1839"/>
      <c r="I2" s="1839"/>
      <c r="J2" s="1839"/>
      <c r="K2" s="1840"/>
      <c r="L2" s="1839"/>
      <c r="M2" s="1839"/>
    </row>
    <row r="3" spans="1:37" ht="18" customHeight="1" thickBot="1">
      <c r="A3" s="1848" t="s">
        <v>1512</v>
      </c>
      <c r="B3" s="1849">
        <f ca="1">IF(ISERROR(B2*10000/F43),0,ROUND(B2*10000/F43,0))</f>
        <v>29173</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5006</v>
      </c>
      <c r="D5" s="1821" t="s">
        <v>1397</v>
      </c>
      <c r="E5" s="1293"/>
      <c r="F5" s="1294"/>
      <c r="G5" s="1850"/>
      <c r="H5" s="344">
        <v>1</v>
      </c>
      <c r="I5" s="345" t="s">
        <v>1396</v>
      </c>
      <c r="J5" s="1292">
        <f ca="1">J6+J10+J12</f>
        <v>0</v>
      </c>
      <c r="K5" s="1821" t="s">
        <v>1397</v>
      </c>
      <c r="L5" s="1293"/>
      <c r="M5" s="1294"/>
    </row>
    <row r="6" spans="1:37" ht="18" customHeight="1">
      <c r="A6" s="1291" t="s">
        <v>1032</v>
      </c>
      <c r="B6" s="3235" t="s">
        <v>1398</v>
      </c>
      <c r="C6" s="1296">
        <f ca="1">ROUND(F6*F8*F7*(1-F9)/10000,0)</f>
        <v>5000</v>
      </c>
      <c r="D6" s="164" t="s">
        <v>3027</v>
      </c>
      <c r="E6" s="347" t="s">
        <v>1400</v>
      </c>
      <c r="F6" s="348">
        <f ca="1">INDIRECT("'数据-取费表'!u"&amp;$G$1)</f>
        <v>50000000</v>
      </c>
      <c r="G6" s="1850"/>
      <c r="H6" s="1291" t="s">
        <v>1032</v>
      </c>
      <c r="I6" s="3235" t="s">
        <v>1398</v>
      </c>
      <c r="J6" s="346">
        <f ca="1">ROUND(M6*M8*M7*(1-M9)/10000,0)</f>
        <v>0</v>
      </c>
      <c r="K6" s="164" t="s">
        <v>3026</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1</v>
      </c>
      <c r="G7" s="1850"/>
      <c r="H7" s="349"/>
      <c r="I7" s="3236"/>
      <c r="J7" s="351"/>
      <c r="K7" s="352"/>
      <c r="L7" s="347" t="s">
        <v>1401</v>
      </c>
      <c r="M7" s="348">
        <f ca="1">F7</f>
        <v>1</v>
      </c>
    </row>
    <row r="8" spans="1:37" ht="18" customHeight="1">
      <c r="A8" s="349"/>
      <c r="B8" s="3236"/>
      <c r="C8" s="351"/>
      <c r="D8" s="352"/>
      <c r="E8" s="347" t="s">
        <v>1402</v>
      </c>
      <c r="F8" s="348">
        <f ca="1">INDIRECT("'数据-取费表'!ai"&amp;$G$1)</f>
        <v>1</v>
      </c>
      <c r="G8" s="1850"/>
      <c r="H8" s="349"/>
      <c r="I8" s="3236"/>
      <c r="J8" s="351"/>
      <c r="K8" s="352"/>
      <c r="L8" s="347" t="s">
        <v>1402</v>
      </c>
      <c r="M8" s="348">
        <f ca="1">INDIRECT("'数据-取费表'!ai"&amp;$G$1)</f>
        <v>1</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6</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13613</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17679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328</v>
      </c>
      <c r="K16" s="1337" t="s">
        <v>1420</v>
      </c>
      <c r="L16" s="1338"/>
      <c r="M16" s="1294"/>
    </row>
    <row r="17" spans="1:37" s="1857" customFormat="1" ht="18" customHeight="1">
      <c r="A17" s="1201" t="s">
        <v>1385</v>
      </c>
      <c r="B17" s="347" t="s">
        <v>1421</v>
      </c>
      <c r="C17" s="24">
        <f ca="1">ROUND(F17*(F43+INDIRECT("'数据-取费表'!S"&amp;$G$1))/10000,0)</f>
        <v>529</v>
      </c>
      <c r="D17" s="347" t="s">
        <v>1422</v>
      </c>
      <c r="E17" s="347" t="s">
        <v>1423</v>
      </c>
      <c r="F17" s="26">
        <f>'数据-取费表'!B35</f>
        <v>180</v>
      </c>
      <c r="G17" s="1853"/>
      <c r="H17" s="1201" t="s">
        <v>1032</v>
      </c>
      <c r="I17" s="347" t="s">
        <v>1424</v>
      </c>
      <c r="J17" s="24">
        <f ca="1">ROUND(IF(项目基本情况!B11="自然人",J6*M17/(1+'数据-取费表'!C42),J18+J19+J20),1)</f>
        <v>151.1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12819</v>
      </c>
      <c r="D19" s="140" t="s">
        <v>1431</v>
      </c>
      <c r="E19" s="1817"/>
      <c r="F19" s="26"/>
      <c r="G19" s="1850"/>
      <c r="H19" s="1201" t="s">
        <v>1033</v>
      </c>
      <c r="I19" s="347" t="s">
        <v>1432</v>
      </c>
      <c r="J19" s="24">
        <f ca="1">IF(K19="按租金收入计税",ROUND(J6*M19/(1+'数据-取费表'!C42),2),ROUND(C29*M19*0.7,2))</f>
        <v>148.5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256</v>
      </c>
      <c r="D20" s="369" t="s">
        <v>1435</v>
      </c>
      <c r="E20" s="347" t="s">
        <v>1417</v>
      </c>
      <c r="F20" s="367">
        <f>'数据-取费表'!B37</f>
        <v>0.02</v>
      </c>
      <c r="G20" s="1853"/>
      <c r="H20" s="1201" t="s">
        <v>1384</v>
      </c>
      <c r="I20" s="164" t="s">
        <v>1436</v>
      </c>
      <c r="J20" s="25">
        <f ca="1">ROUND(M20*M21/10000,2)</f>
        <v>2.59</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176.8</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621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-328</v>
      </c>
      <c r="K25" s="1345" t="s">
        <v>1459</v>
      </c>
      <c r="L25" s="1346"/>
      <c r="M25" s="1347"/>
    </row>
    <row r="26" spans="1:37">
      <c r="A26" s="1201" t="s">
        <v>1031</v>
      </c>
      <c r="B26" s="347" t="s">
        <v>1460</v>
      </c>
      <c r="C26" s="24">
        <f ca="1">ROUND((C19+C20)*F26,0)</f>
        <v>2615</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17679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1108</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835.9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261.89999999999998</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571.42999999999995</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2.59</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1</v>
      </c>
      <c r="G35" s="1850"/>
      <c r="H35" s="745"/>
      <c r="I35" s="1859"/>
      <c r="J35" s="1860"/>
      <c r="K35" s="1861"/>
      <c r="L35" s="1858"/>
      <c r="M35" s="1858"/>
    </row>
    <row r="36" spans="1:18" ht="18" customHeight="1">
      <c r="A36" s="1352" t="s">
        <v>1036</v>
      </c>
      <c r="B36" s="347" t="s">
        <v>1444</v>
      </c>
      <c r="C36" s="24">
        <f ca="1">ROUND(C29*F36,1)</f>
        <v>176.8</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20.399999999999999</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75.099999999999994</v>
      </c>
      <c r="D38" s="1342" t="s">
        <v>1454</v>
      </c>
      <c r="E38" s="1340" t="s">
        <v>1450</v>
      </c>
      <c r="F38" s="1336">
        <f ca="1">INDIRECT("'数据-取费表'!Am"&amp;$G$1)</f>
        <v>1.4999999999999999E-2</v>
      </c>
      <c r="G38" s="1850"/>
      <c r="H38" s="1858"/>
      <c r="I38" s="1859"/>
      <c r="J38" s="1860"/>
      <c r="K38" s="1864"/>
      <c r="L38" s="1858"/>
      <c r="M38" s="1858"/>
    </row>
    <row r="39" spans="1:18" ht="24.6" customHeight="1" thickTop="1">
      <c r="A39" s="1329" t="s">
        <v>1028</v>
      </c>
      <c r="B39" s="1344" t="s">
        <v>1478</v>
      </c>
      <c r="C39" s="355">
        <f ca="1">C5-C30</f>
        <v>3898</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85779</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33.31</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29173</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-111267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85779</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33.31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17679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46851</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33.31</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33.31</v>
      </c>
      <c r="K53" s="3238" t="s">
        <v>1543</v>
      </c>
      <c r="L53" s="3239"/>
      <c r="O53" s="1883" t="s">
        <v>1043</v>
      </c>
      <c r="P53" s="1884" t="s">
        <v>1544</v>
      </c>
      <c r="Q53" s="1885">
        <f ca="1">Q47+Q48</f>
        <v>85779</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13613</v>
      </c>
      <c r="D56" s="1912"/>
      <c r="E56" s="1913"/>
      <c r="F56" s="1905"/>
      <c r="I56" s="1914" t="s">
        <v>1549</v>
      </c>
      <c r="J56" s="1915" t="s">
        <v>3075</v>
      </c>
      <c r="K56" s="1886" t="s">
        <v>1550</v>
      </c>
      <c r="L56" s="1889" t="str">
        <f ca="1">IF(L48&lt;J51,"——",L48-J53)</f>
        <v>——</v>
      </c>
      <c r="O56" s="1883" t="s">
        <v>1037</v>
      </c>
      <c r="P56" s="1884" t="s">
        <v>1523</v>
      </c>
      <c r="Q56" s="1885">
        <f ca="1">C40+J29</f>
        <v>85779</v>
      </c>
      <c r="R56" s="1885" t="s">
        <v>1524</v>
      </c>
    </row>
    <row r="57" spans="1:18" s="1841" customFormat="1" ht="24.75" thickBot="1">
      <c r="A57" s="1916"/>
      <c r="B57" s="1169" t="s">
        <v>1473</v>
      </c>
      <c r="C57" s="282">
        <f ca="1">C29</f>
        <v>17679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1685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1487.6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1485.04</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2.59</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f ca="1">Q56+Q57</f>
        <v>85779</v>
      </c>
      <c r="R62" s="1885" t="s">
        <v>1044</v>
      </c>
    </row>
    <row r="63" spans="1:18" s="1841" customFormat="1" ht="13.5" thickBot="1">
      <c r="A63" s="372"/>
      <c r="B63" s="1175"/>
      <c r="C63" s="29"/>
      <c r="D63" s="1185"/>
      <c r="E63" s="1169" t="s">
        <v>1494</v>
      </c>
      <c r="F63" s="348">
        <f t="shared" ca="1" si="0"/>
        <v>1</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176.8</v>
      </c>
      <c r="D64" s="1183" t="s">
        <v>1497</v>
      </c>
      <c r="E64" s="1169"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20.399999999999999</v>
      </c>
      <c r="D65" s="1183" t="s">
        <v>1449</v>
      </c>
      <c r="E65" s="1169" t="s">
        <v>1450</v>
      </c>
      <c r="F65" s="376">
        <f t="shared" ca="1" si="0"/>
        <v>1.5E-3</v>
      </c>
      <c r="I65" s="1927" t="s">
        <v>1574</v>
      </c>
      <c r="J65" s="1928">
        <v>40</v>
      </c>
      <c r="K65" s="1928">
        <v>30</v>
      </c>
      <c r="L65" s="1928">
        <v>50</v>
      </c>
      <c r="M65" s="1930">
        <v>0.02</v>
      </c>
      <c r="O65" s="1883" t="s">
        <v>1037</v>
      </c>
      <c r="P65" s="1884" t="s">
        <v>1575</v>
      </c>
      <c r="Q65" s="1885">
        <f ca="1">C40+J29</f>
        <v>85779</v>
      </c>
      <c r="R65" s="1885" t="s">
        <v>1524</v>
      </c>
    </row>
    <row r="66" spans="1:18" s="1841" customFormat="1" ht="16.5"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-1685</v>
      </c>
      <c r="D67" s="1182" t="s">
        <v>1459</v>
      </c>
      <c r="E67" s="1187"/>
      <c r="F67" s="1188"/>
      <c r="O67" s="1893" t="s">
        <v>1039</v>
      </c>
      <c r="P67" s="1884" t="s">
        <v>1557</v>
      </c>
      <c r="Q67" s="1931">
        <f ca="1">L51</f>
        <v>46851</v>
      </c>
      <c r="R67" s="1885" t="s">
        <v>1577</v>
      </c>
    </row>
    <row r="68" spans="1:18" s="1841" customFormat="1" ht="16.5" thickBot="1">
      <c r="A68" s="1166" t="s">
        <v>1029</v>
      </c>
      <c r="B68" s="1167" t="s">
        <v>1480</v>
      </c>
      <c r="C68" s="346">
        <f ca="1">ROUND(C67*(1-((1+F70)/(1+F68))^F69)/(F68-F70),0)</f>
        <v>-25488</v>
      </c>
      <c r="D68" s="1184" t="s">
        <v>1464</v>
      </c>
      <c r="E68" s="1169" t="s">
        <v>1465</v>
      </c>
      <c r="F68" s="357">
        <f ca="1">F40</f>
        <v>5.5E-2</v>
      </c>
      <c r="O68" s="1893" t="s">
        <v>1040</v>
      </c>
      <c r="P68" s="1932" t="s">
        <v>1578</v>
      </c>
      <c r="Q68" s="1885">
        <f ca="1">ROUND(Q69-Q70*Q71,0)</f>
        <v>2741</v>
      </c>
      <c r="R68" s="1885" t="s">
        <v>1048</v>
      </c>
    </row>
    <row r="69" spans="1:18" s="1841" customFormat="1" ht="13.5" thickBot="1">
      <c r="A69" s="1170"/>
      <c r="B69" s="1171"/>
      <c r="C69" s="351"/>
      <c r="D69" s="1189" t="s">
        <v>1468</v>
      </c>
      <c r="E69" s="1169" t="s">
        <v>1469</v>
      </c>
      <c r="F69" s="379">
        <f ca="1">F41</f>
        <v>33.31</v>
      </c>
      <c r="O69" s="1893" t="s">
        <v>1045</v>
      </c>
      <c r="P69" s="1932" t="s">
        <v>1579</v>
      </c>
      <c r="Q69" s="1885">
        <f ca="1">C39</f>
        <v>3898</v>
      </c>
      <c r="R69" s="1885" t="s">
        <v>1524</v>
      </c>
    </row>
    <row r="70" spans="1:18" s="1841" customFormat="1" ht="13.5" thickBot="1">
      <c r="A70" s="1173"/>
      <c r="B70" s="1174"/>
      <c r="C70" s="355"/>
      <c r="D70" s="1185"/>
      <c r="E70" s="1169" t="s">
        <v>1472</v>
      </c>
      <c r="F70" s="1275"/>
      <c r="O70" s="1893" t="s">
        <v>1046</v>
      </c>
      <c r="P70" s="1932" t="s">
        <v>1580</v>
      </c>
      <c r="Q70" s="1885">
        <f ca="1">C13</f>
        <v>13613</v>
      </c>
      <c r="R70" s="1885" t="s">
        <v>1524</v>
      </c>
    </row>
    <row r="71" spans="1:18" s="1841" customFormat="1" ht="13.5" thickBot="1">
      <c r="A71" s="1190" t="s">
        <v>1030</v>
      </c>
      <c r="B71" s="1191" t="s">
        <v>1482</v>
      </c>
      <c r="C71" s="382">
        <f ca="1">ROUND(C68*10000/F71,0)</f>
        <v>-8668</v>
      </c>
      <c r="D71" s="1192" t="s">
        <v>1483</v>
      </c>
      <c r="E71" s="1193" t="s">
        <v>1484</v>
      </c>
      <c r="F71" s="385">
        <f ca="1">F43</f>
        <v>29403.559999999998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1157</v>
      </c>
      <c r="D75" s="1841"/>
      <c r="E75" s="1841"/>
      <c r="F75" s="1841"/>
      <c r="K75" s="1867"/>
      <c r="L75" s="1841"/>
      <c r="O75" s="1883" t="s">
        <v>1043</v>
      </c>
      <c r="P75" s="1884" t="s">
        <v>1544</v>
      </c>
      <c r="Q75" s="1885">
        <f ca="1">Q65+Q66</f>
        <v>85779</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0.70300000000000007</v>
      </c>
    </row>
    <row r="80" spans="1:18">
      <c r="B80" s="386" t="s">
        <v>1506</v>
      </c>
      <c r="C80" s="318">
        <f ca="1">ROUND(C75/C39,3)</f>
        <v>0.29699999999999999</v>
      </c>
    </row>
    <row r="81" spans="2:3">
      <c r="B81" s="314" t="s">
        <v>1507</v>
      </c>
      <c r="C81" s="282"/>
    </row>
    <row r="82" spans="2:3">
      <c r="B82" s="317" t="s">
        <v>1508</v>
      </c>
      <c r="C82" s="319">
        <f ca="1">1-C83</f>
        <v>0.84099999999999997</v>
      </c>
    </row>
    <row r="83" spans="2:3">
      <c r="B83" s="317" t="s">
        <v>1509</v>
      </c>
      <c r="C83" s="318">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35" t="s">
        <v>1398</v>
      </c>
      <c r="C6" s="1296">
        <f ca="1">ROUND(F6*F8*F7*(1-F9),0)</f>
        <v>0</v>
      </c>
      <c r="D6" s="164" t="s">
        <v>3024</v>
      </c>
      <c r="E6" s="347" t="s">
        <v>1400</v>
      </c>
      <c r="F6" s="348">
        <f ca="1">INDIRECT("'数据-取费表'!u"&amp;$G$1)</f>
        <v>0</v>
      </c>
      <c r="G6" s="1850"/>
      <c r="H6" s="1291" t="s">
        <v>1032</v>
      </c>
      <c r="I6" s="3235" t="s">
        <v>1398</v>
      </c>
      <c r="J6" s="346">
        <f ca="1">ROUND(M6*M8*M7*(1-M9),0)</f>
        <v>0</v>
      </c>
      <c r="K6" s="1833" t="s">
        <v>3025</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0</v>
      </c>
      <c r="G7" s="1850"/>
      <c r="H7" s="349"/>
      <c r="I7" s="3236"/>
      <c r="J7" s="351"/>
      <c r="K7" s="352"/>
      <c r="L7" s="347" t="s">
        <v>1401</v>
      </c>
      <c r="M7" s="348">
        <f ca="1">F7</f>
        <v>0</v>
      </c>
    </row>
    <row r="8" spans="1:37" ht="18" customHeight="1">
      <c r="A8" s="349"/>
      <c r="B8" s="3236"/>
      <c r="C8" s="351"/>
      <c r="D8" s="352"/>
      <c r="E8" s="347" t="s">
        <v>1402</v>
      </c>
      <c r="F8" s="348">
        <f ca="1">INDIRECT("'数据-取费表'!ai"&amp;$G$1)</f>
        <v>0</v>
      </c>
      <c r="G8" s="1850"/>
      <c r="H8" s="349"/>
      <c r="I8" s="3236"/>
      <c r="J8" s="351"/>
      <c r="K8" s="352"/>
      <c r="L8" s="347" t="s">
        <v>1402</v>
      </c>
      <c r="M8" s="348">
        <f ca="1">INDIRECT("'数据-取费表'!ai"&amp;$G$1)</f>
        <v>0</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180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238" t="s">
        <v>1543</v>
      </c>
      <c r="L53" s="323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46" t="s">
        <v>1074</v>
      </c>
      <c r="B2" s="3247" t="s">
        <v>1075</v>
      </c>
      <c r="C2" s="3247"/>
      <c r="D2" s="1301" t="s">
        <v>1076</v>
      </c>
      <c r="E2" s="1301" t="s">
        <v>1077</v>
      </c>
      <c r="F2" s="1301" t="s">
        <v>1078</v>
      </c>
      <c r="G2" s="1301" t="s">
        <v>1079</v>
      </c>
      <c r="H2" s="1301" t="s">
        <v>1080</v>
      </c>
      <c r="I2" s="1302" t="s">
        <v>1081</v>
      </c>
    </row>
    <row r="3" spans="1:9">
      <c r="A3" s="3246"/>
      <c r="B3" s="3247" t="s">
        <v>1082</v>
      </c>
      <c r="C3" s="3247"/>
      <c r="D3" s="1303"/>
      <c r="E3" s="1301"/>
      <c r="F3" s="1304"/>
      <c r="G3" s="1304"/>
      <c r="H3" s="1305"/>
      <c r="I3" s="1306">
        <f>ROUND(D3*E3*F3*G3*H3/10000,0)</f>
        <v>0</v>
      </c>
    </row>
    <row r="4" spans="1:9">
      <c r="A4" s="3246"/>
      <c r="B4" s="3247" t="s">
        <v>1083</v>
      </c>
      <c r="C4" s="3247"/>
      <c r="D4" s="1303"/>
      <c r="E4" s="1301"/>
      <c r="F4" s="1304"/>
      <c r="G4" s="1304"/>
      <c r="H4" s="1305"/>
      <c r="I4" s="1306">
        <f t="shared" ref="I4:I9" si="0">ROUND(D4*E4*F4*G4*H4/10000,0)</f>
        <v>0</v>
      </c>
    </row>
    <row r="5" spans="1:9">
      <c r="A5" s="3246"/>
      <c r="B5" s="3247" t="s">
        <v>1084</v>
      </c>
      <c r="C5" s="3247"/>
      <c r="D5" s="1303"/>
      <c r="E5" s="1301"/>
      <c r="F5" s="1304"/>
      <c r="G5" s="1304"/>
      <c r="H5" s="1305"/>
      <c r="I5" s="1306">
        <f t="shared" si="0"/>
        <v>0</v>
      </c>
    </row>
    <row r="6" spans="1:9">
      <c r="A6" s="3246"/>
      <c r="B6" s="3247" t="s">
        <v>1085</v>
      </c>
      <c r="C6" s="3247"/>
      <c r="D6" s="1303"/>
      <c r="E6" s="1301"/>
      <c r="F6" s="1304"/>
      <c r="G6" s="1304"/>
      <c r="H6" s="1305"/>
      <c r="I6" s="1306">
        <f t="shared" si="0"/>
        <v>0</v>
      </c>
    </row>
    <row r="7" spans="1:9">
      <c r="A7" s="3246"/>
      <c r="B7" s="3247" t="s">
        <v>1086</v>
      </c>
      <c r="C7" s="3247"/>
      <c r="D7" s="1303"/>
      <c r="E7" s="1301"/>
      <c r="F7" s="1304"/>
      <c r="G7" s="1304"/>
      <c r="H7" s="1305"/>
      <c r="I7" s="1306">
        <f t="shared" si="0"/>
        <v>0</v>
      </c>
    </row>
    <row r="8" spans="1:9">
      <c r="A8" s="3246"/>
      <c r="B8" s="3247" t="s">
        <v>1087</v>
      </c>
      <c r="C8" s="3247"/>
      <c r="D8" s="1303"/>
      <c r="E8" s="1301"/>
      <c r="F8" s="1304"/>
      <c r="G8" s="1304"/>
      <c r="H8" s="1305"/>
      <c r="I8" s="1306">
        <f t="shared" si="0"/>
        <v>0</v>
      </c>
    </row>
    <row r="9" spans="1:9">
      <c r="A9" s="3246"/>
      <c r="B9" s="3247" t="s">
        <v>1088</v>
      </c>
      <c r="C9" s="3247"/>
      <c r="D9" s="1303"/>
      <c r="E9" s="1301"/>
      <c r="F9" s="1304"/>
      <c r="G9" s="1304"/>
      <c r="H9" s="1305"/>
      <c r="I9" s="1306">
        <f t="shared" si="0"/>
        <v>0</v>
      </c>
    </row>
    <row r="10" spans="1:9">
      <c r="A10" s="3246"/>
      <c r="B10" s="3248" t="s">
        <v>1089</v>
      </c>
      <c r="C10" s="3248"/>
      <c r="D10" s="1307"/>
      <c r="E10" s="1307" t="e">
        <f>ROUND(D1*10000/D10/H9,0)</f>
        <v>#DIV/0!</v>
      </c>
      <c r="F10" s="1308"/>
      <c r="G10" s="1308"/>
      <c r="H10" s="1309"/>
      <c r="I10" s="1310">
        <f>SUM(I3:I9)</f>
        <v>0</v>
      </c>
    </row>
    <row r="11" spans="1:9" ht="14.25">
      <c r="A11" s="3246" t="s">
        <v>1090</v>
      </c>
      <c r="B11" s="3247" t="s">
        <v>1091</v>
      </c>
      <c r="C11" s="3247"/>
      <c r="D11" s="1303" t="s">
        <v>1092</v>
      </c>
      <c r="E11" s="1303" t="s">
        <v>1093</v>
      </c>
      <c r="F11" s="1304" t="s">
        <v>1094</v>
      </c>
      <c r="G11" s="1304" t="s">
        <v>1080</v>
      </c>
      <c r="H11" s="1311" t="s">
        <v>1095</v>
      </c>
      <c r="I11" s="1302" t="s">
        <v>1081</v>
      </c>
    </row>
    <row r="12" spans="1:9">
      <c r="A12" s="3246"/>
      <c r="B12" s="3247" t="s">
        <v>1096</v>
      </c>
      <c r="C12" s="3247"/>
      <c r="D12" s="1303"/>
      <c r="E12" s="1303"/>
      <c r="F12" s="1304"/>
      <c r="G12" s="1305"/>
      <c r="H12" s="1312"/>
      <c r="I12" s="1302">
        <f>ROUND(D12*E12*F12*G12/10000,0)</f>
        <v>0</v>
      </c>
    </row>
    <row r="13" spans="1:9">
      <c r="A13" s="3246"/>
      <c r="B13" s="3247" t="s">
        <v>1097</v>
      </c>
      <c r="C13" s="3247"/>
      <c r="D13" s="1303"/>
      <c r="E13" s="1303"/>
      <c r="F13" s="1304"/>
      <c r="G13" s="1305"/>
      <c r="H13" s="1312"/>
      <c r="I13" s="1302">
        <f>ROUND(D13*E13*F13*G13/10000,0)</f>
        <v>0</v>
      </c>
    </row>
    <row r="14" spans="1:9">
      <c r="A14" s="3246"/>
      <c r="B14" s="3247" t="s">
        <v>1098</v>
      </c>
      <c r="C14" s="3247"/>
      <c r="D14" s="1303"/>
      <c r="E14" s="1303"/>
      <c r="F14" s="1304"/>
      <c r="G14" s="1305"/>
      <c r="H14" s="1312"/>
      <c r="I14" s="1302">
        <f>ROUND(D14*E14*F14*G14/10000,0)</f>
        <v>0</v>
      </c>
    </row>
    <row r="15" spans="1:9">
      <c r="A15" s="3246"/>
      <c r="B15" s="3248" t="s">
        <v>1089</v>
      </c>
      <c r="C15" s="3248"/>
      <c r="D15" s="1307"/>
      <c r="E15" s="1307">
        <f>SUM(E12:E14)</f>
        <v>0</v>
      </c>
      <c r="F15" s="1308"/>
      <c r="G15" s="1305"/>
      <c r="H15" s="1312"/>
      <c r="I15" s="1313">
        <f>SUM(I12:I14)</f>
        <v>0</v>
      </c>
    </row>
    <row r="16" spans="1:9" ht="24">
      <c r="A16" s="3246" t="s">
        <v>1099</v>
      </c>
      <c r="B16" s="3247" t="s">
        <v>1100</v>
      </c>
      <c r="C16" s="3247"/>
      <c r="D16" s="1303" t="s">
        <v>1076</v>
      </c>
      <c r="E16" s="1314" t="s">
        <v>1101</v>
      </c>
      <c r="F16" s="1304" t="s">
        <v>1102</v>
      </c>
      <c r="G16" s="1305" t="s">
        <v>1080</v>
      </c>
      <c r="H16" s="1311" t="s">
        <v>1095</v>
      </c>
      <c r="I16" s="1302" t="s">
        <v>1081</v>
      </c>
    </row>
    <row r="17" spans="1:9" ht="14.25">
      <c r="A17" s="3246"/>
      <c r="B17" s="3247" t="s">
        <v>1103</v>
      </c>
      <c r="C17" s="3247"/>
      <c r="D17" s="1303"/>
      <c r="E17" s="1303"/>
      <c r="F17" s="1304"/>
      <c r="G17" s="1305"/>
      <c r="H17" s="1315"/>
      <c r="I17" s="1316">
        <f>ROUND(D17*E17*F17*G17/10000,0)</f>
        <v>0</v>
      </c>
    </row>
    <row r="18" spans="1:9" ht="14.25">
      <c r="A18" s="3246"/>
      <c r="B18" s="3247" t="s">
        <v>1104</v>
      </c>
      <c r="C18" s="3247"/>
      <c r="D18" s="1303"/>
      <c r="E18" s="1303"/>
      <c r="F18" s="1304"/>
      <c r="G18" s="1305"/>
      <c r="H18" s="1315"/>
      <c r="I18" s="1316">
        <f>ROUND(D18*E18*F18*G18/10000,0)</f>
        <v>0</v>
      </c>
    </row>
    <row r="19" spans="1:9" ht="14.25">
      <c r="A19" s="3246"/>
      <c r="B19" s="3247" t="s">
        <v>1105</v>
      </c>
      <c r="C19" s="3247"/>
      <c r="D19" s="1303"/>
      <c r="E19" s="1303"/>
      <c r="F19" s="1304"/>
      <c r="G19" s="1305"/>
      <c r="H19" s="1315"/>
      <c r="I19" s="1316">
        <f>ROUND(D19*E19*F19*G19/10000,0)</f>
        <v>0</v>
      </c>
    </row>
    <row r="20" spans="1:9">
      <c r="A20" s="3246"/>
      <c r="B20" s="3248" t="s">
        <v>1089</v>
      </c>
      <c r="C20" s="3248"/>
      <c r="D20" s="1307">
        <f>SUM(D17:D19)</f>
        <v>0</v>
      </c>
      <c r="E20" s="1307"/>
      <c r="F20" s="1308"/>
      <c r="G20" s="1305"/>
      <c r="H20" s="1312"/>
      <c r="I20" s="1313">
        <f>SUM(I17:I19)</f>
        <v>0</v>
      </c>
    </row>
    <row r="21" spans="1:9">
      <c r="A21" s="3246" t="s">
        <v>1106</v>
      </c>
      <c r="B21" s="3249"/>
      <c r="C21" s="3249"/>
      <c r="D21" s="3249"/>
      <c r="E21" s="3249"/>
      <c r="F21" s="3249"/>
      <c r="G21" s="3249"/>
      <c r="H21" s="1764">
        <v>0.1</v>
      </c>
      <c r="I21" s="1310">
        <f>ROUND(I10*H21,0)</f>
        <v>0</v>
      </c>
    </row>
    <row r="22" spans="1:9" ht="14.25">
      <c r="A22" s="3250" t="s">
        <v>1107</v>
      </c>
      <c r="B22" s="3251"/>
      <c r="C22" s="3252"/>
      <c r="D22" s="1317" t="s">
        <v>1108</v>
      </c>
      <c r="E22" s="1317" t="s">
        <v>1109</v>
      </c>
      <c r="F22" s="1318" t="s">
        <v>1110</v>
      </c>
      <c r="G22" s="1318" t="s">
        <v>1111</v>
      </c>
      <c r="H22" s="1311" t="s">
        <v>1112</v>
      </c>
      <c r="I22" s="1302" t="s">
        <v>1113</v>
      </c>
    </row>
    <row r="23" spans="1:9" ht="14.25" thickBot="1">
      <c r="A23" s="3253"/>
      <c r="B23" s="3254"/>
      <c r="C23" s="3255"/>
      <c r="D23" s="1319"/>
      <c r="E23" s="1319"/>
      <c r="F23" s="1319"/>
      <c r="G23" s="1320"/>
      <c r="H23" s="1321"/>
      <c r="I23" s="1322">
        <f>ROUND(E23*D23*F23*(1-G23)/10000,0)</f>
        <v>0</v>
      </c>
    </row>
    <row r="26" spans="1:9">
      <c r="A26" s="1323" t="s">
        <v>1114</v>
      </c>
      <c r="B26" s="1323"/>
      <c r="C26" s="1323"/>
      <c r="D26" s="1323"/>
      <c r="E26" s="3243">
        <f>C27-C30-C31-C32</f>
        <v>0</v>
      </c>
      <c r="F26" s="3243"/>
      <c r="G26" s="3243"/>
      <c r="H26" s="1736" t="s">
        <v>1336</v>
      </c>
    </row>
    <row r="27" spans="1:9">
      <c r="A27" s="1324">
        <v>1</v>
      </c>
      <c r="B27" s="1325" t="s">
        <v>1115</v>
      </c>
      <c r="C27" s="1325">
        <f>C28+C29</f>
        <v>0</v>
      </c>
      <c r="D27" s="1325"/>
      <c r="E27" s="3244"/>
      <c r="F27" s="3244"/>
      <c r="G27" s="3244"/>
    </row>
    <row r="28" spans="1:9">
      <c r="A28" s="1326" t="s">
        <v>1116</v>
      </c>
      <c r="B28" s="1325" t="s">
        <v>1117</v>
      </c>
      <c r="C28" s="1325"/>
      <c r="D28" s="1325"/>
      <c r="E28" s="3244"/>
      <c r="F28" s="3244"/>
      <c r="G28" s="324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5"/>
      <c r="F32" s="3245"/>
      <c r="G32" s="3245"/>
    </row>
    <row r="33" spans="1:7" hidden="1">
      <c r="A33" s="3240" t="s">
        <v>1126</v>
      </c>
      <c r="B33" s="3241"/>
      <c r="C33" s="3241"/>
      <c r="D33" s="3242"/>
      <c r="E33" s="3243"/>
      <c r="F33" s="3243"/>
      <c r="G33" s="3243"/>
    </row>
    <row r="34" spans="1:7" hidden="1">
      <c r="A34" s="1328">
        <v>1</v>
      </c>
      <c r="B34" s="1325" t="s">
        <v>1127</v>
      </c>
      <c r="C34" s="1325"/>
      <c r="D34" s="1325"/>
      <c r="E34" s="3244"/>
      <c r="F34" s="3244"/>
      <c r="G34" s="3244"/>
    </row>
    <row r="35" spans="1:7" hidden="1">
      <c r="A35" s="1328">
        <v>2</v>
      </c>
      <c r="B35" s="1325" t="s">
        <v>1128</v>
      </c>
      <c r="C35" s="1325"/>
      <c r="D35" s="1325"/>
      <c r="E35" s="3244"/>
      <c r="F35" s="3244"/>
      <c r="G35" s="3244"/>
    </row>
    <row r="36" spans="1:7" hidden="1">
      <c r="A36" s="1328">
        <v>3</v>
      </c>
      <c r="B36" s="1325" t="s">
        <v>1129</v>
      </c>
      <c r="C36" s="1325"/>
      <c r="D36" s="1325"/>
      <c r="E36" s="3244"/>
      <c r="F36" s="3244"/>
      <c r="G36" s="3244"/>
    </row>
    <row r="37" spans="1:7" hidden="1">
      <c r="A37" s="1328">
        <v>4</v>
      </c>
      <c r="B37" s="1325" t="s">
        <v>1130</v>
      </c>
      <c r="C37" s="1325"/>
      <c r="D37" s="1325"/>
      <c r="E37" s="3244"/>
      <c r="F37" s="3244"/>
      <c r="G37" s="3244"/>
    </row>
    <row r="38" spans="1:7" hidden="1">
      <c r="A38" s="3240" t="s">
        <v>1131</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91" t="s">
        <v>2532</v>
      </c>
      <c r="D4" s="3204"/>
      <c r="E4" s="3205" t="s">
        <v>2533</v>
      </c>
      <c r="F4" s="3206"/>
      <c r="G4" s="3191" t="s">
        <v>2534</v>
      </c>
      <c r="H4" s="3204"/>
      <c r="I4" s="3191" t="s">
        <v>2535</v>
      </c>
      <c r="J4" s="3204"/>
      <c r="K4" s="2595" t="s">
        <v>2536</v>
      </c>
      <c r="L4" s="1130"/>
      <c r="M4" s="1131"/>
      <c r="N4" s="1131"/>
      <c r="O4" s="1131"/>
      <c r="P4" s="3207" t="s">
        <v>2537</v>
      </c>
      <c r="Q4" s="3208"/>
      <c r="R4" s="3213" t="s">
        <v>2533</v>
      </c>
      <c r="S4" s="3214"/>
      <c r="T4" s="3213" t="s">
        <v>2534</v>
      </c>
      <c r="U4" s="3214"/>
      <c r="V4" s="3200" t="s">
        <v>2535</v>
      </c>
      <c r="W4" s="3200"/>
      <c r="X4" s="1812"/>
      <c r="Y4" s="3213" t="s">
        <v>2537</v>
      </c>
      <c r="Z4" s="3214"/>
      <c r="AA4" s="3201" t="s">
        <v>2533</v>
      </c>
      <c r="AB4" s="3201" t="s">
        <v>2534</v>
      </c>
      <c r="AC4" s="3201" t="s">
        <v>2535</v>
      </c>
    </row>
    <row r="5" spans="1:29" ht="15">
      <c r="A5" s="404"/>
      <c r="B5" s="405"/>
      <c r="C5" s="3221" t="s">
        <v>2538</v>
      </c>
      <c r="D5" s="3222"/>
      <c r="E5" s="3229" t="s">
        <v>2539</v>
      </c>
      <c r="F5" s="3230"/>
      <c r="G5" s="3221" t="s">
        <v>2540</v>
      </c>
      <c r="H5" s="3222"/>
      <c r="I5" s="3221" t="s">
        <v>2541</v>
      </c>
      <c r="J5" s="3222"/>
      <c r="K5" s="2596"/>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2596"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3" t="s">
        <v>2545</v>
      </c>
      <c r="Q7" s="3225"/>
      <c r="R7" s="770" t="s">
        <v>23</v>
      </c>
      <c r="S7" s="771">
        <f t="shared" ref="S7:S15" si="0">F7</f>
        <v>0</v>
      </c>
      <c r="T7" s="770" t="s">
        <v>23</v>
      </c>
      <c r="U7" s="771">
        <f t="shared" ref="U7:U15" si="1">H7</f>
        <v>0</v>
      </c>
      <c r="V7" s="770" t="s">
        <v>23</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3" t="s">
        <v>2548</v>
      </c>
      <c r="Q8" s="3224"/>
      <c r="R8" s="770" t="s">
        <v>23</v>
      </c>
      <c r="S8" s="771">
        <f t="shared" si="0"/>
        <v>0</v>
      </c>
      <c r="T8" s="770" t="s">
        <v>23</v>
      </c>
      <c r="U8" s="771">
        <f t="shared" si="1"/>
        <v>0</v>
      </c>
      <c r="V8" s="770" t="s">
        <v>23</v>
      </c>
      <c r="W8" s="771">
        <f t="shared" si="2"/>
        <v>0</v>
      </c>
      <c r="X8" s="772"/>
      <c r="Y8" s="3223" t="s">
        <v>2548</v>
      </c>
      <c r="Z8" s="322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4"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3"/>
      <c r="Q12" s="1794">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3"/>
      <c r="Q13" s="1794">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3"/>
      <c r="Q14" s="1794">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2556</v>
      </c>
      <c r="Q15" s="1809" t="str">
        <f t="shared" si="6"/>
        <v>居住社区成熟度</v>
      </c>
      <c r="R15" s="774" t="s">
        <v>21</v>
      </c>
      <c r="S15" s="775">
        <f t="shared" si="0"/>
        <v>100</v>
      </c>
      <c r="T15" s="774" t="s">
        <v>21</v>
      </c>
      <c r="U15" s="775">
        <f t="shared" si="1"/>
        <v>100</v>
      </c>
      <c r="V15" s="774" t="s">
        <v>21</v>
      </c>
      <c r="W15" s="775">
        <f t="shared" si="2"/>
        <v>100</v>
      </c>
      <c r="X15" s="1812"/>
      <c r="Y15" s="3196"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19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19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19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19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19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19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197"/>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199"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4"/>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199"/>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199"/>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199"/>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199"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199"/>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199"/>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4"/>
      <c r="Q42" s="1809" t="str">
        <f t="shared" si="11"/>
        <v>内部装修</v>
      </c>
      <c r="R42" s="774" t="s">
        <v>21</v>
      </c>
      <c r="S42" s="775">
        <f t="shared" si="12"/>
        <v>100</v>
      </c>
      <c r="T42" s="774" t="s">
        <v>21</v>
      </c>
      <c r="U42" s="775">
        <f t="shared" si="13"/>
        <v>100</v>
      </c>
      <c r="V42" s="774" t="s">
        <v>21</v>
      </c>
      <c r="W42" s="775">
        <f t="shared" si="14"/>
        <v>100</v>
      </c>
      <c r="X42" s="1812"/>
      <c r="Y42" s="3199"/>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19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199"/>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194" t="str">
        <f>A47</f>
        <v>成交单价（元/平方米）</v>
      </c>
      <c r="Q47" s="3194"/>
      <c r="R47" s="3262">
        <f>E47</f>
        <v>0</v>
      </c>
      <c r="S47" s="3262"/>
      <c r="T47" s="3262">
        <f>G47</f>
        <v>0</v>
      </c>
      <c r="U47" s="3262"/>
      <c r="V47" s="3262">
        <f>I47</f>
        <v>0</v>
      </c>
      <c r="W47" s="326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0"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0"/>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0"/>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2556</v>
      </c>
      <c r="Q15" s="1809" t="str">
        <f t="shared" si="6"/>
        <v>商业繁华度</v>
      </c>
      <c r="R15" s="774" t="s">
        <v>17</v>
      </c>
      <c r="S15" s="775">
        <f t="shared" si="0"/>
        <v>100</v>
      </c>
      <c r="T15" s="774" t="s">
        <v>17</v>
      </c>
      <c r="U15" s="775">
        <f t="shared" si="1"/>
        <v>100</v>
      </c>
      <c r="V15" s="774" t="s">
        <v>17</v>
      </c>
      <c r="W15" s="775">
        <f t="shared" si="2"/>
        <v>100</v>
      </c>
      <c r="X15" s="1812"/>
      <c r="Y15" s="3196"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19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197"/>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197"/>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197"/>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19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199"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199"/>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199"/>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199"/>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199"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199"/>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199"/>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199"/>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19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199"/>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194" t="str">
        <f>A47</f>
        <v>成交单价（元/平方米）</v>
      </c>
      <c r="Q47" s="3194"/>
      <c r="R47" s="3200">
        <f>E47</f>
        <v>0</v>
      </c>
      <c r="S47" s="3200"/>
      <c r="T47" s="3200">
        <f>G47</f>
        <v>0</v>
      </c>
      <c r="U47" s="3200"/>
      <c r="V47" s="3200">
        <f>I47</f>
        <v>0</v>
      </c>
      <c r="W47" s="3200"/>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75" t="s">
        <v>2647</v>
      </c>
      <c r="Q4" s="3276"/>
      <c r="R4" s="3279" t="s">
        <v>2643</v>
      </c>
      <c r="S4" s="3280"/>
      <c r="T4" s="3279" t="s">
        <v>2644</v>
      </c>
      <c r="U4" s="3280"/>
      <c r="V4" s="3281" t="s">
        <v>2645</v>
      </c>
      <c r="W4" s="3281"/>
      <c r="X4" s="2669"/>
      <c r="Y4" s="3279" t="s">
        <v>2647</v>
      </c>
      <c r="Z4" s="3280"/>
      <c r="AA4" s="3283" t="s">
        <v>2643</v>
      </c>
      <c r="AB4" s="3283" t="s">
        <v>2644</v>
      </c>
      <c r="AC4" s="3272" t="s">
        <v>2645</v>
      </c>
    </row>
    <row r="5" spans="1:29" ht="15">
      <c r="A5" s="404"/>
      <c r="B5" s="405"/>
      <c r="C5" s="3221" t="s">
        <v>2538</v>
      </c>
      <c r="D5" s="3222"/>
      <c r="E5" s="3229" t="s">
        <v>2539</v>
      </c>
      <c r="F5" s="3230"/>
      <c r="G5" s="3221" t="s">
        <v>2540</v>
      </c>
      <c r="H5" s="3222"/>
      <c r="I5" s="3221" t="s">
        <v>2541</v>
      </c>
      <c r="J5" s="3222"/>
      <c r="K5" s="610"/>
      <c r="L5" s="1130"/>
      <c r="M5" s="1131"/>
      <c r="N5" s="1131"/>
      <c r="O5" s="1131"/>
      <c r="P5" s="3277"/>
      <c r="Q5" s="3210"/>
      <c r="R5" s="3215"/>
      <c r="S5" s="3216"/>
      <c r="T5" s="3215"/>
      <c r="U5" s="3216"/>
      <c r="V5" s="3200"/>
      <c r="W5" s="3200"/>
      <c r="X5" s="1812"/>
      <c r="Y5" s="3215"/>
      <c r="Z5" s="3216"/>
      <c r="AA5" s="3202"/>
      <c r="AB5" s="3202"/>
      <c r="AC5" s="3273"/>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78"/>
      <c r="Q6" s="3212"/>
      <c r="R6" s="3215"/>
      <c r="S6" s="3216"/>
      <c r="T6" s="3217"/>
      <c r="U6" s="3218"/>
      <c r="V6" s="3200"/>
      <c r="W6" s="3200"/>
      <c r="X6" s="1812"/>
      <c r="Y6" s="3217"/>
      <c r="Z6" s="3218"/>
      <c r="AA6" s="3203"/>
      <c r="AB6" s="3203"/>
      <c r="AC6" s="3274"/>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2"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2" t="s">
        <v>2548</v>
      </c>
      <c r="Q8" s="3224"/>
      <c r="R8" s="770" t="s">
        <v>17</v>
      </c>
      <c r="S8" s="771">
        <f t="shared" si="0"/>
        <v>0</v>
      </c>
      <c r="T8" s="770" t="s">
        <v>17</v>
      </c>
      <c r="U8" s="771">
        <f t="shared" si="1"/>
        <v>0</v>
      </c>
      <c r="V8" s="770" t="s">
        <v>17</v>
      </c>
      <c r="W8" s="771">
        <f t="shared" si="2"/>
        <v>0</v>
      </c>
      <c r="X8" s="772"/>
      <c r="Y8" s="3223" t="s">
        <v>2548</v>
      </c>
      <c r="Z8" s="3224"/>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2556</v>
      </c>
      <c r="Q15" s="1809" t="str">
        <f t="shared" si="6"/>
        <v>办公集聚程度</v>
      </c>
      <c r="R15" s="774" t="s">
        <v>17</v>
      </c>
      <c r="S15" s="775">
        <f t="shared" si="0"/>
        <v>100</v>
      </c>
      <c r="T15" s="774" t="s">
        <v>17</v>
      </c>
      <c r="U15" s="775">
        <f t="shared" si="1"/>
        <v>100</v>
      </c>
      <c r="V15" s="774" t="s">
        <v>17</v>
      </c>
      <c r="W15" s="775">
        <f t="shared" si="2"/>
        <v>100</v>
      </c>
      <c r="X15" s="1812"/>
      <c r="Y15" s="3196"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197"/>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19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197"/>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197"/>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19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19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197"/>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199"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199"/>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199"/>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4" t="s">
        <v>17</v>
      </c>
      <c r="S37" s="775" t="e">
        <f t="shared" si="12"/>
        <v>#N/A</v>
      </c>
      <c r="T37" s="774" t="s">
        <v>17</v>
      </c>
      <c r="U37" s="775" t="e">
        <f t="shared" si="13"/>
        <v>#N/A</v>
      </c>
      <c r="V37" s="774" t="s">
        <v>17</v>
      </c>
      <c r="W37" s="775" t="e">
        <f t="shared" si="14"/>
        <v>#N/A</v>
      </c>
      <c r="X37" s="1812"/>
      <c r="Y37" s="3199"/>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199"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199"/>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199"/>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199"/>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199"/>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93" t="str">
        <f>A48</f>
        <v>成交单价（元/平方米）</v>
      </c>
      <c r="Q48" s="3194"/>
      <c r="R48" s="3262">
        <f>E48</f>
        <v>0</v>
      </c>
      <c r="S48" s="3262"/>
      <c r="T48" s="3262">
        <f>G48</f>
        <v>0</v>
      </c>
      <c r="U48" s="3262"/>
      <c r="V48" s="3262">
        <f>I48</f>
        <v>0</v>
      </c>
      <c r="W48" s="326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94"/>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7"/>
      <c r="Q18" s="1809"/>
      <c r="R18" s="774"/>
      <c r="S18" s="775"/>
      <c r="T18" s="774"/>
      <c r="U18" s="775"/>
      <c r="V18" s="774"/>
      <c r="W18" s="775"/>
      <c r="X18" s="1812"/>
      <c r="Y18" s="3197"/>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7"/>
      <c r="Q20" s="1809"/>
      <c r="R20" s="774"/>
      <c r="S20" s="775"/>
      <c r="T20" s="774"/>
      <c r="U20" s="775"/>
      <c r="V20" s="774"/>
      <c r="W20" s="775"/>
      <c r="X20" s="1812"/>
      <c r="Y20" s="3197"/>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7"/>
      <c r="Q22" s="1809"/>
      <c r="R22" s="774"/>
      <c r="S22" s="775"/>
      <c r="T22" s="774"/>
      <c r="U22" s="775"/>
      <c r="V22" s="774"/>
      <c r="W22" s="775"/>
      <c r="X22" s="1812"/>
      <c r="Y22" s="3197"/>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7"/>
      <c r="Q24" s="1809"/>
      <c r="R24" s="774"/>
      <c r="S24" s="775"/>
      <c r="T24" s="774"/>
      <c r="U24" s="775"/>
      <c r="V24" s="774"/>
      <c r="W24" s="775"/>
      <c r="X24" s="1812"/>
      <c r="Y24" s="319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9">
        <f>B25</f>
        <v>111</v>
      </c>
      <c r="R25" s="774" t="s">
        <v>17</v>
      </c>
      <c r="S25" s="775">
        <f>F25</f>
        <v>100</v>
      </c>
      <c r="T25" s="774" t="s">
        <v>17</v>
      </c>
      <c r="U25" s="775">
        <f>H25</f>
        <v>100</v>
      </c>
      <c r="V25" s="774" t="s">
        <v>17</v>
      </c>
      <c r="W25" s="775">
        <f>J25</f>
        <v>100</v>
      </c>
      <c r="X25" s="1812"/>
      <c r="Y25" s="319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9">
        <f t="shared" ref="Q26:Q40" si="11">B26</f>
        <v>111</v>
      </c>
      <c r="R26" s="774" t="s">
        <v>17</v>
      </c>
      <c r="S26" s="775">
        <f>F26</f>
        <v>100</v>
      </c>
      <c r="T26" s="774" t="s">
        <v>17</v>
      </c>
      <c r="U26" s="775">
        <f>H26</f>
        <v>100</v>
      </c>
      <c r="V26" s="774" t="s">
        <v>17</v>
      </c>
      <c r="W26" s="775">
        <f>J26</f>
        <v>100</v>
      </c>
      <c r="X26" s="1812"/>
      <c r="Y26" s="319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4">
        <f t="shared" si="11"/>
        <v>111</v>
      </c>
      <c r="R27" s="770" t="s">
        <v>17</v>
      </c>
      <c r="S27" s="771">
        <f>F27</f>
        <v>100</v>
      </c>
      <c r="T27" s="770" t="s">
        <v>17</v>
      </c>
      <c r="U27" s="771">
        <f>H27</f>
        <v>100</v>
      </c>
      <c r="V27" s="770" t="s">
        <v>17</v>
      </c>
      <c r="W27" s="771">
        <f>J27</f>
        <v>100</v>
      </c>
      <c r="X27" s="772"/>
      <c r="Y27" s="319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9">
        <f t="shared" si="11"/>
        <v>111</v>
      </c>
      <c r="R28" s="774" t="s">
        <v>17</v>
      </c>
      <c r="S28" s="775">
        <f t="shared" ref="S28:S40" si="12">F28</f>
        <v>100</v>
      </c>
      <c r="T28" s="774" t="s">
        <v>17</v>
      </c>
      <c r="U28" s="775">
        <f t="shared" ref="U28:U40" si="13">H28</f>
        <v>100</v>
      </c>
      <c r="V28" s="774" t="s">
        <v>17</v>
      </c>
      <c r="W28" s="775">
        <f t="shared" ref="W28:W40" si="14">J28</f>
        <v>100</v>
      </c>
      <c r="X28" s="1812"/>
      <c r="Y28" s="3197"/>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8" t="s">
        <v>2561</v>
      </c>
      <c r="Q29" s="1809" t="str">
        <f t="shared" si="11"/>
        <v>建筑类型</v>
      </c>
      <c r="R29" s="774" t="s">
        <v>17</v>
      </c>
      <c r="S29" s="775">
        <f t="shared" si="12"/>
        <v>100</v>
      </c>
      <c r="T29" s="774" t="s">
        <v>17</v>
      </c>
      <c r="U29" s="775">
        <f t="shared" si="13"/>
        <v>100</v>
      </c>
      <c r="V29" s="774" t="s">
        <v>17</v>
      </c>
      <c r="W29" s="775">
        <f t="shared" si="14"/>
        <v>100</v>
      </c>
      <c r="X29" s="1812"/>
      <c r="Y29" s="3199"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9" t="str">
        <f t="shared" si="11"/>
        <v>建筑结构</v>
      </c>
      <c r="R31" s="774" t="s">
        <v>17</v>
      </c>
      <c r="S31" s="775">
        <f t="shared" si="12"/>
        <v>100</v>
      </c>
      <c r="T31" s="774" t="s">
        <v>17</v>
      </c>
      <c r="U31" s="775">
        <f t="shared" si="13"/>
        <v>100</v>
      </c>
      <c r="V31" s="774" t="s">
        <v>17</v>
      </c>
      <c r="W31" s="775">
        <f t="shared" si="14"/>
        <v>100</v>
      </c>
      <c r="X31" s="1812"/>
      <c r="Y31" s="3199"/>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9" t="str">
        <f t="shared" si="11"/>
        <v>公共部分装修</v>
      </c>
      <c r="R32" s="774" t="s">
        <v>17</v>
      </c>
      <c r="S32" s="775">
        <f t="shared" si="12"/>
        <v>100</v>
      </c>
      <c r="T32" s="774" t="s">
        <v>17</v>
      </c>
      <c r="U32" s="775">
        <f t="shared" si="13"/>
        <v>100</v>
      </c>
      <c r="V32" s="774" t="s">
        <v>17</v>
      </c>
      <c r="W32" s="775">
        <f t="shared" si="14"/>
        <v>100</v>
      </c>
      <c r="X32" s="1812"/>
      <c r="Y32" s="3199"/>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9" t="str">
        <f t="shared" si="11"/>
        <v>成新度</v>
      </c>
      <c r="R33" s="774" t="s">
        <v>17</v>
      </c>
      <c r="S33" s="775" t="e">
        <f t="shared" si="12"/>
        <v>#N/A</v>
      </c>
      <c r="T33" s="774" t="s">
        <v>17</v>
      </c>
      <c r="U33" s="775" t="e">
        <f t="shared" si="13"/>
        <v>#N/A</v>
      </c>
      <c r="V33" s="774" t="s">
        <v>17</v>
      </c>
      <c r="W33" s="775" t="e">
        <f t="shared" si="14"/>
        <v>#N/A</v>
      </c>
      <c r="X33" s="1812"/>
      <c r="Y33" s="3199"/>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94"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2561</v>
      </c>
      <c r="Q35" s="1809" t="str">
        <f t="shared" si="11"/>
        <v>市政基础设施</v>
      </c>
      <c r="R35" s="774" t="s">
        <v>17</v>
      </c>
      <c r="S35" s="775">
        <f t="shared" si="12"/>
        <v>100</v>
      </c>
      <c r="T35" s="774" t="s">
        <v>17</v>
      </c>
      <c r="U35" s="775">
        <f t="shared" si="13"/>
        <v>100</v>
      </c>
      <c r="V35" s="774" t="s">
        <v>17</v>
      </c>
      <c r="W35" s="775">
        <f t="shared" si="14"/>
        <v>100</v>
      </c>
      <c r="X35" s="1812"/>
      <c r="Y35" s="3199"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9" t="str">
        <f t="shared" si="11"/>
        <v>内部装修</v>
      </c>
      <c r="R36" s="774" t="s">
        <v>17</v>
      </c>
      <c r="S36" s="775">
        <f t="shared" si="12"/>
        <v>100</v>
      </c>
      <c r="T36" s="774" t="s">
        <v>17</v>
      </c>
      <c r="U36" s="775">
        <f t="shared" si="13"/>
        <v>100</v>
      </c>
      <c r="V36" s="774" t="s">
        <v>17</v>
      </c>
      <c r="W36" s="775">
        <f t="shared" si="14"/>
        <v>100</v>
      </c>
      <c r="X36" s="1812"/>
      <c r="Y36" s="3199"/>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9" t="str">
        <f t="shared" si="11"/>
        <v>内部装修状况</v>
      </c>
      <c r="R37" s="774" t="s">
        <v>17</v>
      </c>
      <c r="S37" s="775">
        <f t="shared" si="12"/>
        <v>100</v>
      </c>
      <c r="T37" s="774" t="s">
        <v>17</v>
      </c>
      <c r="U37" s="775">
        <f t="shared" si="13"/>
        <v>100</v>
      </c>
      <c r="V37" s="774" t="s">
        <v>17</v>
      </c>
      <c r="W37" s="775">
        <f t="shared" si="14"/>
        <v>100</v>
      </c>
      <c r="X37" s="1812"/>
      <c r="Y37" s="319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9">
        <f t="shared" si="11"/>
        <v>111</v>
      </c>
      <c r="R39" s="774" t="s">
        <v>17</v>
      </c>
      <c r="S39" s="775">
        <f t="shared" si="12"/>
        <v>100</v>
      </c>
      <c r="T39" s="774" t="s">
        <v>17</v>
      </c>
      <c r="U39" s="775">
        <f t="shared" si="13"/>
        <v>100</v>
      </c>
      <c r="V39" s="774" t="s">
        <v>17</v>
      </c>
      <c r="W39" s="775">
        <f t="shared" si="14"/>
        <v>100</v>
      </c>
      <c r="X39" s="1812"/>
      <c r="Y39" s="3199"/>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194" t="str">
        <f>A41</f>
        <v>成交单价（元/平方米）</v>
      </c>
      <c r="Q41" s="3194"/>
      <c r="R41" s="3262">
        <f>E41</f>
        <v>0</v>
      </c>
      <c r="S41" s="3262"/>
      <c r="T41" s="3262">
        <f>G41</f>
        <v>0</v>
      </c>
      <c r="U41" s="3262"/>
      <c r="V41" s="3262">
        <f>I41</f>
        <v>0</v>
      </c>
      <c r="W41" s="326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7"/>
      <c r="Q15" s="1809"/>
      <c r="R15" s="774"/>
      <c r="S15" s="775"/>
      <c r="T15" s="774"/>
      <c r="U15" s="775"/>
      <c r="V15" s="774"/>
      <c r="W15" s="775"/>
      <c r="X15" s="1812"/>
      <c r="Y15" s="3197"/>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7"/>
      <c r="Q17" s="1809"/>
      <c r="R17" s="774"/>
      <c r="S17" s="775"/>
      <c r="T17" s="774"/>
      <c r="U17" s="775"/>
      <c r="V17" s="774"/>
      <c r="W17" s="775"/>
      <c r="X17" s="1812"/>
      <c r="Y17" s="3197"/>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7"/>
      <c r="Q19" s="1809"/>
      <c r="R19" s="774"/>
      <c r="S19" s="775"/>
      <c r="T19" s="774"/>
      <c r="U19" s="775"/>
      <c r="V19" s="774"/>
      <c r="W19" s="775"/>
      <c r="X19" s="1812"/>
      <c r="Y19" s="3197"/>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7"/>
      <c r="Q21" s="1809"/>
      <c r="R21" s="774"/>
      <c r="S21" s="775"/>
      <c r="T21" s="774"/>
      <c r="U21" s="775"/>
      <c r="V21" s="774"/>
      <c r="W21" s="775"/>
      <c r="X21" s="1812"/>
      <c r="Y21" s="319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9">
        <f t="shared" ref="Q24:Q36"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8"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9"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9" t="str">
        <f t="shared" si="11"/>
        <v>公共部分装修</v>
      </c>
      <c r="R28" s="774" t="s">
        <v>17</v>
      </c>
      <c r="S28" s="775">
        <f t="shared" si="12"/>
        <v>100</v>
      </c>
      <c r="T28" s="774" t="s">
        <v>17</v>
      </c>
      <c r="U28" s="775">
        <f t="shared" si="13"/>
        <v>100</v>
      </c>
      <c r="V28" s="774" t="s">
        <v>17</v>
      </c>
      <c r="W28" s="775">
        <f t="shared" si="14"/>
        <v>100</v>
      </c>
      <c r="X28" s="1812"/>
      <c r="Y28" s="3199"/>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9" t="str">
        <f t="shared" si="11"/>
        <v>成新率</v>
      </c>
      <c r="R29" s="774" t="s">
        <v>17</v>
      </c>
      <c r="S29" s="775" t="e">
        <f t="shared" si="12"/>
        <v>#N/A</v>
      </c>
      <c r="T29" s="774" t="s">
        <v>17</v>
      </c>
      <c r="U29" s="775" t="e">
        <f t="shared" si="13"/>
        <v>#N/A</v>
      </c>
      <c r="V29" s="774" t="s">
        <v>17</v>
      </c>
      <c r="W29" s="775" t="e">
        <f t="shared" si="14"/>
        <v>#N/A</v>
      </c>
      <c r="X29" s="1812"/>
      <c r="Y29" s="3199"/>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9" t="str">
        <f t="shared" si="11"/>
        <v>物业等级</v>
      </c>
      <c r="R30" s="774" t="s">
        <v>17</v>
      </c>
      <c r="S30" s="775">
        <f t="shared" si="12"/>
        <v>100</v>
      </c>
      <c r="T30" s="774" t="s">
        <v>17</v>
      </c>
      <c r="U30" s="775">
        <f t="shared" si="13"/>
        <v>100</v>
      </c>
      <c r="V30" s="774" t="s">
        <v>17</v>
      </c>
      <c r="W30" s="775">
        <f t="shared" si="14"/>
        <v>100</v>
      </c>
      <c r="X30" s="1812"/>
      <c r="Y30" s="3199"/>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94"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2561</v>
      </c>
      <c r="Q32" s="1809" t="str">
        <f t="shared" si="11"/>
        <v>车位类型</v>
      </c>
      <c r="R32" s="774" t="s">
        <v>17</v>
      </c>
      <c r="S32" s="775">
        <f t="shared" si="12"/>
        <v>100</v>
      </c>
      <c r="T32" s="774" t="s">
        <v>17</v>
      </c>
      <c r="U32" s="775">
        <f t="shared" si="13"/>
        <v>100</v>
      </c>
      <c r="V32" s="774" t="s">
        <v>17</v>
      </c>
      <c r="W32" s="775">
        <f t="shared" si="14"/>
        <v>100</v>
      </c>
      <c r="X32" s="1812"/>
      <c r="Y32" s="3199"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9" t="str">
        <f t="shared" si="11"/>
        <v>是否直接入户</v>
      </c>
      <c r="R33" s="774" t="s">
        <v>17</v>
      </c>
      <c r="S33" s="775">
        <f t="shared" si="12"/>
        <v>100</v>
      </c>
      <c r="T33" s="774" t="s">
        <v>17</v>
      </c>
      <c r="U33" s="775">
        <f t="shared" si="13"/>
        <v>100</v>
      </c>
      <c r="V33" s="774" t="s">
        <v>17</v>
      </c>
      <c r="W33" s="775">
        <f t="shared" si="14"/>
        <v>100</v>
      </c>
      <c r="X33" s="1812"/>
      <c r="Y33" s="31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9">
        <f t="shared" si="11"/>
        <v>111</v>
      </c>
      <c r="R36" s="774" t="s">
        <v>17</v>
      </c>
      <c r="S36" s="775">
        <f t="shared" si="12"/>
        <v>100</v>
      </c>
      <c r="T36" s="774" t="s">
        <v>17</v>
      </c>
      <c r="U36" s="775">
        <f t="shared" si="13"/>
        <v>100</v>
      </c>
      <c r="V36" s="774" t="s">
        <v>17</v>
      </c>
      <c r="W36" s="775">
        <f t="shared" si="14"/>
        <v>100</v>
      </c>
      <c r="X36" s="1812"/>
      <c r="Y36" s="3199"/>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94" t="str">
        <f>A37</f>
        <v>成交单价</v>
      </c>
      <c r="Q37" s="3194"/>
      <c r="R37" s="3262">
        <f>E37</f>
        <v>0</v>
      </c>
      <c r="S37" s="3262"/>
      <c r="T37" s="3262">
        <f>G37</f>
        <v>0</v>
      </c>
      <c r="U37" s="3262"/>
      <c r="V37" s="3262">
        <f>I37</f>
        <v>0</v>
      </c>
      <c r="W37" s="326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7"/>
      <c r="Q15" s="1809"/>
      <c r="R15" s="774"/>
      <c r="S15" s="775"/>
      <c r="T15" s="774"/>
      <c r="U15" s="775"/>
      <c r="V15" s="774"/>
      <c r="W15" s="775"/>
      <c r="X15" s="1812"/>
      <c r="Y15" s="3197"/>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7"/>
      <c r="Q17" s="1809"/>
      <c r="R17" s="774"/>
      <c r="S17" s="775"/>
      <c r="T17" s="774"/>
      <c r="U17" s="775"/>
      <c r="V17" s="774"/>
      <c r="W17" s="775"/>
      <c r="X17" s="1812"/>
      <c r="Y17" s="3197"/>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7"/>
      <c r="Q19" s="1809"/>
      <c r="R19" s="774"/>
      <c r="S19" s="775"/>
      <c r="T19" s="774"/>
      <c r="U19" s="775"/>
      <c r="V19" s="774"/>
      <c r="W19" s="775"/>
      <c r="X19" s="1812"/>
      <c r="Y19" s="3197"/>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7"/>
      <c r="Q21" s="1809"/>
      <c r="R21" s="774"/>
      <c r="S21" s="775"/>
      <c r="T21" s="774"/>
      <c r="U21" s="775"/>
      <c r="V21" s="774"/>
      <c r="W21" s="775"/>
      <c r="X21" s="1812"/>
      <c r="Y21" s="319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9">
        <f t="shared" ref="Q24:Q34"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8"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9"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9" t="str">
        <f t="shared" si="11"/>
        <v>物业等级</v>
      </c>
      <c r="R28" s="774" t="s">
        <v>17</v>
      </c>
      <c r="S28" s="775">
        <f t="shared" si="12"/>
        <v>100</v>
      </c>
      <c r="T28" s="774" t="s">
        <v>17</v>
      </c>
      <c r="U28" s="775">
        <f t="shared" si="13"/>
        <v>100</v>
      </c>
      <c r="V28" s="774" t="s">
        <v>17</v>
      </c>
      <c r="W28" s="775">
        <f t="shared" si="14"/>
        <v>100</v>
      </c>
      <c r="X28" s="1812"/>
      <c r="Y28" s="3199"/>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9" t="str">
        <f t="shared" si="11"/>
        <v>有无电梯</v>
      </c>
      <c r="R29" s="774" t="s">
        <v>17</v>
      </c>
      <c r="S29" s="775">
        <f t="shared" si="12"/>
        <v>100</v>
      </c>
      <c r="T29" s="774" t="s">
        <v>17</v>
      </c>
      <c r="U29" s="775">
        <f t="shared" si="13"/>
        <v>100</v>
      </c>
      <c r="V29" s="774" t="s">
        <v>17</v>
      </c>
      <c r="W29" s="775">
        <f t="shared" si="14"/>
        <v>100</v>
      </c>
      <c r="X29" s="1812"/>
      <c r="Y29" s="3199"/>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9" t="str">
        <f t="shared" si="11"/>
        <v>建筑面积</v>
      </c>
      <c r="R30" s="774" t="s">
        <v>17</v>
      </c>
      <c r="S30" s="775" t="e">
        <f t="shared" si="12"/>
        <v>#N/A</v>
      </c>
      <c r="T30" s="774" t="s">
        <v>17</v>
      </c>
      <c r="U30" s="775" t="e">
        <f t="shared" si="13"/>
        <v>#N/A</v>
      </c>
      <c r="V30" s="774" t="s">
        <v>17</v>
      </c>
      <c r="W30" s="775" t="e">
        <f t="shared" si="14"/>
        <v>#N/A</v>
      </c>
      <c r="X30" s="1812"/>
      <c r="Y30" s="3199"/>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94"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2561</v>
      </c>
      <c r="Q32" s="1809">
        <f t="shared" si="11"/>
        <v>111</v>
      </c>
      <c r="R32" s="774" t="s">
        <v>17</v>
      </c>
      <c r="S32" s="775">
        <f t="shared" si="12"/>
        <v>100</v>
      </c>
      <c r="T32" s="774" t="s">
        <v>17</v>
      </c>
      <c r="U32" s="775">
        <f t="shared" si="13"/>
        <v>100</v>
      </c>
      <c r="V32" s="774" t="s">
        <v>17</v>
      </c>
      <c r="W32" s="775">
        <f t="shared" si="14"/>
        <v>100</v>
      </c>
      <c r="X32" s="1812"/>
      <c r="Y32" s="3199"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9">
        <f t="shared" si="11"/>
        <v>111</v>
      </c>
      <c r="R33" s="774" t="s">
        <v>17</v>
      </c>
      <c r="S33" s="775">
        <f t="shared" si="12"/>
        <v>100</v>
      </c>
      <c r="T33" s="774" t="s">
        <v>17</v>
      </c>
      <c r="U33" s="775">
        <f t="shared" si="13"/>
        <v>100</v>
      </c>
      <c r="V33" s="774" t="s">
        <v>17</v>
      </c>
      <c r="W33" s="775">
        <f t="shared" si="14"/>
        <v>100</v>
      </c>
      <c r="X33" s="1812"/>
      <c r="Y33" s="3199"/>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194" t="str">
        <f>A35</f>
        <v>成交单价（元/平方米）</v>
      </c>
      <c r="Q35" s="3194"/>
      <c r="R35" s="3262">
        <f>E35</f>
        <v>0</v>
      </c>
      <c r="S35" s="3262"/>
      <c r="T35" s="3262">
        <f>G35</f>
        <v>0</v>
      </c>
      <c r="U35" s="3262"/>
      <c r="V35" s="3262">
        <f>I35</f>
        <v>0</v>
      </c>
      <c r="W35" s="326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84" t="s">
        <v>2793</v>
      </c>
      <c r="D6" s="3285"/>
      <c r="E6" s="3286" t="s">
        <v>2793</v>
      </c>
      <c r="F6" s="3287"/>
      <c r="G6" s="3284" t="s">
        <v>2793</v>
      </c>
      <c r="H6" s="3285"/>
      <c r="I6" s="3284" t="s">
        <v>2793</v>
      </c>
      <c r="J6" s="3285"/>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22"/>
      <c r="Z10" s="55" t="str">
        <f t="shared" si="7"/>
        <v>土地使用年限（年）</v>
      </c>
      <c r="AA10" s="773">
        <f t="shared" si="3"/>
        <v>0.92592592592592593</v>
      </c>
      <c r="AB10" s="773">
        <f t="shared" si="4"/>
        <v>0.92592592592592593</v>
      </c>
      <c r="AC10" s="773">
        <f t="shared" si="5"/>
        <v>0.92592592592592593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9" t="str">
        <f t="shared" ref="Q19:Q33" si="8">B19</f>
        <v>区域土地利用方向</v>
      </c>
      <c r="R19" s="774" t="s">
        <v>17</v>
      </c>
      <c r="S19" s="775">
        <f>F19</f>
        <v>100</v>
      </c>
      <c r="T19" s="774" t="s">
        <v>17</v>
      </c>
      <c r="U19" s="775">
        <f>H19</f>
        <v>100</v>
      </c>
      <c r="V19" s="774" t="s">
        <v>17</v>
      </c>
      <c r="W19" s="775">
        <f>J19</f>
        <v>100</v>
      </c>
      <c r="X19" s="1812"/>
      <c r="Y19" s="319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197"/>
      <c r="Q20" s="1809"/>
      <c r="R20" s="774"/>
      <c r="S20" s="775"/>
      <c r="T20" s="774"/>
      <c r="U20" s="775"/>
      <c r="V20" s="774"/>
      <c r="W20" s="775"/>
      <c r="X20" s="1812"/>
      <c r="Y20" s="3197"/>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9" t="str">
        <f t="shared" si="8"/>
        <v>环境状况</v>
      </c>
      <c r="R21" s="774" t="s">
        <v>17</v>
      </c>
      <c r="S21" s="775">
        <f>F21</f>
        <v>100</v>
      </c>
      <c r="T21" s="774" t="s">
        <v>17</v>
      </c>
      <c r="U21" s="775">
        <f>H21</f>
        <v>100</v>
      </c>
      <c r="V21" s="774" t="s">
        <v>17</v>
      </c>
      <c r="W21" s="775">
        <f>J21</f>
        <v>100</v>
      </c>
      <c r="X21" s="1812"/>
      <c r="Y21" s="319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4" t="str">
        <f t="shared" si="8"/>
        <v>公共配套设施</v>
      </c>
      <c r="R23" s="770" t="s">
        <v>17</v>
      </c>
      <c r="S23" s="771">
        <f>F23</f>
        <v>100</v>
      </c>
      <c r="T23" s="770" t="s">
        <v>17</v>
      </c>
      <c r="U23" s="771">
        <f>H23</f>
        <v>100</v>
      </c>
      <c r="V23" s="770" t="s">
        <v>17</v>
      </c>
      <c r="W23" s="771">
        <f>J23</f>
        <v>100</v>
      </c>
      <c r="X23" s="772"/>
      <c r="Y23" s="319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7"/>
      <c r="Q24" s="1794"/>
      <c r="R24" s="770"/>
      <c r="S24" s="771"/>
      <c r="T24" s="770"/>
      <c r="U24" s="771"/>
      <c r="V24" s="770"/>
      <c r="W24" s="771"/>
      <c r="X24" s="772"/>
      <c r="Y24" s="319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4"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7"/>
      <c r="Q26" s="1794"/>
      <c r="R26" s="770"/>
      <c r="S26" s="771"/>
      <c r="T26" s="770"/>
      <c r="U26" s="771"/>
      <c r="V26" s="770"/>
      <c r="W26" s="771"/>
      <c r="X26" s="772"/>
      <c r="Y26" s="319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7"/>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9" t="str">
        <f t="shared" si="8"/>
        <v>毗邻道路的类型与等级</v>
      </c>
      <c r="R28" s="774" t="s">
        <v>17</v>
      </c>
      <c r="S28" s="775">
        <f t="shared" si="10"/>
        <v>100</v>
      </c>
      <c r="T28" s="774" t="s">
        <v>17</v>
      </c>
      <c r="U28" s="775">
        <f t="shared" si="11"/>
        <v>100</v>
      </c>
      <c r="V28" s="774" t="s">
        <v>17</v>
      </c>
      <c r="W28" s="775">
        <f t="shared" si="12"/>
        <v>100</v>
      </c>
      <c r="X28" s="1812"/>
      <c r="Y28" s="319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7"/>
      <c r="Q29" s="1809"/>
      <c r="R29" s="774"/>
      <c r="S29" s="775"/>
      <c r="T29" s="774"/>
      <c r="U29" s="775"/>
      <c r="V29" s="774"/>
      <c r="W29" s="775"/>
      <c r="X29" s="1812"/>
      <c r="Y29" s="3197"/>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9" t="str">
        <f t="shared" si="8"/>
        <v>土地级别</v>
      </c>
      <c r="R30" s="774" t="s">
        <v>17</v>
      </c>
      <c r="S30" s="775">
        <f t="shared" si="10"/>
        <v>100</v>
      </c>
      <c r="T30" s="774" t="s">
        <v>17</v>
      </c>
      <c r="U30" s="775">
        <f t="shared" si="11"/>
        <v>100</v>
      </c>
      <c r="V30" s="774" t="s">
        <v>17</v>
      </c>
      <c r="W30" s="775">
        <f t="shared" si="12"/>
        <v>100</v>
      </c>
      <c r="X30" s="1812"/>
      <c r="Y30" s="319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9">
        <f t="shared" si="8"/>
        <v>111</v>
      </c>
      <c r="R31" s="774" t="s">
        <v>17</v>
      </c>
      <c r="S31" s="775">
        <f t="shared" si="10"/>
        <v>100</v>
      </c>
      <c r="T31" s="774" t="s">
        <v>17</v>
      </c>
      <c r="U31" s="775">
        <f t="shared" si="11"/>
        <v>100</v>
      </c>
      <c r="V31" s="774" t="s">
        <v>17</v>
      </c>
      <c r="W31" s="775">
        <f t="shared" si="12"/>
        <v>100</v>
      </c>
      <c r="X31" s="1812"/>
      <c r="Y31" s="319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8" t="s">
        <v>2561</v>
      </c>
      <c r="Q32" s="1809">
        <f t="shared" si="8"/>
        <v>111</v>
      </c>
      <c r="R32" s="774" t="s">
        <v>17</v>
      </c>
      <c r="S32" s="775">
        <f t="shared" si="10"/>
        <v>100</v>
      </c>
      <c r="T32" s="774" t="s">
        <v>17</v>
      </c>
      <c r="U32" s="775">
        <f t="shared" si="11"/>
        <v>100</v>
      </c>
      <c r="V32" s="774" t="s">
        <v>17</v>
      </c>
      <c r="W32" s="775">
        <f t="shared" si="12"/>
        <v>100</v>
      </c>
      <c r="X32" s="1812"/>
      <c r="Y32" s="3199"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9">
        <f t="shared" si="8"/>
        <v>111</v>
      </c>
      <c r="R33" s="777" t="s">
        <v>17</v>
      </c>
      <c r="S33" s="778">
        <f t="shared" si="10"/>
        <v>100</v>
      </c>
      <c r="T33" s="777" t="s">
        <v>17</v>
      </c>
      <c r="U33" s="778">
        <f t="shared" si="11"/>
        <v>100</v>
      </c>
      <c r="V33" s="777" t="s">
        <v>17</v>
      </c>
      <c r="W33" s="778">
        <f t="shared" si="12"/>
        <v>100</v>
      </c>
      <c r="X33" s="779"/>
      <c r="Y33" s="3199"/>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9" t="str">
        <f>B34</f>
        <v>宗地面积</v>
      </c>
      <c r="R34" s="774" t="s">
        <v>17</v>
      </c>
      <c r="S34" s="775" t="e">
        <f t="shared" si="10"/>
        <v>#N/A</v>
      </c>
      <c r="T34" s="774" t="s">
        <v>17</v>
      </c>
      <c r="U34" s="775" t="e">
        <f t="shared" si="11"/>
        <v>#N/A</v>
      </c>
      <c r="V34" s="774" t="s">
        <v>17</v>
      </c>
      <c r="W34" s="775" t="e">
        <f t="shared" si="12"/>
        <v>#N/A</v>
      </c>
      <c r="X34" s="1812"/>
      <c r="Y34" s="3199"/>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9"/>
      <c r="Q35" s="1809" t="str">
        <f t="shared" ref="Q35:Q40" si="14">B35</f>
        <v>宗地形状</v>
      </c>
      <c r="R35" s="774" t="s">
        <v>17</v>
      </c>
      <c r="S35" s="775">
        <f t="shared" si="10"/>
        <v>100</v>
      </c>
      <c r="T35" s="774" t="s">
        <v>17</v>
      </c>
      <c r="U35" s="775">
        <f t="shared" si="11"/>
        <v>100</v>
      </c>
      <c r="V35" s="774" t="s">
        <v>17</v>
      </c>
      <c r="W35" s="775">
        <f t="shared" si="12"/>
        <v>100</v>
      </c>
      <c r="X35" s="1812"/>
      <c r="Y35" s="3199"/>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9"/>
      <c r="Q36" s="1809"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9" t="s">
        <v>2561</v>
      </c>
      <c r="Q37" s="1809" t="str">
        <f t="shared" si="14"/>
        <v>工程地质条件</v>
      </c>
      <c r="R37" s="774" t="s">
        <v>17</v>
      </c>
      <c r="S37" s="775">
        <f t="shared" si="10"/>
        <v>100</v>
      </c>
      <c r="T37" s="774" t="s">
        <v>17</v>
      </c>
      <c r="U37" s="775">
        <f t="shared" si="11"/>
        <v>100</v>
      </c>
      <c r="V37" s="774" t="s">
        <v>17</v>
      </c>
      <c r="W37" s="775">
        <f t="shared" si="12"/>
        <v>100</v>
      </c>
      <c r="X37" s="1812"/>
      <c r="Y37" s="3199"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9">
        <f t="shared" si="14"/>
        <v>111</v>
      </c>
      <c r="R38" s="774" t="s">
        <v>17</v>
      </c>
      <c r="S38" s="775">
        <f t="shared" si="10"/>
        <v>100</v>
      </c>
      <c r="T38" s="774" t="s">
        <v>17</v>
      </c>
      <c r="U38" s="775">
        <f t="shared" si="11"/>
        <v>100</v>
      </c>
      <c r="V38" s="774" t="s">
        <v>17</v>
      </c>
      <c r="W38" s="775">
        <f t="shared" si="12"/>
        <v>100</v>
      </c>
      <c r="X38" s="1812"/>
      <c r="Y38" s="319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9">
        <f t="shared" si="14"/>
        <v>111</v>
      </c>
      <c r="R39" s="774" t="s">
        <v>17</v>
      </c>
      <c r="S39" s="775">
        <f t="shared" si="10"/>
        <v>100</v>
      </c>
      <c r="T39" s="774" t="s">
        <v>17</v>
      </c>
      <c r="U39" s="775">
        <f t="shared" si="11"/>
        <v>100</v>
      </c>
      <c r="V39" s="774" t="s">
        <v>17</v>
      </c>
      <c r="W39" s="775">
        <f t="shared" si="12"/>
        <v>100</v>
      </c>
      <c r="X39" s="1812"/>
      <c r="Y39" s="3199"/>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9">
        <f t="shared" si="14"/>
        <v>111</v>
      </c>
      <c r="R40" s="777" t="s">
        <v>17</v>
      </c>
      <c r="S40" s="778">
        <f t="shared" si="10"/>
        <v>100</v>
      </c>
      <c r="T40" s="777" t="s">
        <v>17</v>
      </c>
      <c r="U40" s="778">
        <f t="shared" si="11"/>
        <v>100</v>
      </c>
      <c r="V40" s="777" t="s">
        <v>17</v>
      </c>
      <c r="W40" s="778">
        <f t="shared" si="12"/>
        <v>100</v>
      </c>
      <c r="X40" s="779"/>
      <c r="Y40" s="3199"/>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194" t="str">
        <f>A41</f>
        <v>成交单价</v>
      </c>
      <c r="Q41" s="3194"/>
      <c r="R41" s="3200">
        <f>E41</f>
        <v>0</v>
      </c>
      <c r="S41" s="3200"/>
      <c r="T41" s="3200">
        <f>G41</f>
        <v>0</v>
      </c>
      <c r="U41" s="3200"/>
      <c r="V41" s="3200">
        <f>I41</f>
        <v>0</v>
      </c>
      <c r="W41" s="3200"/>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91" t="s">
        <v>2760</v>
      </c>
      <c r="H50" s="3192"/>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193"/>
      <c r="H51" s="3194"/>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195"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195"/>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195"/>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195"/>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9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9">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0">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0">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1">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9">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0">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0">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108393</v>
      </c>
      <c r="E5" s="1957"/>
    </row>
    <row r="6" spans="1:5" ht="15.75">
      <c r="A6" s="1957"/>
      <c r="B6" s="2980"/>
      <c r="C6" s="1960" t="s">
        <v>1619</v>
      </c>
      <c r="D6" s="1040" t="str">
        <f ca="1">NUMBERSTRING(INT(D5*10000),2)&amp;"元整"</f>
        <v>壹拾亿捌仟叁佰玖拾叁万元整</v>
      </c>
      <c r="E6" s="1957"/>
    </row>
    <row r="7" spans="1:5" ht="15.75">
      <c r="A7" s="1957"/>
      <c r="B7" s="2985"/>
      <c r="C7" s="1961" t="s">
        <v>1620</v>
      </c>
      <c r="D7" s="1041">
        <f ca="1">结果表!H102</f>
        <v>36864</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108393</v>
      </c>
      <c r="E13" s="1957"/>
    </row>
    <row r="14" spans="1:5" ht="15.75">
      <c r="A14" s="1957"/>
      <c r="B14" s="2980"/>
      <c r="C14" s="1960" t="s">
        <v>1619</v>
      </c>
      <c r="D14" s="1040" t="str">
        <f ca="1">NUMBERSTRING(INT(D13*10000),2)&amp;"元整"</f>
        <v>壹拾亿捌仟叁佰玖拾叁万元整</v>
      </c>
      <c r="E14" s="1957"/>
    </row>
    <row r="15" spans="1:5" ht="15">
      <c r="A15" s="1957"/>
      <c r="B15" s="2985"/>
      <c r="C15" s="1961" t="s">
        <v>1629</v>
      </c>
      <c r="D15" s="1052">
        <f ca="1">结果表!H108</f>
        <v>36864</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1" t="s">
        <v>3001</v>
      </c>
      <c r="D1" s="3302"/>
      <c r="E1" s="3302"/>
      <c r="F1" s="3302"/>
      <c r="G1" s="3302"/>
      <c r="H1" s="3302"/>
      <c r="I1" s="3302"/>
      <c r="J1" s="3302"/>
      <c r="K1" s="3302"/>
      <c r="L1" s="3302"/>
      <c r="M1" s="3302"/>
      <c r="N1" s="3302"/>
      <c r="O1" s="3302"/>
      <c r="P1" s="3302"/>
      <c r="Q1" s="3302"/>
      <c r="R1" s="3302"/>
      <c r="S1" s="330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9" t="s">
        <v>33</v>
      </c>
      <c r="D22" s="3160"/>
      <c r="E22" s="3160"/>
      <c r="F22" s="3160"/>
      <c r="G22" s="3160"/>
      <c r="H22" s="3160"/>
      <c r="I22" s="3160"/>
      <c r="J22" s="3160"/>
      <c r="K22" s="3160"/>
      <c r="L22" s="3160"/>
      <c r="M22" s="3160"/>
      <c r="N22" s="3160"/>
      <c r="O22" s="3160"/>
      <c r="P22" s="3160"/>
      <c r="Q22" s="330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44036</v>
      </c>
      <c r="C2" s="2" t="s">
        <v>133</v>
      </c>
      <c r="D2" s="243"/>
      <c r="E2" s="243"/>
      <c r="F2" s="243"/>
      <c r="G2" s="243"/>
    </row>
    <row r="3" spans="1:7" s="244" customFormat="1" ht="18" customHeight="1" thickBot="1">
      <c r="A3" s="247" t="s">
        <v>85</v>
      </c>
      <c r="B3" s="248">
        <f ca="1">ROUND(B2*10000/'数据-汇总表'!E3,0)</f>
        <v>14976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529</v>
      </c>
      <c r="D19" s="1036">
        <f>'数据-汇总表'!E3</f>
        <v>29403.559999999998</v>
      </c>
      <c r="E19" s="255">
        <f>'数据-取费表'!B31</f>
        <v>180</v>
      </c>
      <c r="F19" s="275"/>
      <c r="G19" s="1" t="s">
        <v>1071</v>
      </c>
    </row>
    <row r="20" spans="1:7" s="258" customFormat="1" ht="13.5" customHeight="1">
      <c r="A20" s="948" t="s">
        <v>1054</v>
      </c>
      <c r="B20" s="254" t="s">
        <v>104</v>
      </c>
      <c r="C20" s="276">
        <f>ROUND((C5+C19)*F20,0)</f>
        <v>425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2084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4331</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4331</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30423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12819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529</v>
      </c>
      <c r="D37" s="261">
        <f>'数据-汇总表'!E3</f>
        <v>29403.559999999998</v>
      </c>
      <c r="E37" s="293">
        <f>'数据-取费表'!B35</f>
        <v>180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621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609</v>
      </c>
      <c r="D42" s="282"/>
      <c r="E42" s="282"/>
      <c r="F42" s="283"/>
      <c r="G42" s="3231" t="s">
        <v>121</v>
      </c>
    </row>
    <row r="43" spans="1:7" ht="13.5" customHeight="1">
      <c r="A43" s="951" t="s">
        <v>792</v>
      </c>
      <c r="B43" s="259" t="s">
        <v>1061</v>
      </c>
      <c r="C43" s="282">
        <f ca="1">ROUND(IF('数据-取费表'!B22&lt;=1,C39*F22*'数据-取费表'!B21/2,C39*(POWER((1+F22),'数据-取费表'!B21/2)-1)),0)</f>
        <v>12</v>
      </c>
      <c r="D43" s="282"/>
      <c r="E43" s="282"/>
      <c r="F43" s="283"/>
      <c r="G43" s="3232"/>
    </row>
    <row r="44" spans="1:7" ht="13.5" customHeight="1">
      <c r="A44" s="951" t="s">
        <v>793</v>
      </c>
      <c r="B44" s="259" t="s">
        <v>1063</v>
      </c>
      <c r="C44" s="282">
        <f ca="1">ROUND(IF('数据-取费表'!B22&lt;=1,C40*F22*'数据-取费表'!B21/2,C40*(POWER((1+F22),'数据-取费表'!B21/2)-1)),4)</f>
        <v>1E-3</v>
      </c>
      <c r="D44" s="282"/>
      <c r="E44" s="282"/>
      <c r="F44" s="283"/>
      <c r="G44" s="3233"/>
    </row>
    <row r="45" spans="1:7" s="258" customFormat="1" ht="13.5" customHeight="1">
      <c r="A45" s="948" t="s">
        <v>786</v>
      </c>
      <c r="B45" s="288" t="s">
        <v>112</v>
      </c>
      <c r="C45" s="289">
        <f>C46</f>
        <v>2615</v>
      </c>
      <c r="D45" s="279">
        <f>C47</f>
        <v>4.0000000000000001E-3</v>
      </c>
      <c r="E45" s="280" t="s">
        <v>129</v>
      </c>
      <c r="F45" s="290"/>
      <c r="G45" s="291" t="s">
        <v>1069</v>
      </c>
    </row>
    <row r="46" spans="1:7" s="258" customFormat="1" ht="13.5" customHeight="1">
      <c r="A46" s="951" t="s">
        <v>794</v>
      </c>
      <c r="B46" s="292" t="s">
        <v>1062</v>
      </c>
      <c r="C46" s="293">
        <f>ROUND((C33+C39)*F27,0)</f>
        <v>2615</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17679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13613</v>
      </c>
      <c r="D51" s="276"/>
      <c r="E51" s="276"/>
      <c r="F51" s="308"/>
      <c r="G51" s="278" t="s">
        <v>64</v>
      </c>
    </row>
    <row r="52" spans="1:7" s="252" customFormat="1" ht="16.5" thickBot="1">
      <c r="A52" s="309" t="s">
        <v>65</v>
      </c>
      <c r="B52" s="310"/>
      <c r="C52" s="311">
        <f ca="1">C31+C51</f>
        <v>44036</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C43" sqref="C43"/>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1636</v>
      </c>
      <c r="B2" s="2999" t="s">
        <v>1637</v>
      </c>
      <c r="C2" s="2999" t="s">
        <v>1638</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1</v>
      </c>
      <c r="D4" s="1044">
        <f ca="1">结果表!D118</f>
        <v>94780</v>
      </c>
      <c r="E4" s="1044">
        <f ca="1">结果表!E118</f>
        <v>32234</v>
      </c>
      <c r="F4" s="1044">
        <f ca="1">结果表!F118</f>
        <v>13613</v>
      </c>
      <c r="G4" s="1044">
        <f ca="1">结果表!G118</f>
        <v>4630</v>
      </c>
      <c r="H4" s="1044">
        <f ca="1">结果表!H118</f>
        <v>108393</v>
      </c>
      <c r="I4" s="1044">
        <f ca="1">结果表!I118</f>
        <v>36864</v>
      </c>
    </row>
    <row r="5" spans="1:9" ht="30" customHeight="1">
      <c r="A5" s="2993" t="s">
        <v>1635</v>
      </c>
      <c r="B5" s="2993"/>
      <c r="C5" s="2993"/>
      <c r="D5" s="2994" t="str">
        <f ca="1">结果表!D119</f>
        <v>玖亿肆仟柒佰捌拾万元整</v>
      </c>
      <c r="E5" s="2994"/>
      <c r="F5" s="2994" t="str">
        <f ca="1">结果表!F119</f>
        <v>壹亿叁仟陆佰壹拾叁万元整</v>
      </c>
      <c r="G5" s="2994"/>
      <c r="H5" s="2994" t="str">
        <f ca="1">结果表!H119</f>
        <v>壹拾亿捌仟叁佰玖拾叁万元整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1635</v>
      </c>
      <c r="B7" s="2993"/>
      <c r="C7" s="2993"/>
      <c r="D7" s="2995" t="str">
        <f>结果表!D121</f>
        <v>零元整</v>
      </c>
      <c r="E7" s="2996"/>
      <c r="F7" s="2996"/>
      <c r="G7" s="2996"/>
      <c r="H7" s="2996"/>
      <c r="I7" s="2997"/>
    </row>
    <row r="8" spans="1:9" ht="15.75">
      <c r="A8" s="2992" t="str">
        <f>结果表!A122</f>
        <v>房地产抵押价值</v>
      </c>
      <c r="B8" s="2992"/>
      <c r="C8" s="2992"/>
      <c r="D8" s="2992">
        <f ca="1">结果表!D122</f>
        <v>108393</v>
      </c>
      <c r="E8" s="2992"/>
      <c r="F8" s="2992"/>
      <c r="G8" s="2992"/>
      <c r="H8" s="2992"/>
      <c r="I8" s="2992"/>
    </row>
    <row r="9" spans="1:9" ht="15">
      <c r="A9" s="2993" t="s">
        <v>1635</v>
      </c>
      <c r="B9" s="2993"/>
      <c r="C9" s="2993"/>
      <c r="D9" s="2994" t="str">
        <f ca="1">结果表!D123</f>
        <v>壹拾亿捌仟叁佰玖拾叁万元整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1635</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1657</v>
      </c>
      <c r="B1" s="3006"/>
      <c r="C1" s="3006"/>
      <c r="D1" s="3006"/>
    </row>
    <row r="2" spans="1:4" ht="18">
      <c r="A2" s="3007" t="s">
        <v>1641</v>
      </c>
      <c r="B2" s="3007"/>
      <c r="C2" s="3007"/>
      <c r="D2" s="3007"/>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07" t="s">
        <v>1647</v>
      </c>
      <c r="B6" s="3007"/>
      <c r="C6" s="3007"/>
      <c r="D6" s="3007"/>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8" t="s">
        <v>1650</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1651</v>
      </c>
      <c r="B16" s="3002"/>
      <c r="C16" s="3002"/>
      <c r="D16" s="3002"/>
    </row>
    <row r="17" spans="1:4" ht="144" customHeight="1">
      <c r="A17" s="3002" t="s">
        <v>1652</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1653</v>
      </c>
      <c r="B22" s="3004"/>
      <c r="C22" s="3004"/>
      <c r="D22" s="300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43803</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2019-12-04T05:37:36Z</dcterms:modified>
</cp:coreProperties>
</file>