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r:id="rId26"/>
    <sheet name="酒店收入计算" sheetId="66"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D15" i="77"/>
  <c r="H14" i="77"/>
  <c r="G49" i="43" l="1"/>
  <c r="G50" i="43"/>
  <c r="G51" i="43"/>
  <c r="G52" i="43"/>
  <c r="G53" i="43"/>
  <c r="G54" i="43"/>
  <c r="G55" i="43"/>
  <c r="G56" i="43"/>
  <c r="G48" i="43"/>
  <c r="N6" i="1"/>
  <c r="C12" i="77"/>
  <c r="I13" i="3" s="1"/>
  <c r="U3" i="43" l="1"/>
  <c r="D29" i="43"/>
  <c r="F19" i="6"/>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C7" i="69" s="1"/>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3" i="66"/>
  <c r="I1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BA13" i="3"/>
  <c r="E10" i="6"/>
  <c r="BA5" i="3"/>
  <c r="E11" i="6"/>
  <c r="BL17" i="3"/>
  <c r="AZ17" i="3"/>
  <c r="BL13" i="3"/>
  <c r="E65" i="39"/>
  <c r="G30" i="6"/>
  <c r="G31" i="6" s="1"/>
  <c r="J56" i="9"/>
  <c r="J57" i="9" s="1"/>
  <c r="J59" i="9" s="1"/>
  <c r="J61" i="9" s="1"/>
  <c r="A24" i="51"/>
  <c r="B18" i="72" s="1"/>
  <c r="U29" i="34"/>
  <c r="E14" i="6"/>
  <c r="E64" i="39" s="1"/>
  <c r="E5" i="6"/>
  <c r="D9" i="11" s="1"/>
  <c r="C9" i="11" s="1"/>
  <c r="H22" i="43"/>
  <c r="D101" i="43"/>
  <c r="D103" i="43" s="1"/>
  <c r="M101" i="43"/>
  <c r="M104" i="43" s="1"/>
  <c r="I101" i="43"/>
  <c r="I102" i="43" s="1"/>
  <c r="E101" i="43"/>
  <c r="E104" i="43" s="1"/>
  <c r="E32" i="6"/>
  <c r="L19" i="6"/>
  <c r="G1" i="68"/>
  <c r="K1" i="12"/>
  <c r="F30" i="6"/>
  <c r="E28" i="6"/>
  <c r="AR12" i="1"/>
  <c r="AQ12" i="1"/>
  <c r="T12" i="1"/>
  <c r="AR10" i="1"/>
  <c r="T10" i="1"/>
  <c r="E19" i="69"/>
  <c r="E19" i="68"/>
  <c r="E19" i="11"/>
  <c r="E1" i="73"/>
  <c r="G22" i="69"/>
  <c r="G22" i="68"/>
  <c r="G26" i="12"/>
  <c r="G22" i="11"/>
  <c r="C100" i="43"/>
  <c r="E81" i="43"/>
  <c r="B79" i="43"/>
  <c r="S5" i="43"/>
  <c r="E70" i="43"/>
  <c r="B68" i="43"/>
  <c r="F100" i="43"/>
  <c r="H17" i="43"/>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M6" i="1"/>
  <c r="O6" i="1" s="1"/>
  <c r="P6" i="1" s="1"/>
  <c r="E63" i="39"/>
  <c r="T11" i="1"/>
  <c r="D19" i="12"/>
  <c r="C19" i="12" s="1"/>
  <c r="AR11" i="1"/>
  <c r="E59" i="40"/>
  <c r="E30" i="6"/>
  <c r="K15"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6" i="43"/>
  <c r="E103" i="43"/>
  <c r="M102" i="43"/>
  <c r="M106" i="43"/>
  <c r="M103" i="43"/>
  <c r="D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H16" i="1"/>
  <c r="AB45" i="21"/>
  <c r="AC33" i="21"/>
  <c r="W33" i="21"/>
  <c r="S33" i="21"/>
  <c r="AA33" i="21"/>
  <c r="W32" i="21"/>
  <c r="AC32" i="21"/>
  <c r="AB9" i="21"/>
  <c r="U9" i="21"/>
  <c r="AA32" i="21"/>
  <c r="S32" i="21"/>
  <c r="W9" i="21"/>
  <c r="AC9" i="21"/>
  <c r="AB32" i="21"/>
  <c r="U32" i="21"/>
  <c r="AA10" i="21"/>
  <c r="S10" i="21"/>
  <c r="C36" i="69"/>
  <c r="E6" i="70"/>
  <c r="E2" i="70"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D37" i="11"/>
  <c r="D14" i="12"/>
  <c r="D17" i="12" s="1"/>
  <c r="C17" i="12" s="1"/>
  <c r="M18" i="9"/>
  <c r="B118" i="9" s="1"/>
  <c r="B14" i="74" s="1"/>
  <c r="B1" i="74" s="1"/>
  <c r="AC11" i="37"/>
  <c r="W11" i="37"/>
  <c r="W11" i="34"/>
  <c r="AC11" i="34"/>
  <c r="D10" i="11"/>
  <c r="C10" i="11" s="1"/>
  <c r="R7" i="1"/>
  <c r="F34" i="11"/>
  <c r="F11" i="12"/>
  <c r="C23" i="12" s="1"/>
  <c r="F34" i="68"/>
  <c r="R8" i="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C20" i="43"/>
  <c r="I59" i="34"/>
  <c r="J59" i="34" s="1"/>
  <c r="D12" i="71"/>
  <c r="T14" i="71"/>
  <c r="D13" i="71"/>
  <c r="D14" i="71"/>
  <c r="U14" i="71"/>
  <c r="F8" i="67"/>
  <c r="D4" i="73"/>
  <c r="M9" i="15"/>
  <c r="D2" i="33"/>
  <c r="F43" i="67"/>
  <c r="M9" i="67"/>
  <c r="F42" i="67"/>
  <c r="M29" i="67"/>
  <c r="E2" i="68"/>
  <c r="F6" i="73"/>
  <c r="F38" i="15"/>
  <c r="F43" i="15"/>
  <c r="D2" i="21"/>
  <c r="F37" i="15"/>
  <c r="E12" i="76"/>
  <c r="C76" i="15"/>
  <c r="F26" i="15"/>
  <c r="D2" i="36"/>
  <c r="AO11" i="1"/>
  <c r="E11" i="76"/>
  <c r="F7" i="73"/>
  <c r="F9" i="67"/>
  <c r="B9" i="76"/>
  <c r="M26" i="15"/>
  <c r="AO13" i="1"/>
  <c r="E2" i="69"/>
  <c r="F7" i="67"/>
  <c r="L47" i="15"/>
  <c r="D3" i="73"/>
  <c r="AO8" i="1"/>
  <c r="F38" i="67"/>
  <c r="F42" i="15"/>
  <c r="E7" i="76"/>
  <c r="E9" i="76"/>
  <c r="F8" i="15"/>
  <c r="F36" i="15"/>
  <c r="F40" i="15"/>
  <c r="B13" i="76"/>
  <c r="E10" i="76"/>
  <c r="D2" i="37"/>
  <c r="E13" i="76"/>
  <c r="F16" i="67"/>
  <c r="F26" i="67"/>
  <c r="AO7" i="1"/>
  <c r="M8" i="15"/>
  <c r="J15" i="67"/>
  <c r="F3" i="73"/>
  <c r="M23" i="67"/>
  <c r="B10" i="76"/>
  <c r="L48" i="67"/>
  <c r="D2" i="34"/>
  <c r="F6" i="67"/>
  <c r="AO12" i="1"/>
  <c r="B7" i="76"/>
  <c r="F41" i="67"/>
  <c r="D7" i="73"/>
  <c r="M24" i="67"/>
  <c r="M27" i="67"/>
  <c r="M22" i="67"/>
  <c r="AO9" i="1"/>
  <c r="F13" i="67"/>
  <c r="E8" i="76"/>
  <c r="F20" i="31"/>
  <c r="L47" i="67"/>
  <c r="F36" i="67"/>
  <c r="F4" i="73"/>
  <c r="B11" i="76"/>
  <c r="M23" i="15"/>
  <c r="F40" i="67"/>
  <c r="M27" i="15"/>
  <c r="M22" i="15"/>
  <c r="M6" i="67"/>
  <c r="M26" i="67"/>
  <c r="F37" i="67"/>
  <c r="M28" i="67"/>
  <c r="AO10" i="1"/>
  <c r="J15" i="15"/>
  <c r="M8" i="67"/>
  <c r="F7" i="15"/>
  <c r="F13" i="15"/>
  <c r="D5" i="73"/>
  <c r="B12" i="76"/>
  <c r="C76" i="67"/>
  <c r="M29" i="15"/>
  <c r="F16" i="15"/>
  <c r="M28" i="15"/>
  <c r="M6" i="15"/>
  <c r="M24" i="15"/>
  <c r="F35" i="67"/>
  <c r="D2" i="35"/>
  <c r="M21" i="67"/>
  <c r="F5" i="73"/>
  <c r="L48" i="15"/>
  <c r="D6" i="73"/>
  <c r="F9" i="15"/>
  <c r="B8" i="76"/>
  <c r="P61" i="15" l="1"/>
  <c r="M105" i="43"/>
  <c r="M107" i="43"/>
  <c r="E105" i="43"/>
  <c r="E107" i="43"/>
  <c r="I21" i="66"/>
  <c r="D1" i="66" s="1"/>
  <c r="D102" i="43"/>
  <c r="I107" i="43"/>
  <c r="D106" i="43"/>
  <c r="I105" i="43"/>
  <c r="I104" i="43"/>
  <c r="D107" i="43"/>
  <c r="D104" i="43"/>
  <c r="I103" i="43"/>
  <c r="I106" i="43"/>
  <c r="E109" i="43"/>
  <c r="D109" i="43"/>
  <c r="M109" i="43"/>
  <c r="M100" i="43"/>
  <c r="I100" i="43"/>
  <c r="E100" i="43"/>
  <c r="D100" i="43"/>
  <c r="I109" i="43"/>
  <c r="G17" i="43"/>
  <c r="C16" i="43" s="1"/>
  <c r="E10" i="43"/>
  <c r="E8" i="43"/>
  <c r="E11" i="43"/>
  <c r="E9" i="43"/>
  <c r="H52" i="43"/>
  <c r="H50" i="43"/>
  <c r="H56" i="43"/>
  <c r="H51" i="43"/>
  <c r="H48" i="43"/>
  <c r="H53" i="43"/>
  <c r="H55" i="43"/>
  <c r="H54" i="43"/>
  <c r="H49" i="43"/>
  <c r="C92" i="9"/>
  <c r="C94" i="9"/>
  <c r="F28" i="15"/>
  <c r="C28" i="15" s="1"/>
  <c r="F31" i="12"/>
  <c r="C31" i="12" s="1"/>
  <c r="F54" i="9"/>
  <c r="M18" i="67"/>
  <c r="F30" i="68"/>
  <c r="F48" i="68" s="1"/>
  <c r="C77" i="9"/>
  <c r="C74" i="9" s="1"/>
  <c r="D68" i="9"/>
  <c r="M18" i="15"/>
  <c r="F32" i="15"/>
  <c r="F60" i="15" s="1"/>
  <c r="F30" i="69"/>
  <c r="F32" i="67"/>
  <c r="F60" i="67" s="1"/>
  <c r="F52" i="9"/>
  <c r="F28" i="67"/>
  <c r="C28" i="67" s="1"/>
  <c r="F30" i="11"/>
  <c r="F53" i="9"/>
  <c r="C21" i="68"/>
  <c r="C40" i="69"/>
  <c r="C21" i="69"/>
  <c r="D22" i="67"/>
  <c r="F27" i="69"/>
  <c r="C47" i="69" s="1"/>
  <c r="D45" i="69" s="1"/>
  <c r="F27" i="68"/>
  <c r="F45" i="68" s="1"/>
  <c r="AR7" i="1"/>
  <c r="AQ7" i="1"/>
  <c r="C34" i="69"/>
  <c r="C35" i="69" s="1"/>
  <c r="K16" i="1"/>
  <c r="C37"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 i="6"/>
  <c r="E12" i="6"/>
  <c r="D20" i="12"/>
  <c r="C20" i="12" s="1"/>
  <c r="C18" i="12" s="1"/>
  <c r="D9" i="68"/>
  <c r="C9" i="68" s="1"/>
  <c r="D9" i="69"/>
  <c r="C9" i="69" s="1"/>
  <c r="C8" i="69" s="1"/>
  <c r="C5"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F27" i="6"/>
  <c r="F31" i="6" s="1"/>
  <c r="E56" i="39"/>
  <c r="E51" i="40"/>
  <c r="D3" i="34"/>
  <c r="D3" i="33"/>
  <c r="D19" i="11"/>
  <c r="C19" i="11" s="1"/>
  <c r="C20" i="11" s="1"/>
  <c r="C17" i="4"/>
  <c r="L18" i="9"/>
  <c r="D3" i="37"/>
  <c r="P7" i="1"/>
  <c r="O12" i="1"/>
  <c r="O8" i="1"/>
  <c r="P8" i="1" s="1"/>
  <c r="F27" i="11"/>
  <c r="M16" i="1"/>
  <c r="C34" i="68" s="1"/>
  <c r="F28" i="12"/>
  <c r="C29" i="12" s="1"/>
  <c r="D28" i="12" s="1"/>
  <c r="O11" i="1"/>
  <c r="P11" i="1" s="1"/>
  <c r="E61" i="39"/>
  <c r="E56" i="40"/>
  <c r="E16" i="6"/>
  <c r="O9" i="1"/>
  <c r="P9" i="1" s="1"/>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AQ9" i="1"/>
  <c r="D5" i="43"/>
  <c r="C35" i="43" s="1"/>
  <c r="E35" i="43" s="1"/>
  <c r="H75" i="43"/>
  <c r="C8" i="74"/>
  <c r="C7"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29" i="68"/>
  <c r="D27" i="68"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C14" i="12"/>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4" i="67"/>
  <c r="C16" i="67"/>
  <c r="C14" i="15"/>
  <c r="G1" i="73"/>
  <c r="C17" i="67"/>
  <c r="C16" i="15"/>
  <c r="E10" i="66" l="1"/>
  <c r="C27" i="66"/>
  <c r="D22" i="43"/>
  <c r="C7" i="43"/>
  <c r="C5" i="43" s="1"/>
  <c r="T5" i="43" s="1"/>
  <c r="V5" i="43" s="1"/>
  <c r="C37" i="43"/>
  <c r="E37" i="43" s="1"/>
  <c r="C30" i="68"/>
  <c r="C48" i="68"/>
  <c r="C47" i="68"/>
  <c r="D45" i="68" s="1"/>
  <c r="C48" i="11"/>
  <c r="C30" i="11"/>
  <c r="F48" i="69"/>
  <c r="C48" i="69"/>
  <c r="C30" i="69"/>
  <c r="D19" i="68"/>
  <c r="C19" i="68" s="1"/>
  <c r="C29" i="69"/>
  <c r="D27" i="69" s="1"/>
  <c r="F45" i="69"/>
  <c r="C38" i="69"/>
  <c r="D19" i="69"/>
  <c r="C19" i="69" s="1"/>
  <c r="C20" i="69" s="1"/>
  <c r="C28" i="69" s="1"/>
  <c r="C27" i="69" s="1"/>
  <c r="O16" i="1"/>
  <c r="E57" i="40"/>
  <c r="E62" i="39"/>
  <c r="E66" i="39" s="1"/>
  <c r="H6" i="3"/>
  <c r="K20" i="6"/>
  <c r="M20" i="6" s="1"/>
  <c r="I20" i="6" s="1"/>
  <c r="S20" i="6" s="1"/>
  <c r="K24" i="6"/>
  <c r="M24" i="6" s="1"/>
  <c r="I24" i="6" s="1"/>
  <c r="S24" i="6" s="1"/>
  <c r="E31" i="6"/>
  <c r="K22" i="6"/>
  <c r="M22" i="6" s="1"/>
  <c r="I22" i="6" s="1"/>
  <c r="S22" i="6" s="1"/>
  <c r="K23" i="6"/>
  <c r="M23" i="6" s="1"/>
  <c r="I23" i="6" s="1"/>
  <c r="S23" i="6" s="1"/>
  <c r="K21" i="6"/>
  <c r="M21" i="6" s="1"/>
  <c r="I21" i="6" s="1"/>
  <c r="S21" i="6" s="1"/>
  <c r="K26" i="6"/>
  <c r="M26" i="6" s="1"/>
  <c r="I26" i="6" s="1"/>
  <c r="S26" i="6" s="1"/>
  <c r="K19" i="6"/>
  <c r="S6" i="1" s="1"/>
  <c r="K25" i="6"/>
  <c r="M25" i="6" s="1"/>
  <c r="I25" i="6" s="1"/>
  <c r="S25" i="6"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98" i="3"/>
  <c r="AY18" i="3"/>
  <c r="AY171" i="3"/>
  <c r="AY90" i="3"/>
  <c r="AY163" i="3"/>
  <c r="AY75" i="3"/>
  <c r="AY237" i="3"/>
  <c r="AY387" i="3"/>
  <c r="AY334" i="3"/>
  <c r="AY444" i="3"/>
  <c r="AY526" i="3"/>
  <c r="AY269" i="3"/>
  <c r="AY390" i="3"/>
  <c r="AY311" i="3"/>
  <c r="AY447" i="3"/>
  <c r="AY535"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191" i="3"/>
  <c r="AY31" i="3"/>
  <c r="AY350" i="3"/>
  <c r="AY425" i="3"/>
  <c r="AY244" i="3"/>
  <c r="AY481" i="3"/>
  <c r="AY549" i="3"/>
  <c r="AY533" i="3"/>
  <c r="AY97" i="3"/>
  <c r="AY61" i="3"/>
  <c r="AY44" i="3"/>
  <c r="AY190" i="3"/>
  <c r="AY154" i="3"/>
  <c r="AY133" i="3"/>
  <c r="AY283" i="3"/>
  <c r="AY247" i="3"/>
  <c r="AY230" i="3"/>
  <c r="AY397" i="3"/>
  <c r="AY368" i="3"/>
  <c r="AY507" i="3"/>
  <c r="BB6" i="3"/>
  <c r="AY88" i="3"/>
  <c r="AY72" i="3"/>
  <c r="AY29" i="3"/>
  <c r="AY181" i="3"/>
  <c r="AY161" i="3"/>
  <c r="AY121" i="3"/>
  <c r="AY275" i="3"/>
  <c r="AY258" i="3"/>
  <c r="AY215" i="3"/>
  <c r="AY370" i="3"/>
  <c r="AY309" i="3"/>
  <c r="AY324" i="3"/>
  <c r="AY483" i="3"/>
  <c r="AY449" i="3"/>
  <c r="AY406" i="3"/>
  <c r="AY503" i="3"/>
  <c r="AY536" i="3"/>
  <c r="AY543" i="3"/>
  <c r="AY496" i="3"/>
  <c r="AY81" i="3"/>
  <c r="AY174" i="3"/>
  <c r="AY267" i="3"/>
  <c r="AY361" i="3"/>
  <c r="AY320" i="3"/>
  <c r="AY445" i="3"/>
  <c r="AY415" i="3"/>
  <c r="AY522" i="3"/>
  <c r="AY545" i="3"/>
  <c r="AY79" i="3"/>
  <c r="AY172" i="3"/>
  <c r="AY265" i="3"/>
  <c r="AY216" i="3"/>
  <c r="AY347" i="3"/>
  <c r="AY485" i="3"/>
  <c r="AY440" i="3"/>
  <c r="AY500" i="3"/>
  <c r="AY528" i="3"/>
  <c r="AY107" i="3"/>
  <c r="AY39" i="3"/>
  <c r="AY195" i="3"/>
  <c r="AY143" i="3"/>
  <c r="AY288" i="3"/>
  <c r="AY240" i="3"/>
  <c r="AY375" i="3"/>
  <c r="AY307" i="3"/>
  <c r="AY474" i="3"/>
  <c r="AY400" i="3"/>
  <c r="AY15" i="3"/>
  <c r="BT6" i="3"/>
  <c r="AY82" i="3"/>
  <c r="AY132" i="3"/>
  <c r="AY292" i="3"/>
  <c r="AY220" i="3"/>
  <c r="AY486" i="3"/>
  <c r="AY199" i="3"/>
  <c r="AY355" i="3"/>
  <c r="AY404" i="3"/>
  <c r="AY544" i="3"/>
  <c r="BE6" i="3"/>
  <c r="AY92" i="3"/>
  <c r="AY76" i="3"/>
  <c r="AY33" i="3"/>
  <c r="AY185" i="3"/>
  <c r="AY165" i="3"/>
  <c r="AY125" i="3"/>
  <c r="AY278" i="3"/>
  <c r="AY262" i="3"/>
  <c r="AY219" i="3"/>
  <c r="AY374"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47" i="3"/>
  <c r="AY341" i="3"/>
  <c r="AY480" i="3"/>
  <c r="AY438" i="3"/>
  <c r="AY419" i="3"/>
  <c r="AY580" i="3"/>
  <c r="AY572" i="3"/>
  <c r="AY520" i="3"/>
  <c r="AY552" i="3"/>
  <c r="AY532" i="3"/>
  <c r="AY523" i="3"/>
  <c r="AY64" i="3"/>
  <c r="AY21" i="3"/>
  <c r="AY153" i="3"/>
  <c r="AY113" i="3"/>
  <c r="AY250" i="3"/>
  <c r="AY396" i="3"/>
  <c r="AY337" i="3"/>
  <c r="AY305" i="3"/>
  <c r="AY479" i="3"/>
  <c r="AY476" i="3"/>
  <c r="AY434" i="3"/>
  <c r="AY402" i="3"/>
  <c r="AY505" i="3"/>
  <c r="AY538" i="3"/>
  <c r="AY515" i="3"/>
  <c r="AY551" i="3"/>
  <c r="BP6" i="3"/>
  <c r="AY493" i="3"/>
  <c r="AY62" i="3"/>
  <c r="AY19" i="3"/>
  <c r="AY151" i="3"/>
  <c r="AY301" i="3"/>
  <c r="AY233" i="3"/>
  <c r="AY248" i="3"/>
  <c r="AY394" i="3"/>
  <c r="AY383" i="3"/>
  <c r="AY359" i="3"/>
  <c r="AY315" i="3"/>
  <c r="AY330" i="3"/>
  <c r="AY482" i="3"/>
  <c r="AY451" i="3"/>
  <c r="AY408" i="3"/>
  <c r="AY421" i="3"/>
  <c r="AY13" i="3"/>
  <c r="AY547" i="3"/>
  <c r="AY568" i="3"/>
  <c r="AY576" i="3"/>
  <c r="AY102" i="3"/>
  <c r="AY71" i="3"/>
  <c r="AY54" i="3"/>
  <c r="AY22" i="3"/>
  <c r="AY200" i="3"/>
  <c r="AY164" i="3"/>
  <c r="AY175" i="3"/>
  <c r="AY136" i="3"/>
  <c r="AY293" i="3"/>
  <c r="AY257" i="3"/>
  <c r="AY272" i="3"/>
  <c r="AY208" i="3"/>
  <c r="AY386" i="3"/>
  <c r="AY351" i="3"/>
  <c r="AY339" i="3"/>
  <c r="AY322" i="3"/>
  <c r="AY477" i="3"/>
  <c r="AY443" i="3"/>
  <c r="AY432" i="3"/>
  <c r="AY413" i="3"/>
  <c r="AY521" i="3"/>
  <c r="AY566" i="3"/>
  <c r="AY583" i="3"/>
  <c r="AY567" i="3"/>
  <c r="AC6" i="3"/>
  <c r="B4" i="52"/>
  <c r="B43" i="72" s="1"/>
  <c r="C18" i="15"/>
  <c r="C15" i="15"/>
  <c r="C35" i="68"/>
  <c r="C38" i="68"/>
  <c r="F104" i="43"/>
  <c r="F102" i="43"/>
  <c r="F105" i="43"/>
  <c r="F107" i="43"/>
  <c r="F106" i="43"/>
  <c r="F103" i="43"/>
  <c r="F109" i="43"/>
  <c r="H102" i="43"/>
  <c r="H103" i="43"/>
  <c r="H104" i="43"/>
  <c r="H109" i="43"/>
  <c r="H107" i="43"/>
  <c r="H106" i="43"/>
  <c r="H105" i="43"/>
  <c r="C107" i="43"/>
  <c r="C103" i="43"/>
  <c r="C109" i="43"/>
  <c r="C104" i="43"/>
  <c r="C105" i="43"/>
  <c r="C102"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C28" i="11"/>
  <c r="C27" i="11" s="1"/>
  <c r="C47" i="11"/>
  <c r="D45" i="11" s="1"/>
  <c r="C29" i="11"/>
  <c r="D27" i="11" s="1"/>
  <c r="P12" i="1"/>
  <c r="P16" i="1" s="1"/>
  <c r="C11" i="12" s="1"/>
  <c r="N102" i="43"/>
  <c r="N105" i="43"/>
  <c r="N104" i="43"/>
  <c r="N106" i="43"/>
  <c r="N103" i="43"/>
  <c r="N107" i="43"/>
  <c r="N109" i="43"/>
  <c r="K103" i="43"/>
  <c r="K102" i="43"/>
  <c r="K105" i="43"/>
  <c r="K104" i="43"/>
  <c r="K107" i="43"/>
  <c r="K106" i="43"/>
  <c r="K109" i="43"/>
  <c r="L109" i="43"/>
  <c r="L106" i="43"/>
  <c r="L107" i="43"/>
  <c r="L103" i="43"/>
  <c r="L102" i="43"/>
  <c r="L105" i="43"/>
  <c r="L104" i="43"/>
  <c r="J107" i="43"/>
  <c r="J102" i="43"/>
  <c r="J104" i="43"/>
  <c r="J106" i="43"/>
  <c r="J105" i="43"/>
  <c r="J103" i="43"/>
  <c r="J109" i="43"/>
  <c r="G107" i="43"/>
  <c r="G104" i="43"/>
  <c r="G106" i="43"/>
  <c r="G109" i="43"/>
  <c r="G105" i="43"/>
  <c r="G102" i="43"/>
  <c r="G103" i="43"/>
  <c r="L16" i="1"/>
  <c r="N16" i="1"/>
  <c r="C34" i="11"/>
  <c r="C33" i="43"/>
  <c r="E33" i="43" s="1"/>
  <c r="C36" i="43"/>
  <c r="C38" i="43"/>
  <c r="G38" i="43" s="1"/>
  <c r="I38" i="43" s="1"/>
  <c r="C34" i="43"/>
  <c r="E34" i="43" s="1"/>
  <c r="C39" i="43"/>
  <c r="G39" i="43" s="1"/>
  <c r="I39" i="43" s="1"/>
  <c r="J10" i="40"/>
  <c r="W10" i="40" s="1"/>
  <c r="H10" i="39"/>
  <c r="AB10" i="39" s="1"/>
  <c r="F10" i="40"/>
  <c r="AA10" i="40" s="1"/>
  <c r="J10" i="39"/>
  <c r="W10" i="39" s="1"/>
  <c r="H10" i="40"/>
  <c r="AB10" i="40" s="1"/>
  <c r="F59" i="67"/>
  <c r="G35" i="43"/>
  <c r="I35" i="43" s="1"/>
  <c r="D37" i="69"/>
  <c r="C37" i="69"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P25" i="43"/>
  <c r="P23" i="43"/>
  <c r="B71" i="39" s="1"/>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C31" i="66" l="1"/>
  <c r="C30" i="66"/>
  <c r="C32" i="66"/>
  <c r="T11" i="43"/>
  <c r="V11" i="43" s="1"/>
  <c r="T10" i="43"/>
  <c r="V10" i="43" s="1"/>
  <c r="T4" i="43"/>
  <c r="V4" i="43" s="1"/>
  <c r="T8" i="43"/>
  <c r="V8" i="43" s="1"/>
  <c r="C33" i="69"/>
  <c r="C39" i="69" s="1"/>
  <c r="T2" i="43"/>
  <c r="V2" i="43" s="1"/>
  <c r="T9" i="43"/>
  <c r="V9" i="43" s="1"/>
  <c r="T6" i="43"/>
  <c r="V6" i="43" s="1"/>
  <c r="T16" i="43"/>
  <c r="V16" i="43" s="1"/>
  <c r="T14" i="43"/>
  <c r="V14" i="43" s="1"/>
  <c r="T12" i="43"/>
  <c r="V12" i="43" s="1"/>
  <c r="T15" i="43"/>
  <c r="V15" i="43" s="1"/>
  <c r="T7" i="43"/>
  <c r="V7" i="43" s="1"/>
  <c r="T3" i="43"/>
  <c r="V3" i="43" s="1"/>
  <c r="C29" i="43"/>
  <c r="T13" i="43"/>
  <c r="V13" i="43" s="1"/>
  <c r="D37" i="68"/>
  <c r="C37" i="68" s="1"/>
  <c r="C33" i="68" s="1"/>
  <c r="C39" i="68" s="1"/>
  <c r="C46" i="68" s="1"/>
  <c r="C45" i="68" s="1"/>
  <c r="AQ6" i="1"/>
  <c r="S16" i="1"/>
  <c r="AR6" i="1"/>
  <c r="T6" i="1"/>
  <c r="T16" i="1" s="1"/>
  <c r="C19" i="15"/>
  <c r="C20" i="15" s="1"/>
  <c r="C26" i="15" s="1"/>
  <c r="D19" i="6"/>
  <c r="C18" i="4"/>
  <c r="D12" i="6"/>
  <c r="D11" i="6"/>
  <c r="D13" i="6"/>
  <c r="D28" i="6"/>
  <c r="E61" i="40"/>
  <c r="H20" i="6"/>
  <c r="D25" i="6"/>
  <c r="D15" i="6"/>
  <c r="D22" i="6"/>
  <c r="D21" i="6"/>
  <c r="D24" i="6"/>
  <c r="D20" i="6"/>
  <c r="R20" i="6" s="1"/>
  <c r="D6" i="6"/>
  <c r="D9" i="6"/>
  <c r="D10" i="6"/>
  <c r="L19" i="9"/>
  <c r="D29" i="6"/>
  <c r="M19" i="9"/>
  <c r="C118" i="9" s="1"/>
  <c r="C14" i="74" s="1"/>
  <c r="B2" i="74" s="1"/>
  <c r="D26" i="6"/>
  <c r="D8" i="6"/>
  <c r="D23" i="6"/>
  <c r="D14" i="6"/>
  <c r="D5" i="6"/>
  <c r="H23" i="6"/>
  <c r="H22" i="6"/>
  <c r="R22" i="6" s="1"/>
  <c r="H25" i="6"/>
  <c r="H26" i="6"/>
  <c r="R26" i="6" s="1"/>
  <c r="H21" i="6"/>
  <c r="H24" i="6"/>
  <c r="R24" i="6" s="1"/>
  <c r="K27" i="6"/>
  <c r="M19" i="6"/>
  <c r="E6" i="3"/>
  <c r="C38" i="11"/>
  <c r="C35" i="11"/>
  <c r="C115" i="43"/>
  <c r="D113" i="43" s="1"/>
  <c r="F50" i="11"/>
  <c r="F50" i="68"/>
  <c r="F50" i="69"/>
  <c r="C15" i="12"/>
  <c r="C12" i="12"/>
  <c r="E38" i="43"/>
  <c r="E36" i="43"/>
  <c r="G36" i="43"/>
  <c r="I36"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F25" i="12"/>
  <c r="F22" i="69"/>
  <c r="F41" i="69" s="1"/>
  <c r="F24" i="67"/>
  <c r="C24" i="67" s="1"/>
  <c r="F22" i="11"/>
  <c r="F22" i="68"/>
  <c r="F24" i="15"/>
  <c r="C24" i="15" s="1"/>
  <c r="F41" i="15"/>
  <c r="F69" i="15" l="1"/>
  <c r="J29" i="15"/>
  <c r="E26" i="66"/>
  <c r="U6" i="1" s="1"/>
  <c r="R25" i="6"/>
  <c r="R23" i="6"/>
  <c r="D30" i="6"/>
  <c r="C46" i="69"/>
  <c r="C45" i="69" s="1"/>
  <c r="C26" i="43"/>
  <c r="E29" i="43"/>
  <c r="C30" i="43"/>
  <c r="E30" i="43" s="1"/>
  <c r="C27" i="43" s="1"/>
  <c r="R21" i="6"/>
  <c r="D27" i="6"/>
  <c r="D31" i="6" s="1"/>
  <c r="I19" i="6"/>
  <c r="M27" i="6"/>
  <c r="D16" i="6"/>
  <c r="D8" i="74"/>
  <c r="D7" i="74"/>
  <c r="C4" i="52"/>
  <c r="B45" i="72" s="1"/>
  <c r="A10" i="51"/>
  <c r="B9" i="72" s="1"/>
  <c r="A7" i="51"/>
  <c r="B7" i="72" s="1"/>
  <c r="C16" i="12"/>
  <c r="C21" i="12" s="1"/>
  <c r="C33" i="11"/>
  <c r="C39" i="11" s="1"/>
  <c r="C46" i="11" s="1"/>
  <c r="C45"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 i="68" s="1"/>
  <c r="C7" i="68" s="1"/>
  <c r="C5" i="68" s="1"/>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43" i="11"/>
  <c r="C25" i="11"/>
  <c r="C26" i="11"/>
  <c r="D22" i="11" s="1"/>
  <c r="C43" i="69"/>
  <c r="C38" i="67"/>
  <c r="C66" i="67"/>
  <c r="C60" i="67"/>
  <c r="C23" i="67"/>
  <c r="C29" i="67" s="1"/>
  <c r="B6" i="76"/>
  <c r="F6" i="15"/>
  <c r="E6" i="76"/>
  <c r="C6" i="15" l="1"/>
  <c r="C20" i="68"/>
  <c r="C25" i="68" s="1"/>
  <c r="C22" i="68" s="1"/>
  <c r="E2" i="76"/>
  <c r="C42" i="11"/>
  <c r="C41" i="11" s="1"/>
  <c r="C49" i="11" s="1"/>
  <c r="C51" i="11" s="1"/>
  <c r="I27" i="6"/>
  <c r="S19" i="6"/>
  <c r="S27" i="6" s="1"/>
  <c r="H19" i="6"/>
  <c r="I5" i="6"/>
  <c r="I6" i="6"/>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32" i="15" l="1"/>
  <c r="C5" i="15"/>
  <c r="C38" i="15" s="1"/>
  <c r="C28" i="68"/>
  <c r="C27" i="68" s="1"/>
  <c r="C31" i="68" s="1"/>
  <c r="C52" i="68" s="1"/>
  <c r="B2" i="68" s="1"/>
  <c r="B3" i="76"/>
  <c r="H27" i="6"/>
  <c r="R19" i="6"/>
  <c r="C30" i="12"/>
  <c r="C28" i="12" s="1"/>
  <c r="C32" i="12" s="1"/>
  <c r="B2" i="12" s="1"/>
  <c r="B3" i="12"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C19" i="9"/>
  <c r="C102" i="9" l="1"/>
  <c r="C21" i="9"/>
  <c r="B3" i="68"/>
  <c r="R27" i="6"/>
  <c r="R6" i="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J16" i="67"/>
  <c r="J25" i="67" s="1"/>
  <c r="C80" i="67"/>
  <c r="C79" i="67" s="1"/>
  <c r="C58" i="67"/>
  <c r="C67" i="67" s="1"/>
  <c r="C68" i="67" s="1"/>
  <c r="Q69" i="67"/>
  <c r="Q68" i="67" s="1"/>
  <c r="C40" i="67"/>
  <c r="C57" i="69"/>
  <c r="C56" i="69" s="1"/>
  <c r="D34" i="9"/>
  <c r="F35" i="15"/>
  <c r="D35" i="9"/>
  <c r="C20" i="9"/>
  <c r="M21" i="15"/>
  <c r="J20" i="15" l="1"/>
  <c r="J17" i="15" s="1"/>
  <c r="J16" i="15" s="1"/>
  <c r="J25" i="15" s="1"/>
  <c r="F63" i="15"/>
  <c r="C62" i="15" s="1"/>
  <c r="C59" i="15" s="1"/>
  <c r="C58" i="15" s="1"/>
  <c r="C67" i="15" s="1"/>
  <c r="C68" i="15" s="1"/>
  <c r="C71" i="15" s="1"/>
  <c r="C34" i="15"/>
  <c r="C31" i="15" s="1"/>
  <c r="C30" i="15" s="1"/>
  <c r="C39" i="15" s="1"/>
  <c r="R16" i="1"/>
  <c r="C103" i="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80" i="15"/>
  <c r="C79" i="15" s="1"/>
  <c r="Q69" i="15"/>
  <c r="Q68" i="15" s="1"/>
  <c r="C40"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B2" i="15" l="1"/>
  <c r="Q65" i="15"/>
  <c r="Q47" i="15"/>
  <c r="Q53" i="15" s="1"/>
  <c r="C46" i="15"/>
  <c r="Q56" i="15"/>
  <c r="C43" i="15"/>
  <c r="C83" i="15"/>
  <c r="C82" i="15" s="1"/>
  <c r="Q57" i="15"/>
  <c r="Q75" i="15"/>
  <c r="H7" i="39"/>
  <c r="J7" i="39"/>
  <c r="AA7" i="39"/>
  <c r="R47" i="39" s="1"/>
  <c r="S7" i="39"/>
  <c r="R39" i="35"/>
  <c r="E38" i="35"/>
  <c r="M63" i="40"/>
  <c r="L65" i="40"/>
  <c r="D19" i="9"/>
  <c r="AO6" i="1"/>
  <c r="B6" i="70" l="1"/>
  <c r="B2" i="70" s="1"/>
  <c r="B3" i="70" s="1"/>
  <c r="D102" i="9"/>
  <c r="D21" i="9"/>
  <c r="G19" i="9"/>
  <c r="G21" i="9" s="1"/>
  <c r="D22" i="9"/>
  <c r="Q62" i="15"/>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G118" i="9" l="1"/>
  <c r="G4" i="52" s="1"/>
  <c r="B52" i="72" s="1"/>
  <c r="F4" i="52"/>
  <c r="B51" i="72" s="1"/>
  <c r="H118" i="9"/>
  <c r="I118" i="9" s="1"/>
  <c r="I4" i="52" s="1"/>
  <c r="C105" i="9" l="1"/>
  <c r="H102" i="9"/>
  <c r="D7" i="53" s="1"/>
  <c r="B21" i="72" s="1"/>
  <c r="E118" i="9"/>
  <c r="E4" i="52" s="1"/>
  <c r="B48" i="72" s="1"/>
  <c r="D118" i="9"/>
  <c r="C104" i="9"/>
  <c r="H4" i="52"/>
  <c r="H119" i="9"/>
  <c r="H5" i="52" s="1"/>
  <c r="D14" i="74"/>
  <c r="H101" i="9"/>
  <c r="M48" i="9" l="1"/>
  <c r="D5" i="53"/>
  <c r="H107" i="9"/>
  <c r="D45" i="9"/>
  <c r="F14" i="74"/>
  <c r="B5" i="74"/>
  <c r="E14" i="74"/>
  <c r="D4" i="52"/>
  <c r="B47" i="72" s="1"/>
  <c r="D119" i="9"/>
  <c r="D5" i="52" s="1"/>
  <c r="B49" i="72" s="1"/>
  <c r="D13" i="53" l="1"/>
  <c r="M49" i="9"/>
  <c r="D122" i="9"/>
  <c r="H108" i="9"/>
  <c r="D15" i="53" s="1"/>
  <c r="B31" i="72" s="1"/>
  <c r="C5" i="74"/>
  <c r="D5" i="74"/>
  <c r="C93" i="9"/>
  <c r="C86" i="9" s="1"/>
  <c r="C78" i="9"/>
  <c r="C73" i="9" s="1"/>
  <c r="C85" i="9"/>
  <c r="C72" i="9"/>
  <c r="C79" i="9" s="1"/>
  <c r="D53" i="9"/>
  <c r="D52" i="9"/>
  <c r="C64" i="9"/>
  <c r="C63" i="9" s="1"/>
  <c r="C67" i="9" s="1"/>
  <c r="D55" i="9"/>
  <c r="M53" i="9" s="1"/>
  <c r="B20" i="72"/>
  <c r="D6" i="53"/>
  <c r="B22" i="72" s="1"/>
  <c r="C95" i="9" l="1"/>
  <c r="C96" i="9" s="1"/>
  <c r="E96" i="9" s="1"/>
  <c r="E97" i="9" s="1"/>
  <c r="C80" i="9"/>
  <c r="E80" i="9" s="1"/>
  <c r="E81" i="9" s="1"/>
  <c r="L66" i="9"/>
  <c r="M66" i="9" s="1"/>
  <c r="L64" i="9"/>
  <c r="M64" i="9" s="1"/>
  <c r="L65" i="9"/>
  <c r="M65" i="9" s="1"/>
  <c r="L67" i="9"/>
  <c r="M67" i="9" s="1"/>
  <c r="L68" i="9"/>
  <c r="M68" i="9" s="1"/>
  <c r="L63" i="9"/>
  <c r="M63" i="9" s="1"/>
  <c r="C68" i="9"/>
  <c r="D54" i="9" s="1"/>
  <c r="D59" i="9"/>
  <c r="M55" i="9" s="1"/>
  <c r="D8" i="52"/>
  <c r="G14" i="74"/>
  <c r="B6" i="74" s="1"/>
  <c r="D123" i="9"/>
  <c r="D9" i="52" s="1"/>
  <c r="B30" i="72"/>
  <c r="D14" i="53"/>
  <c r="B32" i="72" s="1"/>
  <c r="M69" i="9" l="1"/>
  <c r="N69" i="9" s="1"/>
  <c r="C81" i="9"/>
  <c r="C97" i="9"/>
  <c r="D58" i="9" s="1"/>
  <c r="D56" i="9" s="1"/>
  <c r="M54" i="9" s="1"/>
  <c r="N57" i="9" s="1"/>
  <c r="P57" i="9" s="1"/>
  <c r="D6" i="74"/>
  <c r="C6"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<sst xmlns="http://schemas.openxmlformats.org/spreadsheetml/2006/main" count="7362" uniqueCount="3128">
  <si>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</si>
  <si>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</si>
  <si>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</si>
  <si>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</si>
  <si>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</si>
  <si>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</si>
  <si>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</si>
  <si>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</si>
  <si>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</si>
  <si>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</si>
  <si>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</si>
  <si>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</si>
  <si>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</si>
  <si>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</si>
  <si>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</si>
  <si>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</si>
  <si>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</si>
  <si>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</si>
  <si>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</si>
  <si>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</si>
  <si>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</si>
  <si>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</si>
  <si>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</si>
  <si>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</si>
  <si>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</si>
  <si>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</si>
  <si>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</si>
  <si>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</si>
  <si>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</si>
  <si>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</si>
  <si>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</si>
  <si>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</si>
  <si>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</si>
  <si>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</si>
  <si>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</si>
  <si>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</si>
  <si>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</si>
  <si>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</si>
  <si>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</si>
  <si>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</si>
  <si>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</si>
  <si>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</si>
  <si>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</si>
  <si>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</si>
  <si>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</si>
  <si>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</si>
  <si>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</si>
  <si>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</si>
  <si>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</si>
  <si>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</si>
  <si>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</si>
  <si>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</si>
  <si>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</si>
  <si>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</si>
  <si>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</si>
  <si>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</si>
  <si>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</si>
  <si>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</si>
  <si>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</si>
  <si>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</si>
  <si>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</si>
  <si>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</si>
  <si>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</si>
  <si>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</si>
  <si>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</si>
  <si>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</si>
  <si>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</si>
  <si>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</si>
  <si>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</si>
  <si>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</si>
  <si>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</si>
  <si>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</si>
  <si>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</si>
  <si>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</si>
  <si>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</si>
  <si>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</si>
  <si>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</si>
  <si>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</si>
  <si>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</si>
  <si>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</si>
  <si>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</si>
  <si>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</si>
  <si>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</si>
  <si>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</si>
  <si>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</si>
  <si>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</si>
  <si>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</si>
  <si>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</si>
  <si>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</si>
  <si>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</si>
  <si>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</si>
  <si>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</si>
  <si>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</si>
  <si>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</si>
  <si>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</si>
  <si>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</si>
  <si>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</si>
  <si>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</si>
  <si>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</si>
  <si>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</si>
  <si>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</si>
  <si>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</si>
  <si>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</si>
  <si>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</si>
  <si>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</si>
  <si>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</si>
  <si>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</si>
  <si>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</si>
  <si>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</si>
  <si>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</si>
  <si>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</si>
  <si>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</si>
  <si>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</si>
  <si>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</si>
  <si>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</si>
  <si>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</si>
  <si>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</si>
  <si>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</si>
  <si>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</si>
  <si>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</si>
  <si>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</si>
  <si>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</si>
  <si>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</si>
  <si>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</si>
  <si>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</si>
  <si>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</si>
  <si>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</si>
  <si>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</si>
  <si>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</si>
  <si>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</si>
  <si>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</si>
  <si>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</si>
  <si>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</si>
  <si>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</si>
  <si>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</si>
  <si>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</si>
  <si>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</si>
  <si>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</si>
  <si>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</si>
  <si>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</si>
  <si>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</si>
  <si>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</si>
  <si>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</si>
  <si>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</si>
  <si>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</si>
  <si>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</si>
  <si>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</si>
  <si>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</si>
  <si>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</si>
  <si>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</si>
  <si>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</si>
  <si>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</si>
  <si>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</si>
  <si>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</si>
  <si>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</si>
  <si>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</si>
  <si>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</si>
  <si>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</si>
  <si>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</si>
  <si>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</si>
  <si>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</si>
  <si>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</si>
  <si>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</si>
  <si>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</si>
  <si>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</si>
  <si>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</si>
  <si>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</si>
  <si>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</si>
  <si>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</si>
  <si>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</si>
  <si>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</si>
  <si>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</si>
  <si>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</si>
  <si>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</si>
  <si>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</si>
  <si>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</si>
  <si>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</si>
  <si>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</si>
  <si>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</si>
  <si>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</si>
  <si>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</si>
  <si>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</si>
  <si>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</si>
  <si>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</si>
  <si>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</si>
  <si>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</si>
  <si>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</si>
  <si>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</si>
  <si>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</si>
  <si>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</si>
  <si>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</si>
  <si>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</si>
  <si>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</si>
  <si>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</si>
  <si>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</si>
  <si>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</si>
  <si>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</si>
  <si>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</si>
  <si>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</si>
  <si>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</si>
  <si>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</si>
  <si>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</si>
  <si>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</si>
  <si>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</si>
  <si>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</si>
  <si>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</si>
  <si>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</si>
  <si>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</si>
  <si>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</si>
  <si>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</si>
  <si>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</si>
  <si>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</si>
  <si>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</si>
  <si>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</si>
  <si>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</si>
  <si>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</si>
  <si>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</si>
  <si>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</si>
  <si>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</si>
  <si>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</si>
  <si>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</si>
  <si>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</si>
  <si>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</si>
  <si>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</si>
  <si>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</si>
  <si>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</si>
  <si>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</si>
  <si>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</si>
  <si>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</si>
  <si>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</si>
  <si>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</si>
  <si>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</si>
  <si>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</si>
  <si>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</si>
  <si>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</si>
  <si>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</si>
  <si>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</si>
  <si>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</si>
  <si>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</si>
  <si>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</si>
  <si>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</si>
  <si>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</si>
  <si>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</si>
  <si>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</si>
  <si>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</si>
  <si>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</si>
  <si>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</si>
  <si>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</si>
  <si>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</si>
  <si>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</si>
  <si>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</si>
  <si>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</si>
  <si>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</si>
  <si>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</si>
  <si>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</si>
  <si>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</si>
  <si>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</si>
  <si>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</si>
  <si>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</si>
  <si>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</si>
  <si>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</si>
  <si>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</si>
  <si>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</si>
  <si>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</si>
  <si>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</si>
  <si>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</si>
  <si>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</si>
  <si>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</si>
  <si>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</si>
  <si>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</si>
  <si>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</si>
  <si>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</si>
  <si>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</si>
  <si>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</si>
  <si>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</si>
  <si>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</si>
  <si>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</si>
  <si>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</si>
  <si>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</si>
  <si>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</si>
  <si>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</si>
  <si>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</si>
  <si>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</si>
  <si>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</si>
  <si>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</si>
  <si>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</si>
  <si>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</si>
  <si>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</si>
  <si>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</si>
  <si>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</si>
  <si>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</si>
  <si>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</si>
  <si>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</si>
  <si>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</si>
  <si>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</si>
  <si>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</si>
  <si>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</si>
  <si>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</si>
  <si>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</si>
  <si>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</si>
  <si>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</si>
  <si>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</si>
  <si>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</si>
  <si>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</si>
  <si>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</si>
  <si>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</si>
  <si>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</si>
  <si>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</si>
  <si>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</si>
  <si>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</si>
  <si>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</si>
  <si>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</si>
  <si>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</si>
  <si>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</si>
  <si>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</si>
  <si>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</si>
  <si>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</si>
  <si>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</si>
  <si>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</si>
  <si>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</si>
  <si>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</si>
  <si>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</si>
  <si>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</si>
  <si>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</si>
  <si>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</si>
  <si>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</si>
  <si>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</si>
  <si>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</si>
  <si>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</si>
  <si>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</si>
  <si>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</si>
  <si>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</si>
  <si>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</si>
  <si>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</si>
  <si>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</si>
  <si>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</si>
  <si>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</si>
  <si>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</si>
  <si>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</si>
  <si>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</si>
  <si>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</si>
  <si>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</si>
  <si>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</si>
  <si>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</si>
  <si>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</si>
  <si>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</si>
  <si>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</si>
  <si>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</si>
  <si>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</si>
  <si>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</si>
  <si>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</si>
  <si>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</si>
  <si>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</si>
  <si>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</si>
  <si>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</si>
  <si>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</si>
  <si>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</si>
  <si>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</si>
  <si>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</si>
  <si>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</si>
  <si>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</si>
  <si>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</si>
  <si>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</si>
  <si>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</si>
  <si>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</si>
  <si>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</si>
  <si>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</si>
  <si>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</si>
  <si>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</si>
  <si>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</si>
  <si>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</si>
  <si>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</si>
  <si>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</si>
  <si>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</si>
  <si>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</si>
  <si>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</si>
  <si>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</si>
  <si>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</si>
  <si>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</si>
  <si>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</si>
  <si>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</si>
  <si>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</si>
  <si>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</si>
  <si>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</si>
  <si>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</si>
  <si>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</si>
  <si>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</si>
  <si>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</si>
  <si>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</si>
  <si>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</si>
  <si>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</si>
  <si>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</si>
  <si>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</si>
  <si>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</si>
  <si>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</si>
  <si>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</si>
  <si>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</si>
  <si>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</si>
  <si>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</si>
  <si>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</si>
  <si>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</si>
  <si>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</si>
  <si>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</si>
  <si>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</si>
  <si>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</si>
  <si>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</si>
  <si>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</si>
  <si>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</si>
  <si>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</si>
  <si>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</si>
  <si>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</si>
  <si>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</si>
  <si>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</si>
  <si>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</si>
  <si>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</si>
  <si>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</si>
  <si>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</si>
  <si>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</si>
  <si>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</si>
  <si>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</si>
  <si>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</si>
  <si>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</si>
  <si>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</si>
  <si>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</si>
  <si>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</si>
  <si>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</si>
  <si>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</si>
  <si>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</si>
  <si>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</si>
  <si>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</si>
  <si>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</si>
  <si>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</si>
  <si>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</si>
  <si>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</si>
  <si>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</si>
  <si>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</si>
  <si>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</si>
  <si>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</si>
  <si>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</si>
  <si>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</si>
  <si>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</si>
  <si>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</si>
  <si>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</si>
  <si>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</si>
  <si>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</si>
  <si>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</si>
  <si>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</si>
  <si>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</si>
  <si>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</si>
  <si>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</si>
  <si>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</si>
  <si>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</si>
  <si>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</si>
  <si>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</si>
  <si>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</si>
  <si>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</si>
  <si>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</si>
  <si>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</si>
  <si>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</si>
  <si>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</si>
  <si>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</si>
  <si>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</si>
  <si>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</si>
  <si>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</si>
  <si>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</si>
  <si>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</si>
  <si>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</si>
  <si>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</si>
  <si>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</si>
  <si>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</si>
  <si>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</si>
  <si>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</si>
  <si>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</si>
  <si>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</si>
  <si>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</si>
  <si>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</si>
  <si>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</si>
  <si>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</si>
  <si>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</si>
  <si>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</si>
  <si>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</si>
  <si>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</si>
  <si>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</si>
  <si>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</si>
  <si>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</si>
  <si>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</si>
  <si>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</si>
  <si>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</si>
  <si>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</si>
  <si>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</si>
  <si>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</si>
  <si>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</si>
  <si>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</si>
  <si>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</si>
  <si>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</si>
  <si>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</si>
  <si>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</si>
  <si>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</si>
  <si>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</si>
  <si>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</si>
  <si>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</si>
  <si>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</si>
  <si>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</si>
  <si>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</si>
  <si>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</si>
  <si>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</si>
  <si>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</si>
  <si>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</si>
  <si>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</si>
  <si>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</si>
  <si>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</si>
  <si>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</si>
  <si>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</si>
  <si>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</si>
  <si>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</si>
  <si>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</si>
  <si>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</si>
  <si>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</si>
  <si>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</si>
  <si>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</si>
  <si>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</si>
  <si>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</si>
  <si>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</si>
  <si>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</si>
  <si>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</si>
  <si>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</si>
  <si>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</si>
  <si>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</si>
  <si>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</si>
  <si>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</si>
  <si>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</si>
  <si>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</si>
  <si>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</si>
  <si>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</si>
  <si>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</si>
  <si>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</si>
  <si>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</si>
  <si>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</si>
  <si>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</si>
  <si>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</si>
  <si>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</si>
  <si>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</si>
  <si>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</si>
  <si>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</si>
  <si>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</si>
  <si>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</si>
  <si>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</si>
  <si>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</si>
  <si>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</si>
  <si>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</si>
  <si>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</si>
  <si>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</si>
  <si>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</si>
  <si>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</si>
  <si>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</si>
  <si>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</si>
  <si>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</si>
  <si>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</si>
  <si>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</si>
  <si>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</si>
  <si>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</si>
  <si>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</si>
  <si>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</si>
  <si>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</si>
  <si>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</si>
  <si>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</si>
  <si>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</si>
  <si>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</si>
  <si>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</si>
  <si>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</si>
  <si>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</si>
  <si>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</si>
  <si>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</si>
  <si>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</si>
  <si>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</si>
  <si>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</si>
  <si>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</si>
  <si>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</si>
  <si>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</si>
  <si>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</si>
  <si>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</si>
  <si>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</si>
  <si>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</si>
  <si>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</si>
  <si>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</si>
  <si>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</si>
  <si>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</si>
  <si>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</si>
  <si>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</si>
  <si>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</si>
  <si>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</si>
  <si>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</si>
  <si>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</si>
  <si>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</si>
  <si>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</si>
  <si>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</si>
  <si>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</si>
  <si>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</si>
  <si>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</si>
  <si>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</si>
  <si>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</si>
  <si>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</si>
  <si>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</si>
  <si>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</si>
  <si>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</si>
  <si>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</si>
  <si>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</si>
  <si>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</si>
  <si>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</si>
  <si>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</si>
  <si>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</si>
  <si>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</si>
  <si>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</si>
  <si>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</si>
  <si>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</si>
  <si>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</si>
  <si>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</si>
  <si>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</si>
  <si>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</si>
  <si>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</si>
  <si>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</si>
  <si>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</si>
  <si>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</si>
  <si>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</si>
  <si>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</si>
  <si>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</si>
  <si>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</si>
  <si>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</si>
  <si>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</si>
  <si>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</si>
  <si>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</si>
  <si>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</si>
  <si>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</si>
  <si>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</si>
  <si>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</si>
  <si>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</si>
  <si>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</si>
  <si>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</si>
  <si>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</si>
  <si>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</si>
  <si>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</si>
  <si>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</si>
  <si>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</si>
  <si>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</si>
  <si>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</si>
  <si>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</si>
  <si>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</si>
  <si>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</si>
  <si>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</si>
  <si>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</si>
  <si>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</si>
  <si>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</si>
  <si>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</si>
  <si>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</si>
  <si>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</si>
  <si>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</si>
  <si>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</si>
  <si>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</si>
  <si>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</si>
  <si>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</si>
  <si>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</si>
  <si>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</si>
  <si>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</si>
  <si>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</si>
  <si>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</si>
  <si>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</si>
  <si>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</si>
  <si>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</si>
  <si>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</si>
  <si>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</si>
  <si>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</si>
  <si>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</si>
  <si>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</si>
  <si>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</si>
  <si>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</si>
  <si>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</si>
  <si>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</si>
  <si>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</si>
  <si>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</si>
  <si>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</si>
  <si>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</si>
  <si>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</si>
  <si>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</si>
  <si>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</si>
  <si>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</si>
  <si>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</si>
  <si>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</si>
  <si>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</si>
  <si>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</si>
  <si>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</si>
  <si>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</si>
  <si>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</si>
  <si>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</si>
  <si>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</si>
  <si>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</si>
  <si>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</si>
  <si>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</si>
  <si>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</si>
  <si>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</si>
  <si>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</si>
  <si>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</si>
  <si>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</si>
  <si>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</si>
  <si>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</si>
  <si>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</si>
  <si>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</si>
  <si>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</si>
  <si>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</si>
  <si>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</si>
  <si>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</si>
  <si>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</si>
  <si>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</si>
  <si>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</si>
  <si>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</si>
  <si>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</si>
  <si>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</si>
  <si>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</si>
  <si>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</si>
  <si>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</si>
  <si>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</si>
  <si>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</si>
  <si>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</si>
  <si>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</si>
  <si>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</si>
  <si>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</si>
  <si>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</si>
  <si>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</si>
  <si>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</si>
  <si>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</si>
  <si>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</si>
  <si>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</si>
  <si>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</si>
  <si>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</si>
  <si>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</si>
  <si>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</si>
  <si>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</si>
  <si>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</si>
  <si>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</si>
  <si>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</si>
  <si>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</si>
  <si>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</si>
  <si>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</si>
  <si>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</si>
  <si>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</si>
  <si>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</si>
  <si>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</si>
  <si>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</si>
  <si>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</si>
  <si>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</si>
  <si>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</si>
  <si>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</si>
  <si>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</si>
  <si>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</si>
  <si>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</si>
  <si>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</si>
  <si>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</si>
  <si>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</si>
  <si>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</si>
  <si>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</si>
  <si>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</si>
  <si>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</si>
  <si>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</si>
  <si>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</si>
  <si>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</si>
  <si>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</si>
  <si>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</si>
  <si>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</si>
  <si>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</si>
  <si>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</si>
  <si>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</si>
  <si>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</si>
  <si>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</si>
  <si>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</si>
  <si>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</si>
  <si>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</si>
  <si>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</si>
  <si>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</si>
  <si>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</si>
  <si>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</si>
  <si>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</si>
  <si>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</si>
  <si>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</si>
  <si>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</si>
  <si>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</si>
  <si>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</si>
  <si>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</si>
  <si>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</si>
  <si>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</si>
  <si>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</si>
  <si>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</si>
  <si>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</si>
  <si>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</si>
  <si>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</si>
  <si>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</si>
  <si>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</si>
  <si>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</si>
  <si>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</si>
  <si>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</si>
  <si>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</si>
  <si>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</si>
  <si>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</si>
  <si>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</si>
  <si>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</si>
  <si>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</si>
  <si>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</si>
  <si>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</si>
  <si>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</si>
  <si>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</si>
  <si>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</si>
  <si>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</si>
  <si>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</si>
  <si>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</si>
  <si>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</si>
  <si>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</si>
  <si>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</si>
  <si>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</si>
  <si>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</si>
  <si>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</si>
  <si>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</si>
  <si>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</si>
  <si>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</si>
  <si>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</si>
  <si>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</si>
  <si>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</si>
  <si>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</si>
  <si>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</si>
  <si>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</si>
  <si>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</si>
  <si>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</si>
  <si>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</si>
  <si>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</si>
  <si>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</si>
  <si>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</si>
  <si>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</si>
  <si>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</si>
  <si>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</si>
  <si>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</si>
  <si>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</si>
  <si>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</si>
  <si>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</si>
  <si>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</si>
  <si>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</si>
  <si>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</si>
  <si>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</si>
  <si>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</si>
  <si>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</si>
  <si>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</si>
  <si>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</si>
  <si>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</si>
  <si>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</si>
  <si>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</si>
  <si>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</si>
  <si>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</si>
  <si>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</si>
  <si>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</si>
  <si>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</si>
  <si>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</si>
  <si>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</si>
  <si>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</si>
  <si>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</si>
  <si>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</si>
  <si>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</si>
  <si>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</si>
  <si>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</si>
  <si>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</si>
  <si>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</si>
  <si>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</si>
  <si>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</si>
  <si>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</si>
  <si>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</si>
  <si>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</si>
  <si>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</si>
  <si>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</si>
  <si>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</si>
  <si>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</si>
  <si>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</si>
  <si>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</si>
  <si>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</si>
  <si>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</si>
  <si>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</si>
  <si>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</si>
  <si>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</si>
  <si>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</si>
  <si>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</si>
  <si>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</si>
  <si>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</si>
  <si>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</si>
  <si>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</si>
  <si>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</si>
  <si>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</si>
  <si>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</si>
  <si>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</si>
  <si>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</si>
  <si>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</si>
  <si>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</si>
  <si>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</si>
  <si>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</si>
  <si>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</si>
  <si>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</si>
  <si>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</si>
  <si>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</si>
  <si>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</si>
  <si>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</si>
  <si>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</si>
  <si>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</si>
  <si>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</si>
  <si>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</si>
  <si>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</si>
  <si>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</si>
  <si>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</si>
  <si>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</si>
  <si>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</si>
  <si>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</si>
  <si>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</si>
  <si>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</si>
  <si>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</si>
  <si>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</si>
  <si>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</si>
  <si>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</si>
  <si>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</si>
  <si>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</si>
  <si>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</si>
  <si>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</si>
  <si>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</si>
  <si>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</si>
  <si>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</si>
  <si>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</si>
  <si>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</si>
  <si>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</si>
  <si>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</si>
  <si>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</si>
  <si>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</si>
  <si>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</si>
  <si>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</si>
  <si>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</si>
  <si>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</si>
  <si>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</si>
  <si>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</si>
  <si>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</si>
  <si>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</si>
  <si>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</si>
  <si>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</si>
  <si>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</si>
  <si>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</si>
  <si>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</si>
  <si>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</si>
  <si>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</si>
  <si>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</si>
  <si>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</si>
  <si>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</si>
  <si>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</si>
  <si>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</si>
  <si>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</si>
  <si>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</si>
  <si>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</si>
  <si>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</si>
  <si>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</si>
  <si>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</si>
  <si>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</si>
  <si>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</si>
  <si>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</si>
  <si>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</si>
  <si>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</si>
  <si>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</si>
  <si>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</si>
  <si>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</si>
  <si>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</si>
  <si>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</si>
  <si>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</si>
  <si>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</si>
  <si>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</si>
  <si>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</si>
  <si>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</si>
  <si>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</si>
  <si>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</si>
  <si>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</si>
  <si>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</si>
  <si>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</si>
  <si>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</si>
  <si>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</si>
  <si>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</si>
  <si>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</si>
  <si>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</si>
  <si>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</si>
  <si>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</si>
  <si>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</si>
  <si>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</si>
  <si>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</si>
  <si>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</si>
  <si>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</si>
  <si>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</si>
  <si>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</si>
  <si>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</si>
  <si>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</si>
  <si>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</si>
  <si>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</si>
  <si>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</si>
  <si>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</si>
  <si>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</si>
  <si>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</si>
  <si>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</si>
  <si>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</si>
  <si>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</si>
  <si>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</si>
  <si>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</si>
  <si>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</si>
  <si>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</si>
  <si>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</si>
  <si>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</si>
  <si>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</si>
  <si>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</si>
  <si>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</si>
  <si>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</si>
  <si>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</si>
  <si>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</si>
  <si>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</si>
  <si>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</si>
  <si>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</si>
  <si>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</si>
  <si>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</si>
  <si>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</si>
  <si>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</si>
  <si>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</si>
  <si>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</si>
  <si>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</si>
  <si>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</si>
  <si>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</si>
  <si>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</si>
  <si>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</si>
  <si>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</si>
  <si>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</si>
  <si>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</si>
  <si>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</si>
  <si>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</si>
  <si>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</si>
  <si>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</si>
  <si>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</si>
  <si>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</si>
  <si>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</si>
  <si>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</si>
  <si>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</si>
  <si>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</si>
  <si>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</si>
  <si>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</si>
  <si>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</si>
  <si>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</si>
  <si>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</si>
  <si>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</si>
  <si>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</si>
  <si>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</si>
  <si>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</si>
  <si>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</si>
  <si>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</si>
  <si>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</si>
  <si>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</si>
  <si>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</si>
  <si>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</si>
  <si>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</si>
  <si>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</si>
  <si>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</si>
  <si>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</si>
  <si>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</si>
  <si>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</si>
  <si>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</si>
  <si>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</si>
  <si>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</si>
  <si>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</si>
  <si>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</si>
  <si>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</si>
  <si>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</si>
  <si>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</si>
  <si>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</si>
  <si>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</si>
  <si>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</si>
  <si>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</si>
  <si>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</si>
  <si>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</si>
  <si>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</si>
  <si>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</si>
  <si>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</si>
  <si>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</si>
  <si>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</si>
  <si>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</si>
  <si>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</si>
  <si>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</si>
  <si>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</si>
  <si>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</si>
  <si>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</si>
  <si>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</si>
  <si>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</si>
  <si>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</si>
  <si>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</si>
  <si>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</si>
  <si>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</si>
  <si>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</si>
  <si>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</si>
  <si>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</si>
  <si>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</si>
  <si>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</si>
  <si>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</si>
  <si>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</si>
  <si>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</si>
  <si>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</si>
  <si>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</si>
  <si>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</si>
  <si>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</si>
  <si>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</si>
  <si>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</si>
  <si>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</si>
  <si>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</si>
  <si>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</si>
  <si>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</si>
  <si>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</si>
  <si>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</si>
  <si>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</si>
  <si>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</si>
  <si>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</si>
  <si>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</si>
  <si>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</si>
  <si>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</si>
  <si>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</si>
  <si>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</si>
  <si>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</si>
  <si>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</si>
  <si>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</si>
  <si>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</si>
  <si>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</si>
  <si>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</si>
  <si>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</si>
  <si>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</si>
  <si>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</si>
  <si>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</si>
  <si>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</si>
  <si>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</si>
  <si>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</si>
  <si>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</si>
  <si>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</si>
  <si>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</si>
  <si>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</si>
  <si>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</si>
  <si>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</si>
  <si>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</si>
  <si>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</si>
  <si>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</si>
  <si>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</si>
  <si>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</si>
  <si>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</si>
  <si>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</si>
  <si>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</si>
  <si>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</si>
  <si>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</si>
  <si>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</si>
  <si>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</si>
  <si>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</si>
  <si>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</si>
  <si>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</si>
  <si>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</si>
  <si>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</si>
  <si>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</si>
  <si>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</si>
  <si>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</si>
  <si>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</si>
  <si>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</si>
  <si>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</si>
  <si>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</si>
  <si>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</si>
  <si>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</si>
  <si>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</si>
  <si>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</si>
  <si>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</si>
  <si>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</si>
  <si>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</si>
  <si>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</si>
  <si>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</si>
  <si>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</si>
  <si>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</si>
  <si>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</si>
  <si>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</si>
  <si>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</si>
  <si>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</si>
  <si>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</si>
  <si>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</si>
  <si>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</si>
  <si>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</si>
  <si>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</si>
  <si>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</si>
  <si>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</si>
  <si>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</si>
  <si>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</si>
  <si>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</si>
  <si>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</si>
  <si>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</si>
  <si>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</si>
  <si>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</si>
  <si>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</si>
  <si>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</si>
  <si>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</si>
  <si>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</si>
  <si>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</si>
  <si>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</si>
  <si>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</si>
  <si>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</si>
  <si>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</si>
  <si>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</si>
  <si>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</si>
  <si>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</si>
  <si>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</si>
  <si>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</si>
  <si>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</si>
  <si>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</si>
  <si>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</si>
  <si>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</si>
  <si>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</si>
  <si>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</si>
  <si>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</si>
  <si>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</si>
  <si>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</si>
  <si>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</si>
  <si>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</si>
  <si>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</si>
  <si>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</si>
  <si>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</si>
  <si>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</si>
  <si>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</si>
  <si>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</si>
  <si>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</si>
  <si>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</si>
  <si>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</si>
  <si>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</si>
  <si>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</si>
  <si>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</si>
  <si>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</si>
  <si>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</si>
  <si>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</si>
  <si>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</si>
  <si>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</si>
  <si>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</si>
  <si>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</si>
  <si>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</si>
  <si>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</si>
  <si>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</si>
  <si>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</si>
  <si>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</si>
  <si>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</si>
  <si>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</si>
  <si>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</si>
  <si>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</si>
  <si>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</si>
  <si>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</si>
  <si>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</si>
  <si>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</si>
  <si>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</si>
  <si>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</si>
  <si>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</si>
  <si>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</si>
  <si>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</si>
  <si>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</si>
  <si>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</si>
  <si>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</si>
  <si>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</si>
  <si>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</si>
  <si>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</si>
  <si>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</si>
  <si>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</si>
  <si>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</si>
  <si>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</si>
  <si>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</si>
  <si>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</si>
  <si>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</si>
  <si>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</si>
  <si>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</si>
  <si>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</si>
  <si>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</si>
  <si>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</si>
  <si>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</si>
  <si>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</si>
  <si>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</si>
  <si>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</si>
  <si>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</si>
  <si>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</si>
  <si>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</si>
  <si>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</si>
  <si>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</si>
  <si>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</si>
  <si>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</si>
  <si>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</si>
  <si>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</si>
  <si>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</si>
  <si>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</si>
  <si>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</si>
  <si>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</si>
  <si>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</si>
  <si>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</si>
  <si>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</si>
  <si>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</si>
  <si>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</si>
  <si>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</si>
  <si>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</si>
  <si>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</si>
  <si>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</si>
  <si>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</si>
  <si>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</si>
  <si>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</si>
  <si>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</si>
  <si>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</si>
  <si>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</si>
  <si>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</si>
  <si>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</si>
  <si>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</si>
  <si>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</si>
  <si>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</si>
  <si>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</si>
  <si>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</si>
  <si>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</si>
  <si>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</si>
  <si>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</si>
  <si>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</si>
  <si>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</si>
  <si>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</si>
  <si>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</si>
  <si>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</si>
  <si>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</si>
  <si>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</si>
  <si>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</si>
  <si>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</si>
  <si>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</si>
  <si>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</si>
  <si>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</si>
  <si>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</si>
  <si>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</si>
  <si>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</si>
  <si>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</si>
  <si>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</si>
  <si>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</si>
  <si>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</si>
  <si>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</si>
  <si>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</si>
  <si>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</si>
  <si>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</si>
  <si>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</si>
  <si>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</si>
  <si>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</si>
  <si>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</si>
  <si>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</si>
  <si>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</si>
  <si>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</si>
  <si>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</si>
  <si>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</si>
  <si>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</si>
  <si>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</si>
  <si>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</si>
  <si>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</si>
  <si>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</si>
  <si>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</si>
  <si>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</si>
  <si>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</si>
  <si>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</si>
  <si>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</si>
  <si>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</si>
  <si>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</si>
  <si>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</si>
  <si>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</si>
  <si>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</si>
  <si>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</si>
  <si>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</si>
  <si>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</si>
  <si>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</si>
  <si>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</si>
  <si>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</si>
  <si>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</si>
  <si>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</si>
  <si>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</si>
  <si>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</si>
  <si>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</si>
  <si>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</si>
  <si>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</si>
  <si>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</si>
  <si>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</si>
  <si>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</si>
  <si>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</si>
  <si>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</si>
  <si>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</si>
  <si>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</si>
  <si>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</si>
  <si>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</si>
  <si>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</si>
  <si>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</si>
  <si>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</si>
  <si>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</si>
  <si>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</si>
  <si>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</si>
  <si>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</si>
  <si>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</si>
  <si>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</si>
  <si>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</si>
  <si>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</si>
  <si>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</si>
  <si>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</si>
  <si>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</si>
  <si>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</si>
  <si>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</si>
  <si>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</si>
  <si>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</si>
  <si>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</si>
  <si>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</si>
  <si>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</si>
  <si>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</si>
  <si>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</si>
  <si>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</si>
  <si>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</si>
  <si>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</si>
  <si>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</si>
  <si>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</si>
  <si>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</si>
  <si>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</si>
  <si>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</si>
  <si>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</si>
  <si>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</si>
  <si>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</si>
  <si>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</si>
  <si>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</si>
  <si>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</si>
  <si>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</si>
  <si>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</si>
  <si>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</si>
  <si>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</si>
  <si>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</si>
  <si>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</si>
  <si>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</si>
  <si>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</si>
  <si>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</si>
  <si>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</si>
  <si>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</si>
  <si>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</si>
  <si>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</si>
  <si>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</si>
  <si>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</si>
  <si>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</si>
  <si>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</si>
  <si>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</si>
  <si>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</si>
  <si>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</si>
  <si>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</si>
  <si>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</si>
  <si>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</si>
  <si>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</si>
  <si>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</si>
  <si>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</si>
  <si>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</si>
  <si>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</si>
  <si>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</si>
  <si>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</si>
  <si>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</si>
  <si>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</si>
  <si>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</si>
  <si>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</si>
  <si>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</si>
  <si>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</si>
  <si>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</si>
  <si>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</si>
  <si>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</si>
  <si>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</si>
  <si>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</si>
  <si>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</si>
  <si>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</si>
  <si>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</si>
  <si>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</si>
  <si>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</si>
  <si>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</si>
  <si>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</si>
  <si>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</si>
  <si>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</si>
  <si>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</si>
  <si>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</si>
  <si>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</si>
  <si>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</si>
  <si>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</si>
  <si>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</si>
  <si>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</si>
  <si>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</si>
  <si>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</si>
  <si>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</si>
  <si>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</si>
  <si>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</si>
  <si>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</si>
  <si>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</si>
  <si>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</si>
  <si>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</si>
  <si>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</si>
  <si>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</si>
  <si>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</si>
  <si>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</si>
  <si>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</si>
  <si>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</si>
  <si>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</si>
  <si>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</si>
  <si>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</si>
  <si>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</si>
  <si>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</si>
  <si>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</si>
  <si>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</si>
  <si>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</si>
  <si>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</si>
  <si>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</si>
  <si>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</si>
  <si>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</si>
  <si>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</si>
  <si>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</si>
  <si>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</si>
  <si>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</si>
  <si>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</si>
  <si>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</si>
  <si>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</si>
  <si>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</si>
  <si>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</si>
  <si>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</si>
  <si>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</si>
  <si>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</si>
  <si>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</si>
  <si>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</si>
  <si>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</si>
  <si>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</si>
  <si>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</si>
  <si>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</si>
  <si>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</si>
  <si>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</si>
  <si>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</si>
  <si>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</si>
  <si>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</si>
  <si>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</si>
  <si>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</si>
  <si>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</si>
  <si>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</si>
  <si>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</si>
  <si>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</si>
  <si>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</si>
  <si>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</si>
  <si>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</si>
  <si>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</si>
  <si>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</si>
  <si>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</si>
  <si>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</si>
  <si>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</si>
  <si>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</si>
  <si>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</si>
  <si>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</si>
  <si>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</si>
  <si>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</si>
  <si>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</si>
  <si>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</si>
  <si>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</si>
  <si>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</si>
  <si>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</si>
  <si>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</si>
  <si>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</si>
  <si>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</si>
  <si>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</si>
  <si>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</si>
  <si>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</si>
  <si>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</si>
  <si>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</si>
  <si>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</si>
  <si>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</si>
  <si>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</si>
  <si>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</si>
  <si>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</si>
  <si>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</si>
  <si>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</si>
  <si>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</si>
  <si>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</si>
  <si>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</si>
  <si>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</si>
  <si>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</si>
  <si>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</si>
  <si>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</si>
  <si>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</si>
  <si>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</si>
  <si>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</si>
  <si>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</si>
  <si>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</si>
  <si>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</si>
  <si>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</si>
  <si>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</si>
  <si>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</si>
  <si>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</si>
  <si>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</si>
  <si>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</si>
  <si>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</si>
  <si>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</si>
  <si>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</si>
  <si>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</si>
  <si>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</si>
  <si>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</si>
  <si>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</si>
  <si>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</si>
  <si>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</si>
  <si>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</si>
  <si>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</si>
  <si>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</si>
  <si>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</si>
  <si>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</si>
  <si>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</si>
  <si>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</si>
  <si>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</si>
  <si>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</si>
  <si>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</si>
  <si>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</si>
  <si>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</si>
  <si>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</si>
  <si>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</si>
  <si>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</si>
  <si>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</si>
  <si>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</si>
  <si>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</si>
  <si>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</si>
  <si>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</si>
  <si>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</si>
  <si>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</si>
  <si>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</si>
  <si>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</si>
  <si>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</si>
  <si>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</si>
  <si>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</si>
  <si>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</si>
  <si>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</si>
  <si>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</si>
  <si>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</si>
  <si>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</si>
  <si>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</si>
  <si>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</si>
  <si>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</si>
  <si>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</si>
  <si>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</si>
  <si>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</si>
  <si>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</si>
  <si>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</si>
  <si>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</si>
  <si>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</si>
  <si>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</si>
  <si>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</si>
  <si>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</si>
  <si>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</si>
  <si>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</si>
  <si>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</si>
  <si>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</si>
  <si>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</si>
  <si>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</si>
  <si>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</si>
  <si>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</si>
  <si>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</si>
  <si>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</si>
  <si>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</si>
  <si>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</si>
  <si>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</si>
  <si>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</si>
  <si>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</si>
  <si>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</si>
  <si>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</si>
  <si>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</si>
  <si>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</si>
  <si>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</si>
  <si>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</si>
  <si>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</si>
  <si>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</si>
  <si>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</si>
  <si>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</si>
  <si>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</si>
  <si>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</si>
  <si>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</si>
  <si>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</si>
  <si>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</si>
  <si>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</si>
  <si>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</si>
  <si>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</si>
  <si>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</si>
  <si>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</si>
  <si>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</si>
  <si>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</si>
  <si>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</si>
  <si>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</si>
  <si>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</si>
  <si>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</si>
  <si>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</si>
  <si>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</si>
  <si>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</si>
  <si>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</si>
  <si>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</si>
  <si>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</si>
  <si>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</si>
  <si>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</si>
  <si>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</si>
  <si>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</si>
  <si>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</si>
  <si>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</si>
  <si>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</si>
  <si>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</si>
  <si>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</si>
  <si>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</si>
  <si>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</si>
  <si>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</si>
  <si>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</si>
  <si>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</si>
  <si>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</si>
  <si>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</si>
  <si>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</si>
  <si>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</si>
  <si>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</si>
  <si>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</si>
  <si>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</si>
  <si>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</si>
  <si>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</si>
  <si>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</si>
  <si>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</si>
  <si>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</si>
  <si>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</si>
  <si>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</si>
  <si>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</si>
  <si>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</si>
  <si>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</si>
  <si>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</si>
  <si>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</si>
  <si>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</si>
  <si>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</si>
  <si>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</si>
  <si>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</si>
  <si>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</si>
  <si>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</si>
  <si>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</si>
  <si>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</si>
  <si>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</si>
  <si>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</si>
  <si>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</si>
  <si>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</si>
  <si>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</si>
  <si>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</si>
  <si>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</si>
  <si>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</si>
  <si>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</si>
  <si>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</si>
  <si>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</si>
  <si>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</si>
  <si>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</si>
  <si>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</si>
  <si>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</si>
  <si>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</si>
  <si>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</si>
  <si>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</si>
  <si>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</si>
  <si>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</si>
  <si>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</si>
  <si>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</si>
  <si>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</si>
  <si>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</si>
  <si>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</si>
  <si>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</si>
  <si>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</si>
  <si>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</si>
  <si>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</si>
  <si>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</si>
  <si>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</si>
  <si>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</si>
  <si>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</si>
  <si>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</si>
  <si>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</si>
  <si>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</si>
  <si>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</si>
  <si>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</si>
  <si>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</si>
  <si>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</si>
  <si>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</si>
  <si>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</si>
  <si>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</si>
  <si>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</si>
  <si>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</si>
  <si>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</si>
  <si>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</si>
  <si>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</si>
  <si>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</si>
  <si>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</si>
  <si>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</si>
  <si>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</si>
  <si>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</si>
  <si>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</si>
  <si>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</si>
  <si>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</si>
  <si>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</si>
  <si>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</si>
  <si>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</si>
  <si>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</si>
  <si>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</si>
  <si>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</si>
  <si>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</si>
  <si>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</si>
  <si>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</si>
  <si>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</si>
  <si>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</si>
  <si>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</si>
  <si>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</si>
  <si>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</si>
  <si>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</si>
  <si>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</si>
  <si>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</si>
  <si>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</si>
  <si>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</si>
  <si>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</si>
  <si>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</si>
  <si>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</si>
  <si>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</si>
  <si>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</si>
  <si>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</si>
  <si>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</si>
  <si>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</si>
  <si>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</si>
  <si>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</si>
  <si>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</si>
  <si>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</si>
  <si>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</si>
  <si>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</si>
  <si>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</si>
  <si>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</si>
  <si>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</si>
  <si>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</si>
  <si>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</si>
  <si>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</si>
  <si>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</si>
  <si>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</si>
  <si>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</si>
  <si>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</si>
  <si>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</si>
  <si>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</si>
  <si>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</si>
  <si>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</si>
  <si>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</si>
  <si>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</si>
  <si>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</si>
  <si>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</si>
  <si>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</si>
  <si>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</si>
  <si>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</si>
  <si>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</si>
  <si>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</si>
  <si>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</si>
  <si>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</si>
  <si>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</si>
  <si>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</si>
  <si>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</si>
  <si>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</si>
  <si>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</si>
  <si>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</si>
  <si>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</si>
  <si>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</si>
  <si>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</si>
  <si>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</si>
  <si>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</si>
  <si>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</si>
  <si>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</si>
  <si>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</si>
  <si>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</si>
  <si>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</si>
  <si>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</si>
  <si>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</si>
  <si>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</si>
  <si>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</si>
  <si>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</si>
  <si>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</si>
  <si>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</si>
  <si>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</si>
  <si>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</si>
  <si>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</si>
  <si>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</si>
  <si>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</si>
  <si>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</si>
  <si>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</si>
  <si>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</si>
  <si>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</si>
  <si>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</si>
  <si>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</si>
  <si>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</si>
  <si>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</si>
  <si>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</si>
  <si>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</si>
  <si>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</si>
  <si>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</si>
  <si>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</si>
  <si>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</si>
  <si>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</si>
  <si>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</si>
  <si>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</si>
  <si>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</si>
  <si>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</si>
  <si>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</si>
  <si>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</si>
  <si>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</si>
  <si>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</si>
  <si>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</si>
  <si>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</si>
  <si>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</si>
  <si>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</si>
  <si>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</si>
  <si>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</si>
  <si>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</si>
  <si>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</si>
  <si>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</si>
  <si>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</si>
  <si>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</si>
  <si>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</si>
  <si>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</si>
  <si>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</si>
  <si>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</si>
  <si>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</si>
  <si>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</si>
  <si>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</si>
  <si>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</si>
  <si>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</si>
  <si>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</si>
  <si>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</si>
  <si>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</si>
  <si>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</si>
  <si>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</si>
  <si>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</si>
  <si>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</si>
  <si>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</si>
  <si>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</si>
  <si>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</si>
  <si>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</si>
  <si>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</si>
  <si>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</si>
  <si>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</si>
  <si>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</si>
  <si>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</si>
  <si>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</si>
  <si>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</si>
  <si>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</si>
  <si>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</si>
  <si>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</si>
  <si>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</si>
  <si>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</si>
  <si>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</si>
  <si>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</si>
  <si>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</si>
  <si>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</si>
  <si>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</si>
  <si>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</si>
  <si>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</si>
  <si>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</si>
  <si>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</si>
  <si>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</si>
  <si>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</si>
  <si>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</si>
  <si>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</si>
  <si>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</si>
  <si>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</si>
  <si>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</si>
  <si>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</si>
  <si>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</si>
  <si>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</si>
  <si>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</si>
  <si>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</si>
  <si>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</si>
  <si>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</si>
  <si>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</si>
  <si>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</si>
  <si>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</si>
  <si>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</si>
  <si>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</si>
  <si>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</si>
  <si>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</si>
  <si>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</si>
  <si>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</si>
  <si>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</si>
  <si>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</si>
  <si>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</si>
  <si>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</si>
  <si>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</si>
  <si>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</si>
  <si>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</si>
  <si>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</si>
  <si>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</si>
  <si>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</si>
  <si>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</si>
  <si>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</si>
  <si>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</si>
  <si>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</si>
  <si>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</si>
  <si>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</si>
  <si>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</si>
  <si>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</si>
  <si>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</si>
  <si>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</si>
  <si>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</si>
  <si>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</si>
  <si>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</si>
  <si>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</si>
  <si>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</si>
  <si>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</si>
  <si>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</si>
  <si>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</si>
  <si>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</si>
  <si>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</si>
  <si>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</si>
  <si>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</si>
  <si>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</si>
  <si>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</si>
  <si>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</si>
  <si>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</si>
  <si>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</si>
  <si>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</si>
  <si>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</si>
  <si>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</si>
  <si>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</si>
  <si>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</si>
  <si>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</si>
  <si>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</si>
  <si>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</si>
  <si>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</si>
  <si>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</si>
  <si>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</si>
  <si>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</si>
  <si>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</si>
  <si>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</si>
  <si>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</si>
  <si>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</si>
  <si>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</si>
  <si>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</si>
  <si>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</si>
  <si>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</si>
  <si>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</si>
  <si>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</si>
  <si>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</si>
  <si>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</si>
  <si>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</si>
  <si>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</si>
  <si>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</si>
  <si>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</si>
  <si>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</si>
  <si>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</si>
  <si>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</si>
  <si>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</si>
  <si>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</si>
  <si>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</si>
  <si>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</si>
  <si>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</si>
  <si>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</si>
  <si>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</si>
  <si>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</si>
  <si>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</si>
  <si>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</si>
  <si>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</si>
  <si>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</si>
  <si>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</si>
  <si>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</si>
  <si>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</si>
  <si>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</si>
  <si>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</si>
  <si>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</si>
  <si>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</si>
  <si>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</si>
  <si>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</si>
  <si>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</si>
  <si>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</si>
  <si>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</si>
  <si>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</si>
  <si>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</si>
  <si>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</si>
  <si>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</si>
  <si>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</si>
  <si>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</si>
  <si>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</si>
  <si>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</si>
  <si>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</si>
  <si>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</si>
  <si>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</si>
  <si>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</si>
  <si>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</si>
  <si>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</si>
  <si>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</si>
  <si>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</si>
  <si>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</si>
  <si>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</si>
  <si>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</si>
  <si>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</si>
  <si>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</si>
  <si>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</si>
  <si>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</si>
  <si>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</si>
  <si>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</si>
  <si>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</si>
  <si>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</si>
  <si>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</si>
  <si>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</si>
  <si>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</si>
  <si>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</si>
  <si>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</si>
  <si>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</si>
  <si>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</si>
  <si>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</si>
  <si>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</si>
  <si>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</si>
  <si>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</si>
  <si>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</si>
  <si>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</si>
  <si>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</si>
  <si>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</si>
  <si>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</si>
  <si>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</si>
  <si>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</si>
  <si>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</si>
  <si>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</si>
  <si>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</si>
  <si>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</si>
  <si>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</si>
  <si>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</si>
  <si>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</si>
  <si>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</si>
  <si>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</si>
  <si>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</si>
  <si>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</si>
  <si>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</si>
  <si>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</si>
  <si>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</si>
  <si>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</si>
  <si>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</si>
  <si>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</si>
  <si>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</si>
  <si>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</si>
  <si>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</si>
  <si>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</si>
  <si>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</si>
  <si>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</si>
  <si>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</si>
  <si>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</si>
  <si>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</si>
  <si>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</si>
  <si>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</si>
  <si>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</si>
  <si>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</si>
  <si>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</si>
  <si>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</si>
  <si>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</si>
  <si>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</si>
  <si>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</si>
  <si>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</si>
  <si>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</si>
  <si>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</si>
  <si>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</si>
  <si>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</si>
  <si>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</si>
  <si>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</si>
  <si>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</si>
  <si>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</si>
  <si>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</si>
  <si>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</si>
  <si>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</si>
  <si>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</si>
  <si>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</si>
  <si>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</si>
  <si>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</si>
  <si>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</si>
  <si>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</si>
  <si>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</si>
  <si>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</si>
  <si>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</si>
  <si>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</si>
  <si>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</si>
  <si>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</si>
  <si>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</si>
  <si>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</si>
  <si>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</si>
  <si>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</si>
  <si>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</si>
  <si>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</si>
  <si>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</si>
  <si>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</si>
  <si>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</si>
  <si>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</si>
  <si>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</si>
  <si>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</si>
  <si>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</si>
  <si>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</si>
  <si>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</si>
  <si>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</si>
  <si>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</si>
  <si>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</si>
  <si>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</si>
  <si>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</si>
  <si>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</si>
  <si>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</si>
  <si>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</si>
  <si>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</si>
  <si>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</si>
  <si>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</si>
  <si>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</si>
  <si>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</si>
  <si>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</si>
  <si>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</si>
  <si>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</si>
  <si>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</si>
  <si>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</si>
  <si>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</si>
  <si>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</si>
  <si>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</si>
  <si>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</si>
  <si>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</si>
  <si>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</si>
  <si>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</si>
  <si>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</si>
  <si>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</si>
  <si>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</si>
  <si>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</si>
  <si>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</si>
  <si>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</si>
  <si>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</si>
  <si>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</si>
  <si>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</si>
  <si>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</si>
  <si>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</si>
  <si>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</si>
  <si>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</si>
  <si>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</si>
  <si>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</si>
  <si>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</si>
  <si>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</si>
  <si>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</si>
  <si>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</si>
  <si>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</si>
  <si>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</si>
  <si>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</si>
  <si>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</si>
  <si>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</si>
  <si>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</si>
  <si>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</si>
  <si>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</si>
  <si>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</si>
  <si>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</si>
  <si>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</si>
  <si>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</si>
  <si>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</si>
  <si>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</si>
  <si>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</si>
  <si>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</si>
  <si>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</si>
  <si>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</si>
  <si>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</si>
  <si>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</si>
  <si>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</si>
  <si>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</si>
  <si>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</si>
  <si>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</si>
  <si>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</si>
  <si>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</si>
  <si>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</si>
  <si>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</si>
  <si>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</si>
  <si>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</si>
  <si>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</si>
  <si>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</si>
  <si>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</si>
  <si>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</si>
  <si>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</si>
  <si>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</si>
  <si>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</si>
  <si>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</si>
  <si>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</si>
  <si>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</si>
  <si>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</si>
  <si>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</si>
  <si>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</si>
  <si>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</si>
  <si>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</si>
  <si>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</si>
  <si>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</si>
  <si>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</si>
  <si>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</si>
  <si>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</si>
  <si>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</si>
  <si>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</si>
  <si>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</si>
  <si>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</si>
  <si>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</si>
  <si>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</si>
  <si>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</si>
  <si>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</si>
  <si>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</si>
  <si>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</si>
  <si>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</si>
  <si>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</si>
  <si>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</si>
  <si>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</si>
  <si>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</si>
  <si>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</si>
  <si>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</si>
  <si>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</si>
  <si>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</si>
  <si>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</si>
  <si>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</si>
  <si>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</si>
  <si>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</si>
  <si>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</si>
  <si>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</si>
  <si>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</si>
  <si>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</si>
  <si>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</si>
  <si>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</si>
  <si>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</si>
  <si>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</si>
  <si>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</si>
  <si>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</si>
  <si>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</si>
  <si>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</si>
  <si>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</si>
  <si>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</si>
  <si>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</si>
  <si>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</si>
  <si>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</si>
  <si>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</si>
  <si>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</si>
  <si>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</si>
  <si>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</si>
  <si>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</si>
  <si>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</si>
  <si>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</si>
  <si>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</si>
  <si>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</si>
  <si>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</si>
  <si>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</si>
  <si>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</si>
  <si>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</si>
  <si>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</si>
  <si>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</si>
  <si>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</si>
  <si>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</si>
  <si>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</si>
  <si>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</si>
  <si>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</si>
  <si>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</si>
  <si>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</si>
  <si>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</si>
  <si>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</si>
  <si>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</si>
  <si>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</si>
  <si>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</si>
  <si>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</si>
  <si>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</si>
  <si>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</si>
  <si>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</si>
  <si>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</si>
  <si>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</si>
  <si>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</si>
  <si>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</si>
  <si>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</si>
  <si>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</si>
  <si>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</si>
  <si>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</si>
  <si>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</si>
  <si>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</si>
  <si>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</si>
  <si>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</si>
  <si>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</si>
  <si>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</si>
  <si>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</si>
  <si>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</si>
  <si>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</si>
  <si>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</si>
  <si>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</si>
  <si>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</si>
  <si>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</si>
  <si>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</si>
  <si>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</si>
  <si>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</si>
  <si>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</si>
  <si>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</si>
  <si>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</si>
  <si>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</si>
  <si>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</si>
  <si>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</si>
  <si>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</si>
  <si>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</si>
  <si>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</si>
  <si>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</si>
  <si>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</si>
  <si>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</si>
  <si>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</si>
  <si>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</si>
  <si>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</si>
  <si>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</si>
  <si>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</si>
  <si>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</si>
  <si>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</si>
  <si>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</si>
  <si>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</si>
  <si>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</si>
  <si>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</si>
  <si>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</si>
  <si>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</si>
  <si>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</si>
  <si>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</si>
  <si>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</si>
  <si>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</si>
  <si>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</si>
  <si>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</si>
  <si>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</si>
  <si>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</si>
  <si>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</si>
  <si>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</si>
  <si>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</si>
  <si>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</si>
  <si>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</si>
  <si>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</si>
  <si>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</si>
  <si>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</si>
  <si>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</si>
  <si>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</si>
  <si>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</si>
  <si>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</si>
  <si>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</si>
  <si>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</si>
  <si>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</si>
  <si>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</si>
  <si>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</si>
  <si>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</si>
  <si>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</si>
  <si>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</si>
  <si>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</si>
  <si>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</si>
  <si>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</si>
  <si>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</si>
  <si>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</si>
  <si>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</si>
  <si>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</si>
  <si>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</si>
  <si>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</si>
  <si>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</si>
  <si>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</si>
  <si>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</si>
  <si>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</si>
  <si>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</si>
  <si>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</si>
  <si>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</si>
  <si>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</si>
  <si>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</si>
  <si>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</si>
  <si>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</si>
  <si>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</si>
  <si>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</si>
  <si>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</si>
  <si>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</si>
  <si>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</si>
  <si>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</si>
  <si>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</si>
  <si>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</si>
  <si>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</si>
  <si>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</si>
  <si>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</si>
  <si>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</si>
  <si>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</si>
  <si>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</si>
  <si>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</si>
  <si>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</si>
  <si>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</si>
  <si>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</si>
  <si>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</si>
  <si>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</si>
  <si>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</si>
  <si>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</si>
  <si>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</si>
  <si>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</si>
  <si>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</si>
  <si>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</si>
  <si>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</si>
  <si>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</si>
  <si>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</si>
  <si>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</si>
  <si>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</si>
  <si>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</si>
  <si>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</si>
  <si>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</si>
  <si>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</si>
  <si>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</si>
  <si>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</si>
  <si>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</si>
  <si>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</si>
  <si>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</si>
  <si>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</si>
  <si>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</si>
  <si>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</si>
  <si>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</si>
  <si>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</si>
  <si>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</si>
  <si>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</si>
  <si>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</si>
  <si>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</si>
  <si>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</si>
  <si>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</si>
  <si>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</si>
  <si>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</si>
  <si>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</si>
  <si>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</si>
  <si>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</si>
  <si>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</si>
  <si>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</si>
  <si>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</si>
  <si>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</si>
  <si>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</si>
  <si>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</si>
  <si>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</si>
  <si>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</si>
  <si>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</si>
  <si>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</si>
  <si>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</si>
  <si>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</si>
  <si>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</si>
  <si>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</si>
  <si>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</si>
  <si>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</si>
  <si>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</si>
  <si>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</si>
  <si>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</si>
  <si>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</si>
  <si>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</si>
  <si>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</si>
  <si>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</si>
  <si>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</si>
  <si>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</si>
  <si>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</si>
  <si>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</si>
  <si>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</si>
  <si>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</si>
  <si>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</si>
  <si>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</si>
  <si>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</si>
  <si>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</si>
  <si>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</si>
  <si>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</si>
  <si>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</si>
  <si>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</si>
  <si>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</si>
  <si>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</si>
  <si>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</si>
  <si>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</si>
  <si>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</si>
  <si>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</si>
  <si>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</si>
  <si>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</si>
  <si>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</si>
  <si>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</si>
  <si>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</si>
  <si>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</si>
  <si>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</si>
  <si>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</si>
  <si>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</si>
  <si>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</si>
  <si>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</si>
  <si>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</si>
  <si>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</si>
  <si>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</si>
  <si>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</si>
  <si>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</si>
  <si>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</si>
  <si>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</si>
  <si>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</si>
  <si>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</si>
  <si>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</si>
  <si>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</si>
  <si>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</si>
  <si>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</si>
  <si>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</si>
  <si>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</si>
  <si>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</si>
  <si>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</si>
  <si>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</si>
  <si>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</si>
  <si>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</si>
  <si>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</si>
  <si>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</si>
  <si>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</si>
  <si>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</si>
  <si>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</si>
  <si>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</si>
  <si>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</si>
  <si>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</si>
  <si>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</si>
  <si>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</si>
  <si>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</si>
  <si>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</si>
  <si>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</si>
  <si>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</si>
  <si>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</si>
  <si>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</si>
  <si>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</si>
  <si>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</si>
  <si>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</si>
  <si>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</si>
  <si>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</si>
  <si>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</si>
  <si>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</si>
  <si>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</si>
  <si>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</si>
  <si>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</si>
  <si>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</si>
  <si>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</si>
  <si>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</si>
  <si>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</si>
  <si>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</si>
  <si>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</si>
  <si>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</si>
  <si>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</si>
  <si>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</si>
  <si>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</si>
  <si>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</si>
  <si>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</si>
  <si>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</si>
  <si>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</si>
  <si>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</si>
  <si>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</si>
  <si>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</si>
  <si>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</si>
  <si>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</si>
  <si>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</si>
  <si>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</si>
  <si>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</si>
  <si>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</si>
  <si>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</si>
  <si>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</si>
  <si>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</si>
  <si>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</si>
  <si>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</si>
  <si>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</si>
  <si>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</si>
  <si>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</si>
  <si>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</si>
  <si>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</si>
  <si>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</si>
  <si>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</si>
  <si>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</si>
  <si>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</si>
  <si>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</si>
  <si>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</si>
  <si>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</si>
  <si>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</si>
  <si>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</si>
  <si>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</si>
  <si>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</si>
  <si>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</si>
  <si>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</si>
  <si>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</si>
  <si>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</si>
  <si>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</si>
  <si>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</si>
  <si>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</si>
  <si>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</si>
  <si>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</si>
  <si>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</si>
  <si>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</si>
  <si>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</si>
  <si>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</si>
  <si>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</si>
  <si>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</si>
  <si>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</si>
  <si>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</si>
  <si>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</si>
  <si>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</si>
  <si>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</si>
  <si>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</si>
  <si>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</si>
  <si>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</si>
  <si>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</si>
  <si>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</si>
  <si>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</si>
  <si>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</si>
  <si>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</si>
  <si>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</si>
  <si>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</si>
  <si>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</si>
  <si>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</si>
  <si>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</si>
  <si>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</si>
  <si>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</si>
  <si>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</si>
  <si>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</si>
  <si>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</si>
  <si>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</si>
  <si>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</si>
  <si>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</si>
  <si>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</si>
  <si>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</si>
  <si>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</si>
  <si>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</si>
  <si>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</si>
  <si>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</si>
  <si>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</si>
  <si>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</si>
  <si>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</si>
  <si>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</si>
  <si>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</si>
  <si>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</si>
  <si>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</si>
  <si>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</si>
  <si>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</si>
  <si>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</si>
  <si>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</si>
  <si>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</si>
  <si>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</si>
  <si>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</si>
  <si>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</si>
  <si>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</si>
  <si>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</si>
  <si>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</si>
  <si>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</si>
  <si>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</si>
  <si>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</si>
  <si>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</si>
  <si>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</si>
  <si>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</si>
  <si>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</si>
  <si>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</si>
  <si>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</si>
  <si>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</si>
  <si>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</si>
  <si>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</si>
  <si>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</si>
  <si>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</si>
  <si>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</si>
  <si>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</si>
  <si>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</si>
  <si>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</si>
  <si>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</si>
  <si>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</si>
  <si>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</si>
  <si>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</si>
  <si>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</si>
  <si>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</si>
  <si>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</si>
  <si>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</si>
  <si>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</si>
  <si>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</si>
  <si>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</si>
  <si>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</si>
  <si>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</si>
  <si>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</si>
  <si>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</si>
  <si>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</si>
  <si>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</si>
  <si>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</si>
  <si>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</si>
  <si>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</si>
  <si>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</si>
  <si>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</si>
  <si>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</si>
  <si>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</si>
  <si>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</si>
  <si>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</si>
  <si>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</si>
  <si>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</si>
  <si>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</si>
  <si>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</si>
  <si>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</si>
  <si>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</si>
  <si>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</si>
  <si>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</si>
  <si>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</si>
  <si>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</si>
  <si>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</si>
  <si>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</si>
  <si>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</si>
  <si>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</si>
  <si>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</si>
  <si>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</si>
  <si>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</si>
  <si>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</si>
  <si>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</si>
  <si>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</si>
  <si>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</si>
  <si>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</si>
  <si>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</si>
  <si>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</si>
  <si>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</si>
  <si>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</si>
  <si>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</si>
  <si>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</si>
  <si>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</si>
  <si>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</si>
  <si>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</si>
  <si>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</si>
  <si>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</si>
  <si>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</si>
  <si>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</si>
  <si>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</si>
  <si>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</si>
  <si>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</si>
  <si>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</si>
  <si>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</si>
  <si>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</si>
  <si>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</si>
  <si>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</si>
  <si>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</si>
  <si>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</si>
  <si>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</si>
  <si>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</si>
  <si>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</si>
  <si>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</si>
  <si>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</si>
  <si>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</si>
  <si>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</si>
  <si>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</si>
  <si>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</si>
  <si>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</si>
  <si>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</si>
  <si>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</si>
  <si>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</si>
  <si>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</si>
  <si>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</si>
  <si>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</si>
  <si>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</si>
  <si>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</si>
  <si>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</si>
  <si>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</si>
  <si>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</si>
  <si>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</si>
  <si>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</si>
  <si>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</si>
  <si>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</si>
  <si>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</si>
  <si>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</si>
  <si>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</si>
  <si>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</si>
  <si>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</si>
  <si>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</si>
  <si>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</si>
  <si>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</si>
  <si>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</si>
  <si>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</si>
  <si>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</si>
  <si>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</si>
  <si>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</si>
  <si>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</si>
  <si>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</si>
  <si>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</si>
  <si>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</si>
  <si>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</si>
  <si>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</si>
  <si>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</si>
  <si>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</si>
  <si>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</si>
  <si>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</si>
  <si>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</si>
  <si>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</si>
  <si>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</si>
  <si>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</si>
  <si>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</si>
  <si>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</si>
  <si>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</si>
  <si>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</si>
  <si>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</si>
  <si>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</si>
  <si>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</si>
  <si>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</si>
  <si>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</si>
  <si>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</si>
  <si>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</si>
  <si>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</si>
  <si>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</si>
  <si>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</si>
  <si>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</si>
  <si>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</si>
  <si>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</si>
  <si>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</si>
  <si>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</si>
  <si>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</si>
  <si>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</si>
  <si>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</si>
  <si>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</si>
  <si>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</si>
  <si>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</si>
  <si>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</si>
  <si>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</si>
  <si>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</si>
  <si>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</si>
  <si>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</si>
  <si>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</si>
  <si>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</si>
  <si>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</si>
  <si>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</si>
  <si>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</si>
  <si>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</si>
  <si>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</si>
  <si>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</si>
  <si>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</si>
  <si>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</si>
  <si>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</si>
  <si>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</si>
  <si>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</si>
  <si>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</si>
  <si>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</si>
  <si>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</si>
  <si>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</si>
  <si>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</si>
  <si>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</si>
  <si>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</si>
  <si>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</si>
  <si>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</si>
  <si>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</si>
  <si>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</si>
  <si>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</si>
  <si>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</si>
  <si>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</si>
  <si>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</si>
  <si>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</si>
  <si>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</si>
  <si>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</si>
  <si>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</si>
  <si>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</si>
  <si>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</si>
  <si>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</si>
  <si>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</si>
  <si>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</si>
  <si>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</si>
  <si>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</si>
  <si>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</si>
  <si>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</si>
  <si>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</si>
  <si>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</si>
  <si>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</si>
  <si>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</si>
  <si>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</si>
  <si>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</si>
  <si>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</si>
  <si>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</si>
  <si>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</si>
  <si>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</si>
  <si>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</si>
  <si>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</si>
  <si>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</si>
  <si>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</si>
  <si>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</si>
  <si>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</si>
  <si>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</si>
  <si>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</si>
  <si>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</si>
  <si>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</si>
  <si>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</si>
  <si>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</si>
  <si>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</si>
  <si>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</si>
  <si>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</si>
  <si>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</si>
  <si>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</si>
  <si>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</si>
  <si>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</si>
  <si>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</si>
  <si>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</si>
  <si>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</si>
  <si>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</si>
  <si>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</si>
  <si>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</si>
  <si>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</si>
  <si>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</si>
  <si>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</si>
  <si>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</si>
  <si>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</si>
  <si>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</si>
  <si>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</si>
  <si>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</si>
  <si>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</si>
  <si>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</si>
  <si>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</si>
  <si>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</si>
  <si>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</si>
  <si>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</si>
  <si>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</si>
  <si>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</si>
  <si>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</si>
  <si>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</si>
  <si>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</si>
  <si>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</si>
  <si>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</si>
  <si>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</si>
  <si>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</si>
  <si>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</si>
  <si>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</si>
  <si>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</si>
  <si>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</si>
  <si>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</si>
  <si>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</si>
  <si>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</si>
  <si>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</si>
  <si>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</si>
  <si>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</si>
  <si>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</si>
  <si>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</si>
  <si>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</si>
  <si>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</si>
  <si>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</si>
  <si>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</si>
  <si>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</si>
  <si>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</si>
  <si>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</si>
  <si>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</si>
  <si>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</si>
  <si>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</si>
  <si>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</si>
  <si>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</si>
  <si>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</si>
  <si>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</si>
  <si>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</si>
  <si>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</si>
  <si>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</si>
  <si>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</si>
  <si>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</si>
  <si>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</si>
  <si>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</si>
  <si>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</si>
  <si>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</si>
  <si>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</si>
  <si>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</si>
  <si>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</si>
  <si>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</si>
  <si>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</si>
  <si>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</si>
  <si>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</si>
  <si>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</si>
  <si>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</si>
  <si>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</si>
  <si>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</si>
  <si>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</si>
  <si>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</si>
  <si>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</si>
  <si>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</si>
  <si>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</si>
  <si>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</si>
  <si>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</si>
  <si>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</si>
  <si>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</si>
  <si>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</si>
  <si>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</si>
  <si>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</si>
  <si>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</si>
  <si>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</si>
  <si>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</si>
  <si>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</si>
  <si>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</si>
  <si>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</si>
  <si>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</si>
  <si>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</si>
  <si>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</si>
  <si>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</si>
  <si>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</si>
  <si>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</si>
  <si>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</si>
  <si>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</si>
  <si>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</si>
  <si>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</si>
  <si>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</si>
  <si>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</si>
  <si>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</si>
  <si>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</si>
  <si>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</si>
  <si>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</si>
  <si>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</si>
  <si>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</si>
  <si>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</si>
  <si>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</si>
  <si>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</si>
  <si>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</si>
  <si>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</si>
  <si>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</si>
  <si>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</si>
  <si>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</si>
  <si>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</si>
  <si>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序号</t>
    <phoneticPr fontId="140" type="noConversion"/>
  </si>
  <si>
    <t>地址</t>
    <phoneticPr fontId="140" type="noConversion"/>
  </si>
  <si>
    <t>建筑面积</t>
    <phoneticPr fontId="140" type="noConversion"/>
  </si>
  <si>
    <t>规划用途</t>
    <phoneticPr fontId="140" type="noConversion"/>
  </si>
  <si>
    <t>合计</t>
    <phoneticPr fontId="140" type="noConversion"/>
  </si>
  <si>
    <t>东城区金鱼池中街1号院1号楼2层2单元201</t>
    <phoneticPr fontId="140" type="noConversion"/>
  </si>
  <si>
    <t>配套用房</t>
    <phoneticPr fontId="140" type="noConversion"/>
  </si>
  <si>
    <t>东城区金鱼池中街1号院1号楼2层2单元202</t>
    <phoneticPr fontId="140" type="noConversion"/>
  </si>
  <si>
    <t>东城区金鱼池中街1号院1号楼2层2单元203</t>
    <phoneticPr fontId="140" type="noConversion"/>
  </si>
  <si>
    <t>东城区金鱼池中街1号院1号楼2层2单元204</t>
    <phoneticPr fontId="140" type="noConversion"/>
  </si>
  <si>
    <t>东城区金鱼池中街1号院1号楼2层2单元205</t>
    <phoneticPr fontId="140" type="noConversion"/>
  </si>
  <si>
    <t>东城区金鱼池中街1号院1号楼2层2单元206</t>
    <phoneticPr fontId="140" type="noConversion"/>
  </si>
  <si>
    <t>东城区金鱼池中街1号院1号楼2层2单元207</t>
    <phoneticPr fontId="140" type="noConversion"/>
  </si>
  <si>
    <t>东城区金鱼池中街1号院1号楼2层2单元208</t>
    <phoneticPr fontId="140" type="noConversion"/>
  </si>
  <si>
    <t>东城区金鱼池中街1号院1号楼2层2单元209</t>
    <phoneticPr fontId="140" type="noConversion"/>
  </si>
  <si>
    <t>东城区金鱼池中街1号院1号楼2层2单元210</t>
    <phoneticPr fontId="140" type="noConversion"/>
  </si>
  <si>
    <t>地上</t>
  </si>
  <si>
    <t>是</t>
  </si>
  <si>
    <t>酒店</t>
    <phoneticPr fontId="7" type="noConversion"/>
  </si>
  <si>
    <t>成新度</t>
  </si>
  <si>
    <t>利息：取LPR加浮动点数</t>
  </si>
  <si>
    <t>住宿餐饮用地</t>
  </si>
  <si>
    <t>珠市口东大街</t>
  </si>
  <si>
    <t>通路</t>
  </si>
  <si>
    <t>通电</t>
  </si>
  <si>
    <t>通讯</t>
  </si>
  <si>
    <t>通上水</t>
  </si>
  <si>
    <t>通下水</t>
  </si>
  <si>
    <t>平整</t>
  </si>
  <si>
    <t>与级别开发程度不一致</t>
  </si>
  <si>
    <t>按公示增长率计算</t>
  </si>
  <si>
    <t>自定义容积率</t>
  </si>
  <si>
    <t>较好</t>
  </si>
  <si>
    <t>较差</t>
  </si>
  <si>
    <t>好</t>
  </si>
  <si>
    <t>未包含在土地购买价格中</t>
  </si>
  <si>
    <t>全部缴纳</t>
  </si>
  <si>
    <t>已包含在土地取得成本中</t>
  </si>
  <si>
    <t>成本法</t>
  </si>
  <si>
    <t>收益法</t>
  </si>
  <si>
    <t>总价</t>
  </si>
  <si>
    <t>成本比率</t>
  </si>
  <si>
    <t>东城区金鱼池中街1号院1号楼2层2单元201</t>
    <phoneticPr fontId="256" type="noConversion"/>
  </si>
  <si>
    <t>配套用房</t>
    <phoneticPr fontId="257" type="noConversion"/>
  </si>
  <si>
    <t>东城区金鱼池中街1号院1号楼2层2单元202</t>
  </si>
  <si>
    <t>东城区金鱼池中街1号院1号楼2层2单元203</t>
  </si>
  <si>
    <t>东城区金鱼池中街1号院1号楼2层2单元204</t>
  </si>
  <si>
    <t>东城区金鱼池中街1号院1号楼2层2单元205</t>
  </si>
  <si>
    <t>东城区金鱼池中街1号院1号楼2层2单元206</t>
  </si>
  <si>
    <t>东城区金鱼池中街1号院1号楼2层2单元207</t>
  </si>
  <si>
    <t>东城区金鱼池中街1号院1号楼2层2单元208</t>
  </si>
  <si>
    <t>东城区金鱼池中街1号院1号楼2层2单元209</t>
  </si>
  <si>
    <t>东城区金鱼池中街1号院1号楼2层2单元210</t>
  </si>
  <si>
    <t>东城区金鱼池中街1号院1号楼2层2单元211</t>
  </si>
  <si>
    <t>东城区金鱼池中街1号院1号楼2层2单元212</t>
  </si>
  <si>
    <t>东城区金鱼池中街1号院1号楼2层2单元213</t>
  </si>
  <si>
    <t>酒店</t>
  </si>
  <si>
    <t>自定义</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</si>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</sst>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等线"/>
      <charset val="134"/>
    </font>
    <font>
      <sz val="10"/>
      <color theme="1"/>
      <name val="华文细黑"/>
      <family val="3"/>
      <charset val="134"/>
    </font>
    <font>
      <sz val="9"/>
      <name val="等线"/>
      <family val="3"/>
      <charset val="134"/>
    </font>
    <font>
      <sz val="9"/>
      <name val="等线"/>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4" fillId="0" borderId="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5"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55" fillId="10" borderId="9"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342900</xdr:colOff>
      <xdr:row>0</xdr:row>
      <xdr:rowOff>0</xdr:rowOff>
    </xdr:from>
    <xdr:to>
      <xdr:col>16</xdr:col>
      <xdr:colOff>313729</xdr:colOff>
      <xdr:row>25</xdr:row>
      <xdr:rowOff>18487</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25" y="0"/>
          <a:ext cx="4771429" cy="4504762"/>
        </a:xfrm>
        <a:prstGeom prst="rect">
          <a:avLst/>
        </a:prstGeom>
      </xdr:spPr>
    </xdr:pic>
    <xdr:clientData/>
  </xdr:twoCellAnchor>
  <xdr:twoCellAnchor editAs="oneCell">
    <xdr:from>
      <xdr:col>9</xdr:col>
      <xdr:colOff>66675</xdr:colOff>
      <xdr:row>25</xdr:row>
      <xdr:rowOff>152400</xdr:rowOff>
    </xdr:from>
    <xdr:to>
      <xdr:col>16</xdr:col>
      <xdr:colOff>294647</xdr:colOff>
      <xdr:row>46</xdr:row>
      <xdr:rowOff>94936</xdr:rowOff>
    </xdr:to>
    <xdr:pic>
      <xdr:nvPicPr>
        <xdr:cNvPr id="3" name="图片 2"/>
        <xdr:cNvPicPr>
          <a:picLocks noChangeAspect="1"/>
        </xdr:cNvPicPr>
      </xdr:nvPicPr>
      <xdr:blipFill>
        <a:blip xmlns:r="http://schemas.openxmlformats.org/officeDocument/2006/relationships" r:embed="rId2"/>
        <a:stretch>
          <a:fillRect/>
        </a:stretch>
      </xdr:blipFill>
      <xdr:spPr>
        <a:xfrm>
          <a:off x="6629400" y="4638675"/>
          <a:ext cx="5028572" cy="2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估价对象为北京市房地产，为所有。根据《国有土地使用证》[]，估价对象（分摊）出让国有建设用地使用权面积为0平方米，建筑面积为1568.25平方米。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估价对象为北京市房地产,属开发建设的，该项目尚在开发建设中。根据《国有土地使用证》[]，估价对象（分摊）出让国有建设用地使用权面积为0平方米，规划建筑面积为1568.25平方米。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2021年5月12日</v>
      </c>
    </row>
    <row r="13" spans="1:2" s="1364" customFormat="1">
      <c r="A13" s="1362" t="s">
        <v>1194</v>
      </c>
      <c r="B13" s="1363" t="str">
        <f>'预评函-1'!A18</f>
        <v>本次估价的“房地产价值”是指在正常市场情况下，在价值时点2021年5月12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6748</v>
      </c>
    </row>
    <row r="21" spans="1:2" s="1364" customFormat="1">
      <c r="A21" s="1362" t="s">
        <v>1202</v>
      </c>
      <c r="B21" s="1363">
        <f ca="1">'预评函-2'!D7</f>
        <v>43029</v>
      </c>
    </row>
    <row r="22" spans="1:2" s="1364" customFormat="1">
      <c r="A22" s="1362" t="s">
        <v>1203</v>
      </c>
      <c r="B22" s="1363" t="str">
        <f ca="1">'预评函-2'!D6</f>
        <v>陆仟柒佰肆拾捌万元整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6748</v>
      </c>
    </row>
    <row r="31" spans="1:2" s="1364" customFormat="1">
      <c r="A31" s="1362" t="s">
        <v>1241</v>
      </c>
      <c r="B31" s="1363">
        <f ca="1">'预评函-2'!D15</f>
        <v>43029</v>
      </c>
    </row>
    <row r="32" spans="1:2" s="1364" customFormat="1">
      <c r="A32" s="1362" t="s">
        <v>1208</v>
      </c>
      <c r="B32" s="1363" t="str">
        <f ca="1">'预评函-2'!D14</f>
        <v>陆仟柒佰肆拾捌万元整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1568.25</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5716</v>
      </c>
    </row>
    <row r="48" spans="1:2" s="1364" customFormat="1">
      <c r="A48" s="1362" t="s">
        <v>1214</v>
      </c>
      <c r="B48" s="1363">
        <f ca="1">'预评函-3'!E4</f>
        <v>36448</v>
      </c>
    </row>
    <row r="49" spans="1:2" s="1364" customFormat="1">
      <c r="A49" s="1362" t="s">
        <v>1215</v>
      </c>
      <c r="B49" s="1363" t="str">
        <f ca="1">'预评函-3'!D5</f>
        <v>伍仟柒佰壹拾陆万元整</v>
      </c>
    </row>
    <row r="50" spans="1:2" s="1364" customFormat="1">
      <c r="A50" s="1362" t="s">
        <v>1239</v>
      </c>
      <c r="B50" s="1363" t="str">
        <f>'预评函-3'!F2</f>
        <v>在建建筑物价值</v>
      </c>
    </row>
    <row r="51" spans="1:2" s="1364" customFormat="1">
      <c r="A51" s="1362" t="s">
        <v>1216</v>
      </c>
      <c r="B51" s="1363">
        <f ca="1">'预评函-3'!F4</f>
        <v>1032</v>
      </c>
    </row>
    <row r="52" spans="1:2" s="1364" customFormat="1">
      <c r="A52" s="1362" t="s">
        <v>1217</v>
      </c>
      <c r="B52" s="1363">
        <f ca="1">'预评函-3'!G4</f>
        <v>6581</v>
      </c>
    </row>
    <row r="53" spans="1:2" s="1364" customFormat="1">
      <c r="A53" s="1362" t="s">
        <v>1245</v>
      </c>
      <c r="B53" s="1363" t="str">
        <f ca="1">'预评函-3'!F5</f>
        <v>壹仟零叁拾贰万元整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38" t="s">
        <v>832</v>
      </c>
      <c r="C54" s="1735" t="s">
        <v>1248</v>
      </c>
    </row>
    <row r="55" spans="1:4">
      <c r="A55" s="3104"/>
      <c r="B55" s="1738" t="s">
        <v>833</v>
      </c>
      <c r="C55" s="1735" t="s">
        <v>1249</v>
      </c>
    </row>
    <row r="56" spans="1:4">
      <c r="A56" s="3104"/>
      <c r="B56" s="1738" t="s">
        <v>834</v>
      </c>
      <c r="C56" s="1735" t="s">
        <v>1253</v>
      </c>
    </row>
    <row r="57" spans="1:4">
      <c r="A57" s="310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0" sqref="G30"/>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13" t="str">
        <f>IF(B10="北京市","北京市",C10)&amp;F10&amp;IF(结果表!G1="在建","出让国有建设用地使用权及在建建筑物",IF(结果表!G1="土地","出让国有建设用地使用权",))&amp;B9&amp;"预评估"</f>
        <v>北京市房地产抵押价值预评估</v>
      </c>
      <c r="C1" s="3114"/>
      <c r="D1" s="3114"/>
      <c r="E1" s="3114"/>
      <c r="F1" s="3114"/>
      <c r="G1" s="3114"/>
      <c r="H1" s="3114"/>
      <c r="I1" s="3115"/>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2916</v>
      </c>
      <c r="B3" s="2596"/>
      <c r="C3" s="2597" t="s">
        <v>2917</v>
      </c>
      <c r="D3" s="2596">
        <v>44328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3063</v>
      </c>
      <c r="C8" s="2613"/>
      <c r="D8" s="3116" t="s">
        <v>2923</v>
      </c>
      <c r="E8" s="2614" t="s">
        <v>3064</v>
      </c>
      <c r="F8" s="2615"/>
      <c r="G8" s="2889"/>
      <c r="H8" s="2889"/>
      <c r="I8" s="2889"/>
      <c r="J8" s="2664"/>
      <c r="K8" s="2839"/>
      <c r="L8" s="2838"/>
      <c r="M8" s="2838"/>
      <c r="N8" s="2664"/>
      <c r="O8" s="2675"/>
      <c r="P8" s="2664"/>
      <c r="Q8" s="2664"/>
      <c r="R8" s="2664"/>
    </row>
    <row r="9" spans="1:28" ht="13.5" thickBot="1">
      <c r="A9" s="2616" t="s">
        <v>2924</v>
      </c>
      <c r="B9" s="2617" t="s">
        <v>3064</v>
      </c>
      <c r="C9" s="2618"/>
      <c r="D9" s="3117"/>
      <c r="E9" s="2617"/>
      <c r="F9" s="2619"/>
      <c r="G9" s="2891"/>
      <c r="H9" s="2891"/>
      <c r="I9" s="2891"/>
      <c r="J9" s="2664"/>
      <c r="K9" s="2841"/>
      <c r="L9" s="2838"/>
      <c r="M9" s="2838"/>
      <c r="N9" s="2664"/>
      <c r="O9" s="2675"/>
      <c r="P9" s="2664"/>
      <c r="Q9" s="2664"/>
      <c r="R9" s="2664"/>
    </row>
    <row r="10" spans="1:28" ht="13.5" thickTop="1">
      <c r="A10" s="2620" t="s">
        <v>2925</v>
      </c>
      <c r="B10" s="2621" t="s">
        <v>3065</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3066</v>
      </c>
      <c r="C11" s="2626"/>
      <c r="D11" s="2627"/>
      <c r="E11" s="2593"/>
      <c r="F11" s="2593"/>
      <c r="G11" s="2593"/>
      <c r="H11" s="2593"/>
      <c r="I11" s="2593"/>
      <c r="J11" s="2664"/>
      <c r="K11" s="2841"/>
      <c r="L11" s="2838"/>
      <c r="M11" s="2838"/>
      <c r="N11" s="2664"/>
      <c r="O11" s="2675"/>
      <c r="P11" s="2664"/>
      <c r="Q11" s="2664"/>
      <c r="R11" s="2664"/>
    </row>
    <row r="12" spans="1:28">
      <c r="A12" s="2628" t="s">
        <v>2928</v>
      </c>
      <c r="B12" s="2625" t="s">
        <v>3067</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4"/>
      <c r="E13" s="964">
        <v>53939</v>
      </c>
      <c r="F13" s="964"/>
      <c r="G13" s="964"/>
      <c r="H13" s="964"/>
      <c r="I13" s="964"/>
      <c r="J13" s="2664"/>
      <c r="K13" s="2841"/>
      <c r="L13" s="2838"/>
      <c r="M13" s="2838"/>
      <c r="N13" s="2664"/>
      <c r="O13" s="2675"/>
      <c r="P13" s="2664"/>
      <c r="Q13" s="2664"/>
      <c r="R13" s="2664"/>
    </row>
    <row r="14" spans="1:28">
      <c r="A14" s="1240"/>
      <c r="B14" s="2630"/>
      <c r="C14" s="2631" t="s">
        <v>2937</v>
      </c>
      <c r="D14" s="2632"/>
      <c r="E14" s="2632">
        <v>40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26.33</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23"/>
      <c r="C16" s="3124"/>
      <c r="D16" s="3125"/>
      <c r="E16" s="2638" t="s">
        <v>2940</v>
      </c>
      <c r="F16" s="3126"/>
      <c r="G16" s="3127"/>
      <c r="H16" s="3127"/>
      <c r="I16" s="3128"/>
      <c r="J16" s="2664"/>
      <c r="K16" s="2843"/>
      <c r="L16" s="2676"/>
      <c r="M16" s="2676"/>
      <c r="N16" s="2734"/>
      <c r="O16" s="2676"/>
      <c r="P16" s="2734"/>
      <c r="Q16" s="2664"/>
      <c r="R16" s="2664"/>
    </row>
    <row r="17" spans="1:28">
      <c r="A17" s="319" t="s">
        <v>2941</v>
      </c>
      <c r="B17" s="308" t="s">
        <v>2942</v>
      </c>
      <c r="C17" s="11">
        <f>'数据-汇总表'!E3</f>
        <v>1568.25</v>
      </c>
      <c r="D17" s="2544" t="s">
        <v>2943</v>
      </c>
      <c r="E17" s="3129" t="s">
        <v>2944</v>
      </c>
      <c r="F17" s="3130"/>
      <c r="G17" s="3130"/>
      <c r="H17" s="3130"/>
      <c r="I17" s="3131"/>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v>
      </c>
      <c r="D18" s="1251" t="s">
        <v>2947</v>
      </c>
      <c r="E18" s="3132" t="s">
        <v>2948</v>
      </c>
      <c r="F18" s="3133"/>
      <c r="G18" s="3133"/>
      <c r="H18" s="3133"/>
      <c r="I18" s="3134"/>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19" t="s">
        <v>2952</v>
      </c>
      <c r="C20" s="3120"/>
      <c r="D20" s="3121" t="s">
        <v>2953</v>
      </c>
      <c r="E20" s="3122"/>
      <c r="F20" s="2873" t="s">
        <v>1742</v>
      </c>
      <c r="G20" s="2890"/>
      <c r="H20" s="2890"/>
      <c r="I20" s="2890"/>
      <c r="J20" s="2664"/>
      <c r="K20" s="311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6"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6"/>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6"/>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7"/>
      <c r="B30" s="308" t="s">
        <v>2964</v>
      </c>
      <c r="C30" s="3108"/>
      <c r="D30" s="3109"/>
      <c r="E30" s="2890"/>
      <c r="F30" s="2890"/>
      <c r="G30" s="2890"/>
      <c r="H30" s="2890"/>
      <c r="I30" s="2890"/>
      <c r="J30" s="2664"/>
      <c r="K30" s="2841"/>
      <c r="L30" s="2838"/>
      <c r="M30" s="2838"/>
      <c r="N30" s="2664"/>
      <c r="O30" s="2675"/>
      <c r="P30" s="2664"/>
      <c r="Q30" s="2664"/>
      <c r="R30" s="2664"/>
      <c r="S30" s="2664"/>
      <c r="T30" s="2664"/>
      <c r="U30" s="2664"/>
      <c r="V30" s="2664"/>
    </row>
    <row r="31" spans="1:28">
      <c r="A31" s="3110"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1"/>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1"/>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05" t="s">
        <v>2974</v>
      </c>
      <c r="T34" s="2653" t="str">
        <f>NUMBERSTRING(7-K34,1)&amp;"通"</f>
        <v>七通</v>
      </c>
      <c r="U34" s="2664"/>
      <c r="V34" s="2664"/>
    </row>
    <row r="35" spans="1:30">
      <c r="A35" s="2654"/>
      <c r="B35" s="3112" t="s">
        <v>2975</v>
      </c>
      <c r="C35" s="3112"/>
      <c r="D35" s="3112"/>
      <c r="E35" s="3112"/>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5"/>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t="s">
        <v>269</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t="s">
        <v>271</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1568.25</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1568.25</v>
      </c>
      <c r="H5" s="16">
        <f t="shared" ref="H5:AT5" si="0">SUM(H13:H656)</f>
        <v>1568.25</v>
      </c>
      <c r="I5" s="16">
        <f t="shared" si="0"/>
        <v>1568.25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1568.25</v>
      </c>
      <c r="BA5" s="18">
        <f t="shared" si="1"/>
        <v>1568.25</v>
      </c>
      <c r="BB5" s="18">
        <f t="shared" si="1"/>
        <v>1568.25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3084</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1343</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3085</v>
      </c>
      <c r="E13" s="16">
        <f>IF($C$3="是",ROUND($A$3*G13/$B$3,2),ROUND($A$3*(G13-AT13)/$B$3,2))</f>
        <v>0</v>
      </c>
      <c r="F13" s="32"/>
      <c r="G13" s="33">
        <f>H13+AC13+AT13</f>
        <v>1568.25</v>
      </c>
      <c r="H13" s="20">
        <f>SUMIF(I$12:AB$12,"总值",I13:AB13)</f>
        <v>1568.25</v>
      </c>
      <c r="I13" s="1810">
        <f>清单!C12</f>
        <v>1568.25</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6">
        <f>BA13+BL13</f>
        <v>1568.25</v>
      </c>
      <c r="BA13" s="16">
        <f>SUM(BB13:BK13)</f>
        <v>1568.25</v>
      </c>
      <c r="BB13" s="16">
        <f>IF($D13="是",I13-J13,0)</f>
        <v>1568.25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29" sqref="E29"/>
    </sheetView>
  </sheetViews>
  <sheetFormatPr defaultRowHeight="14.25"/>
  <cols>
    <col min="1" max="1" width="4.75" style="3059" customWidth="1"/>
    <col min="2" max="2" width="32" style="3059" customWidth="1"/>
    <col min="3" max="3" width="7.75" style="3059" customWidth="1"/>
    <col min="4" max="16384" width="9" style="3059"/>
  </cols>
  <sheetData>
    <row r="1" spans="1:9">
      <c r="A1" s="3059" t="s">
        <v>3068</v>
      </c>
      <c r="B1" s="3059" t="s">
        <v>3069</v>
      </c>
      <c r="C1" s="3059" t="s">
        <v>3070</v>
      </c>
      <c r="D1" s="3059" t="s">
        <v>3071</v>
      </c>
      <c r="G1" s="3059" t="s">
        <v>3110</v>
      </c>
      <c r="H1" s="3059">
        <v>182.47</v>
      </c>
      <c r="I1" s="3059" t="s">
        <v>3111</v>
      </c>
    </row>
    <row r="2" spans="1:9">
      <c r="A2" s="3059">
        <v>1</v>
      </c>
      <c r="B2" s="3059" t="s">
        <v>3073</v>
      </c>
      <c r="C2" s="3059">
        <v>182.47</v>
      </c>
      <c r="D2" s="3059" t="s">
        <v>3074</v>
      </c>
      <c r="G2" s="3059" t="s">
        <v>3112</v>
      </c>
      <c r="H2" s="3059">
        <v>81.45</v>
      </c>
      <c r="I2" s="3059" t="s">
        <v>3111</v>
      </c>
    </row>
    <row r="3" spans="1:9">
      <c r="A3" s="3059">
        <v>2</v>
      </c>
      <c r="B3" s="3059" t="s">
        <v>3075</v>
      </c>
      <c r="C3" s="3059">
        <v>81.45</v>
      </c>
      <c r="D3" s="3059" t="s">
        <v>3074</v>
      </c>
      <c r="G3" s="3059" t="s">
        <v>3113</v>
      </c>
      <c r="H3" s="3059">
        <v>103.82</v>
      </c>
      <c r="I3" s="3059" t="s">
        <v>3111</v>
      </c>
    </row>
    <row r="4" spans="1:9">
      <c r="A4" s="3059">
        <v>3</v>
      </c>
      <c r="B4" s="3059" t="s">
        <v>3076</v>
      </c>
      <c r="C4" s="3059">
        <v>103.82</v>
      </c>
      <c r="D4" s="3059" t="s">
        <v>3074</v>
      </c>
      <c r="G4" s="3059" t="s">
        <v>3114</v>
      </c>
      <c r="H4" s="3059">
        <v>170.93</v>
      </c>
      <c r="I4" s="3059" t="s">
        <v>3111</v>
      </c>
    </row>
    <row r="5" spans="1:9">
      <c r="A5" s="3059">
        <v>4</v>
      </c>
      <c r="B5" s="3059" t="s">
        <v>3077</v>
      </c>
      <c r="C5" s="3059">
        <v>170.93</v>
      </c>
      <c r="D5" s="3059" t="s">
        <v>3074</v>
      </c>
      <c r="G5" s="3059" t="s">
        <v>3115</v>
      </c>
      <c r="H5" s="3059">
        <v>167.03</v>
      </c>
      <c r="I5" s="3059" t="s">
        <v>3111</v>
      </c>
    </row>
    <row r="6" spans="1:9">
      <c r="A6" s="3059">
        <v>5</v>
      </c>
      <c r="B6" s="3059" t="s">
        <v>3078</v>
      </c>
      <c r="C6" s="3059">
        <v>167.03</v>
      </c>
      <c r="D6" s="3059" t="s">
        <v>3074</v>
      </c>
      <c r="G6" s="3059" t="s">
        <v>3116</v>
      </c>
      <c r="H6" s="3059">
        <v>171.34</v>
      </c>
      <c r="I6" s="3059" t="s">
        <v>3111</v>
      </c>
    </row>
    <row r="7" spans="1:9">
      <c r="A7" s="3059">
        <v>6</v>
      </c>
      <c r="B7" s="3059" t="s">
        <v>3079</v>
      </c>
      <c r="C7" s="3059">
        <v>171.34</v>
      </c>
      <c r="D7" s="3059" t="s">
        <v>3074</v>
      </c>
      <c r="G7" s="3059" t="s">
        <v>3117</v>
      </c>
      <c r="H7" s="3059">
        <v>171.34</v>
      </c>
      <c r="I7" s="3059" t="s">
        <v>3111</v>
      </c>
    </row>
    <row r="8" spans="1:9">
      <c r="A8" s="3059">
        <v>7</v>
      </c>
      <c r="B8" s="3059" t="s">
        <v>3080</v>
      </c>
      <c r="C8" s="3059">
        <v>171.34</v>
      </c>
      <c r="D8" s="3059" t="s">
        <v>3074</v>
      </c>
      <c r="G8" s="3059" t="s">
        <v>3118</v>
      </c>
      <c r="H8" s="3059">
        <v>171.34</v>
      </c>
      <c r="I8" s="3059" t="s">
        <v>3111</v>
      </c>
    </row>
    <row r="9" spans="1:9">
      <c r="A9" s="3059">
        <v>8</v>
      </c>
      <c r="B9" s="3059" t="s">
        <v>3081</v>
      </c>
      <c r="C9" s="3059">
        <v>171.34</v>
      </c>
      <c r="D9" s="3059" t="s">
        <v>3074</v>
      </c>
      <c r="G9" s="3059" t="s">
        <v>3119</v>
      </c>
      <c r="H9" s="3059">
        <v>161.13</v>
      </c>
      <c r="I9" s="3059" t="s">
        <v>3111</v>
      </c>
    </row>
    <row r="10" spans="1:9">
      <c r="A10" s="3059">
        <v>9</v>
      </c>
      <c r="B10" s="3059" t="s">
        <v>3082</v>
      </c>
      <c r="C10" s="3059">
        <v>161.13</v>
      </c>
      <c r="D10" s="3059" t="s">
        <v>3074</v>
      </c>
      <c r="G10" s="3059" t="s">
        <v>3120</v>
      </c>
      <c r="H10" s="3059">
        <v>187.4</v>
      </c>
      <c r="I10" s="3059" t="s">
        <v>3111</v>
      </c>
    </row>
    <row r="11" spans="1:9">
      <c r="A11" s="3059">
        <v>10</v>
      </c>
      <c r="B11" s="3059" t="s">
        <v>3083</v>
      </c>
      <c r="C11" s="3059">
        <v>187.4</v>
      </c>
      <c r="D11" s="3059" t="s">
        <v>3074</v>
      </c>
      <c r="G11" s="3059" t="s">
        <v>3121</v>
      </c>
      <c r="H11" s="3059">
        <v>39.65</v>
      </c>
      <c r="I11" s="3059" t="s">
        <v>3111</v>
      </c>
    </row>
    <row r="12" spans="1:9">
      <c r="A12" s="3059" t="s">
        <v>3072</v>
      </c>
      <c r="C12" s="3059">
        <f>SUM(C2:C11)</f>
        <v>1568.25</v>
      </c>
      <c r="G12" s="3059" t="s">
        <v>3122</v>
      </c>
      <c r="H12" s="3059">
        <v>38.15</v>
      </c>
      <c r="I12" s="3059" t="s">
        <v>3111</v>
      </c>
    </row>
    <row r="13" spans="1:9">
      <c r="G13" s="3059" t="s">
        <v>3123</v>
      </c>
      <c r="H13" s="3059">
        <v>63.71</v>
      </c>
      <c r="I13" s="3059" t="s">
        <v>3111</v>
      </c>
    </row>
    <row r="14" spans="1:9">
      <c r="H14" s="3059">
        <f>SUM(H1:H13)</f>
        <v>1709.7600000000002</v>
      </c>
    </row>
    <row r="15" spans="1:9">
      <c r="D15" s="3059">
        <f>C12/H14*50</f>
        <v>45.86169988770353</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46" t="s">
        <v>1817</v>
      </c>
      <c r="B2" s="3146"/>
      <c r="C2" s="3146"/>
      <c r="D2" s="903" t="s">
        <v>1793</v>
      </c>
      <c r="E2" s="1823" t="s">
        <v>1794</v>
      </c>
      <c r="F2" s="2885"/>
      <c r="G2" s="2876"/>
      <c r="H2" s="2877"/>
      <c r="I2" s="2547" t="s">
        <v>1818</v>
      </c>
      <c r="J2" s="2885"/>
      <c r="K2" s="2885"/>
      <c r="L2" s="2885"/>
      <c r="M2" s="2885"/>
      <c r="N2" s="2887"/>
      <c r="O2" s="2885"/>
      <c r="P2" s="2885"/>
    </row>
    <row r="3" spans="1:16" ht="15.75" thickBot="1">
      <c r="A3" s="3147" t="s">
        <v>1791</v>
      </c>
      <c r="B3" s="3147"/>
      <c r="C3" s="3147"/>
      <c r="D3" s="46">
        <f>'数据-基础表'!AY6</f>
        <v>0</v>
      </c>
      <c r="E3" s="46">
        <f>'数据-基础表'!AZ5</f>
        <v>1568.25</v>
      </c>
      <c r="F3" s="2885"/>
      <c r="G3" s="1306"/>
      <c r="H3" s="1156" t="s">
        <v>1792</v>
      </c>
      <c r="I3" s="963" t="e">
        <f>ROUND('数据-基础表'!B3/'数据-基础表'!A3,2)</f>
        <v>#DIV/0!</v>
      </c>
      <c r="J3" s="2885"/>
      <c r="K3" s="2885"/>
      <c r="L3" s="2885"/>
      <c r="M3" s="2885"/>
      <c r="N3" s="2887"/>
      <c r="O3" s="2885"/>
      <c r="P3" s="2885"/>
    </row>
    <row r="4" spans="1:16" ht="15">
      <c r="A4" s="3148"/>
      <c r="B4" s="3149"/>
      <c r="C4" s="3150"/>
      <c r="D4" s="1825" t="s">
        <v>1793</v>
      </c>
      <c r="E4" s="1826" t="s">
        <v>1794</v>
      </c>
      <c r="F4" s="2885"/>
      <c r="G4" s="2878" t="s">
        <v>1819</v>
      </c>
      <c r="H4" s="1156" t="s">
        <v>1799</v>
      </c>
      <c r="I4" s="963" t="e">
        <f>ROUND(SUMIF('数据-基础表'!I9:AS9,"地上",'数据-基础表'!I5:AS5)/'数据-基础表'!A3,2)</f>
        <v>#DIV/0!</v>
      </c>
      <c r="J4" s="2885"/>
      <c r="K4" s="2885"/>
      <c r="L4" s="2885"/>
      <c r="M4" s="2885"/>
      <c r="N4" s="2887"/>
      <c r="O4" s="2885"/>
      <c r="P4" s="2885"/>
    </row>
    <row r="5" spans="1:16">
      <c r="A5" s="47" t="s">
        <v>1795</v>
      </c>
      <c r="B5" s="3151" t="s">
        <v>1796</v>
      </c>
      <c r="C5" s="3151"/>
      <c r="D5" s="48">
        <f>ROUND($D$3*E5/$E$3,2)</f>
        <v>0</v>
      </c>
      <c r="E5" s="49">
        <f>SUMIF('数据-基础表'!$11:$11,"住宅",'数据-基础表'!$5:$5)</f>
        <v>0</v>
      </c>
      <c r="F5" s="2885"/>
      <c r="G5" s="1306"/>
      <c r="H5" s="1156" t="s">
        <v>1792</v>
      </c>
      <c r="I5" s="963" t="e">
        <f>ROUND(E31/D31,2)</f>
        <v>#DIV/0!</v>
      </c>
      <c r="J5" s="2885"/>
      <c r="K5" s="2885"/>
      <c r="L5" s="2885"/>
      <c r="M5" s="2885"/>
      <c r="N5" s="2885"/>
      <c r="O5" s="2885"/>
      <c r="P5" s="2885"/>
    </row>
    <row r="6" spans="1:16" ht="15" thickBot="1">
      <c r="A6" s="1828"/>
      <c r="B6" s="3151" t="s">
        <v>1797</v>
      </c>
      <c r="C6" s="3151"/>
      <c r="D6" s="48">
        <f>ROUND($D$3*E6/$E$3,2)</f>
        <v>0</v>
      </c>
      <c r="E6" s="49">
        <f>E3-E5</f>
        <v>1568.25</v>
      </c>
      <c r="F6" s="2885"/>
      <c r="G6" s="2879" t="s">
        <v>1798</v>
      </c>
      <c r="H6" s="1307" t="s">
        <v>1799</v>
      </c>
      <c r="I6" s="2880" t="e">
        <f>ROUND(F31/D31,2)</f>
        <v>#DIV/0!</v>
      </c>
      <c r="J6" s="2885"/>
      <c r="K6" s="2885"/>
      <c r="L6" s="2885"/>
      <c r="M6" s="2885"/>
      <c r="N6" s="2885"/>
      <c r="O6" s="2885"/>
      <c r="P6" s="2885"/>
    </row>
    <row r="7" spans="1:16" ht="15.75" thickBot="1">
      <c r="A7" s="3143"/>
      <c r="B7" s="3144"/>
      <c r="C7" s="3145"/>
      <c r="D7" s="1825" t="s">
        <v>1793</v>
      </c>
      <c r="E7" s="1829" t="s">
        <v>1800</v>
      </c>
      <c r="F7" s="2885"/>
      <c r="G7" s="2881" t="s">
        <v>1801</v>
      </c>
      <c r="H7" s="2882"/>
      <c r="I7" s="2883">
        <v>3.5</v>
      </c>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1568.25</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v>
      </c>
      <c r="E16" s="53">
        <f>SUM(E8:E15)</f>
        <v>1568.25</v>
      </c>
      <c r="F16" s="2885"/>
      <c r="G16" s="2886"/>
      <c r="H16" s="1832" t="s">
        <v>1821</v>
      </c>
      <c r="I16" s="1833"/>
      <c r="J16" s="1300"/>
      <c r="K16" s="3140" t="s">
        <v>1821</v>
      </c>
      <c r="L16" s="3141"/>
      <c r="M16" s="3141"/>
      <c r="N16" s="3141"/>
      <c r="O16" s="3141"/>
      <c r="P16" s="3142"/>
    </row>
    <row r="17" spans="1:19" ht="15">
      <c r="A17" s="1834" t="s">
        <v>1822</v>
      </c>
      <c r="B17" s="1835" t="s">
        <v>1823</v>
      </c>
      <c r="C17" s="1836" t="s">
        <v>1824</v>
      </c>
      <c r="D17" s="1837" t="s">
        <v>1812</v>
      </c>
      <c r="E17" s="1838" t="s">
        <v>1813</v>
      </c>
      <c r="F17" s="1839"/>
      <c r="G17" s="1840"/>
      <c r="H17" s="1841" t="s">
        <v>1825</v>
      </c>
      <c r="I17" s="1842" t="s">
        <v>1810</v>
      </c>
      <c r="J17" s="1300"/>
      <c r="K17" s="3137" t="s">
        <v>1826</v>
      </c>
      <c r="L17" s="3138"/>
      <c r="M17" s="3139"/>
      <c r="N17" s="3137" t="s">
        <v>1827</v>
      </c>
      <c r="O17" s="3138"/>
      <c r="P17" s="3139"/>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0" t="s">
        <v>3086</v>
      </c>
      <c r="D19" s="48">
        <f>ROUND($D$3*E19/$E$3,2)</f>
        <v>0</v>
      </c>
      <c r="E19" s="56">
        <f t="shared" ref="E19:E26" si="1">SUM(F19:G19)</f>
        <v>1568.25</v>
      </c>
      <c r="F19" s="3025">
        <f>'数据-基础表'!I13</f>
        <v>1568.25</v>
      </c>
      <c r="G19" s="3026"/>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1568.25</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0</v>
      </c>
      <c r="E27" s="1302">
        <f>IF(SUM(E19:E26)='数据-基础表'!BA5,SUM(E19:E26),IF(F27="地上面积有误","面积有误","地下面积有误"))</f>
        <v>1568.25</v>
      </c>
      <c r="F27" s="1301">
        <f>IF(SUM(F19:F26)=E8,SUM(F19:F26),"地上面积有误")</f>
        <v>1568.25</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1568.25</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5">
        <f>D27+D30</f>
        <v>0</v>
      </c>
      <c r="E31" s="685">
        <f>E27+E30</f>
        <v>1568.25</v>
      </c>
      <c r="F31" s="686">
        <f>F27+F30</f>
        <v>1568.25</v>
      </c>
      <c r="G31" s="687">
        <f>G27+G30</f>
        <v>0</v>
      </c>
      <c r="H31" s="2885"/>
      <c r="I31" s="2885"/>
      <c r="J31" s="2885"/>
      <c r="K31" s="2885"/>
      <c r="L31" s="2885"/>
      <c r="M31" s="2885"/>
      <c r="N31" s="2885"/>
      <c r="O31" s="2885"/>
      <c r="P31" s="2885"/>
    </row>
    <row r="32" spans="1:19">
      <c r="A32" s="1827"/>
      <c r="B32" s="1827" t="s">
        <v>1845</v>
      </c>
      <c r="C32" s="1827"/>
      <c r="D32" s="1827"/>
      <c r="E32" s="1183">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Z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44328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3087</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1343</v>
      </c>
      <c r="D6" s="966">
        <f>SUMIF(项目基本情况!D$12:I$12,C6,项目基本情况!D$14:I$14)</f>
        <v>40</v>
      </c>
      <c r="E6" s="965">
        <f>IF(B6="","",SUMIF(项目基本情况!D$12:I$12,C6,项目基本情况!D$13:I$13))</f>
        <v>53939</v>
      </c>
      <c r="F6" s="68">
        <f>SUMIF(项目基本情况!D$12:I$12,C6,项目基本情况!D$15:I$15)</f>
        <v>26.33</v>
      </c>
      <c r="G6" s="69">
        <f>IF(ISERROR(ROUND(POWER(1+H6,D6-F6)*(POWER(1+H6,F6)-1)/(POWER(1+H6,D6)-1),3)),0,ROUND(POWER(1+H6,D6-F6)*(POWER(1+H6,F6)-1)/(POWER(1+H6,D6)-1),3))</f>
        <v>0.85599999999999998</v>
      </c>
      <c r="H6" s="741">
        <v>5.5E-2</v>
      </c>
      <c r="I6" s="741">
        <v>0.06</v>
      </c>
      <c r="J6" s="70">
        <v>8.5000000000000006E-2</v>
      </c>
      <c r="K6" s="1160">
        <f>SUMIF('数据-汇总表'!C$19:C$33,A6,'数据-汇总表'!E$19:E$33)</f>
        <v>1568.25</v>
      </c>
      <c r="L6" s="742">
        <v>8000</v>
      </c>
      <c r="M6" s="71">
        <f t="shared" ref="M6:M14" si="0">ROUND(K6*L6/10000,0)</f>
        <v>1255</v>
      </c>
      <c r="N6" s="740">
        <f>1-(2021-N19)/60</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f>酒店收入计算!$E$26</f>
        <v>355.2</v>
      </c>
      <c r="V6" s="75">
        <v>0.03</v>
      </c>
      <c r="W6" s="75">
        <v>0</v>
      </c>
      <c r="X6" s="1170"/>
      <c r="Y6" s="76">
        <f>N6</f>
        <v>0.8</v>
      </c>
      <c r="Z6" s="77"/>
      <c r="AA6" s="70"/>
      <c r="AB6" s="70"/>
      <c r="AC6" s="1170"/>
      <c r="AD6" s="78"/>
      <c r="AE6" s="1171">
        <f ca="1">IF(AN6="",0,SUMIF(INDIRECT("'"&amp;AN6&amp;"'"&amp;"!E:E"),$AE$5,INDIRECT("'"&amp;AN6&amp;"'"&amp;"!F:F")))</f>
        <v>26.33</v>
      </c>
      <c r="AF6" s="1531"/>
      <c r="AG6" s="143">
        <f>IF(AF6="",0,AE6-AF6)</f>
        <v>0</v>
      </c>
      <c r="AH6" s="79">
        <v>10000</v>
      </c>
      <c r="AI6" s="81">
        <v>1</v>
      </c>
      <c r="AJ6" s="82"/>
      <c r="AK6" s="83">
        <v>1.4999999999999999E-2</v>
      </c>
      <c r="AL6" s="84">
        <v>1.5E-3</v>
      </c>
      <c r="AM6" s="85">
        <v>1.4999999999999999E-2</v>
      </c>
      <c r="AN6" s="1900" t="s">
        <v>3107</v>
      </c>
      <c r="AO6" s="55">
        <f ca="1">SUMIF(INDIRECT("'"&amp;AN6&amp;"'"&amp;"!A:A"),"总价",INDIRECT("'"&amp;AN6&amp;"'"&amp;"!B:B"))</f>
        <v>5074</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0"/>
      <c r="AJ14" s="713"/>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0"/>
      <c r="AJ15" s="713"/>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0.85599999999999998</v>
      </c>
      <c r="H16" s="95">
        <f>ROUND(SUMPRODUCT(H6:H13,K6:K13)/SUMPRODUCT((H6:H13&gt;0)*(K6:K13)),3)</f>
        <v>5.5E-2</v>
      </c>
      <c r="I16" s="96"/>
      <c r="J16" s="96"/>
      <c r="K16" s="97">
        <f>SUM(K6:K15)</f>
        <v>1568.25</v>
      </c>
      <c r="L16" s="98">
        <f>ROUND(M16*10000/SUM(K6:K14),0)</f>
        <v>8003</v>
      </c>
      <c r="M16" s="98">
        <f>SUM(M6:M14)</f>
        <v>1255</v>
      </c>
      <c r="N16" s="99">
        <f>ROUND(SUMPRODUCT(M6:M14,N6:N14)/M16,3)</f>
        <v>0.8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v>2009</v>
      </c>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v>31</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3088</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7"/>
      <c r="L69" s="737"/>
    </row>
    <row r="70" spans="1:44" s="900" customFormat="1">
      <c r="A70" s="1926"/>
      <c r="D70" s="1927"/>
      <c r="K70" s="737"/>
      <c r="L70" s="737"/>
    </row>
    <row r="71" spans="1:44" s="900" customFormat="1">
      <c r="A71" s="1926"/>
      <c r="D71" s="1927"/>
      <c r="K71" s="737"/>
      <c r="L71" s="737"/>
    </row>
    <row r="72" spans="1:44" s="900" customFormat="1">
      <c r="A72" s="1926"/>
      <c r="D72" s="1927"/>
      <c r="K72" s="737"/>
      <c r="L72" s="737"/>
    </row>
    <row r="73" spans="1:44" s="900" customFormat="1">
      <c r="A73" s="1926"/>
      <c r="D73" s="1927"/>
      <c r="K73" s="737"/>
      <c r="L73" s="737"/>
    </row>
    <row r="74" spans="1:44" s="900" customFormat="1">
      <c r="A74" s="1926"/>
      <c r="D74" s="1927"/>
      <c r="K74" s="737"/>
      <c r="L74" s="737"/>
    </row>
    <row r="75" spans="1:44" s="900" customFormat="1">
      <c r="A75" s="1926"/>
      <c r="D75" s="1927"/>
      <c r="K75" s="737"/>
      <c r="L75" s="737"/>
    </row>
    <row r="76" spans="1:44" s="900" customFormat="1">
      <c r="A76" s="1926"/>
      <c r="D76" s="1927"/>
      <c r="K76" s="737"/>
      <c r="L76" s="737"/>
    </row>
    <row r="77" spans="1:44" s="900" customFormat="1">
      <c r="A77" s="1926"/>
      <c r="D77" s="1927"/>
      <c r="K77" s="737"/>
      <c r="L77" s="737"/>
    </row>
    <row r="78" spans="1:44" s="900" customFormat="1">
      <c r="A78" s="1926"/>
      <c r="D78" s="1927"/>
      <c r="K78" s="737"/>
      <c r="L78" s="737"/>
    </row>
    <row r="79" spans="1:44" s="900" customFormat="1">
      <c r="A79" s="1926"/>
      <c r="D79" s="1927"/>
      <c r="K79" s="737"/>
      <c r="L79" s="737"/>
    </row>
    <row r="80" spans="1:44" s="900" customFormat="1">
      <c r="A80" s="1926"/>
      <c r="D80" s="1927"/>
      <c r="K80" s="737"/>
      <c r="L80" s="737"/>
    </row>
    <row r="81" spans="1:12" s="900" customFormat="1">
      <c r="A81" s="1926"/>
      <c r="D81" s="1927"/>
      <c r="K81" s="737"/>
      <c r="L81" s="737"/>
    </row>
    <row r="82" spans="1:12" s="900" customFormat="1">
      <c r="A82" s="1926"/>
      <c r="D82" s="1927"/>
      <c r="K82" s="737"/>
      <c r="L82" s="737"/>
    </row>
    <row r="83" spans="1:12" s="900" customFormat="1">
      <c r="A83" s="1926"/>
      <c r="D83" s="1927"/>
      <c r="K83" s="737"/>
      <c r="L83" s="737"/>
    </row>
    <row r="84" spans="1:12" s="900" customFormat="1">
      <c r="A84" s="1926"/>
      <c r="D84" s="1927"/>
      <c r="K84" s="737"/>
      <c r="L84" s="737"/>
    </row>
    <row r="85" spans="1:12" s="900" customFormat="1">
      <c r="A85" s="1926"/>
      <c r="D85" s="1927"/>
      <c r="K85" s="737"/>
      <c r="L85" s="737"/>
    </row>
    <row r="86" spans="1:12" s="900" customFormat="1">
      <c r="A86" s="1926"/>
      <c r="D86" s="1927"/>
      <c r="K86" s="737"/>
      <c r="L86" s="737"/>
    </row>
    <row r="87" spans="1:12" s="900" customFormat="1">
      <c r="A87" s="1926"/>
      <c r="D87" s="1927"/>
      <c r="K87" s="737"/>
      <c r="L87" s="737"/>
    </row>
    <row r="88" spans="1:12" s="900" customFormat="1">
      <c r="A88" s="1926"/>
      <c r="D88" s="1927"/>
      <c r="K88" s="737"/>
      <c r="L88" s="737"/>
    </row>
    <row r="89" spans="1:12" s="900" customFormat="1">
      <c r="A89" s="1926"/>
      <c r="D89" s="1927"/>
      <c r="K89" s="737"/>
      <c r="L89" s="737"/>
    </row>
    <row r="90" spans="1:12" s="900" customFormat="1">
      <c r="A90" s="1926"/>
      <c r="D90" s="1927"/>
      <c r="K90" s="737"/>
      <c r="L90" s="737"/>
    </row>
    <row r="91" spans="1:12" s="900" customFormat="1">
      <c r="A91" s="1926"/>
      <c r="D91" s="1927"/>
      <c r="K91" s="737"/>
      <c r="L91" s="737"/>
    </row>
    <row r="92" spans="1:12" s="900" customFormat="1">
      <c r="A92" s="1926"/>
      <c r="D92" s="1927"/>
      <c r="K92" s="737"/>
      <c r="L92" s="737"/>
    </row>
    <row r="93" spans="1:12" s="900" customFormat="1">
      <c r="A93" s="1926"/>
      <c r="D93" s="1927"/>
      <c r="K93" s="737"/>
      <c r="L93" s="737"/>
    </row>
    <row r="94" spans="1:12" s="900" customFormat="1">
      <c r="A94" s="1926"/>
      <c r="D94" s="1927"/>
      <c r="K94" s="737"/>
      <c r="L94" s="737"/>
    </row>
    <row r="95" spans="1:12" s="900" customFormat="1">
      <c r="A95" s="1926"/>
      <c r="D95" s="1927"/>
      <c r="K95" s="737"/>
      <c r="L95" s="737"/>
    </row>
    <row r="96" spans="1:12" s="900" customFormat="1">
      <c r="A96" s="1926"/>
      <c r="D96" s="1927"/>
      <c r="K96" s="737"/>
      <c r="L96" s="737"/>
    </row>
    <row r="97" spans="1:12" s="900" customFormat="1">
      <c r="A97" s="1926"/>
      <c r="D97" s="1927"/>
      <c r="K97" s="737"/>
      <c r="L97" s="737"/>
    </row>
    <row r="98" spans="1:12" s="900" customFormat="1">
      <c r="A98" s="1926"/>
      <c r="D98" s="1927"/>
      <c r="K98" s="737"/>
      <c r="L98" s="737"/>
    </row>
    <row r="99" spans="1:12" s="900" customFormat="1">
      <c r="A99" s="1926"/>
      <c r="D99" s="1927"/>
      <c r="K99" s="737"/>
      <c r="L99" s="737"/>
    </row>
    <row r="100" spans="1:12" s="900" customFormat="1">
      <c r="A100" s="1926"/>
      <c r="D100" s="1927"/>
      <c r="K100" s="737"/>
      <c r="L100" s="737"/>
    </row>
    <row r="101" spans="1:12" s="900" customFormat="1">
      <c r="A101" s="1926"/>
      <c r="D101" s="1927"/>
      <c r="K101" s="737"/>
      <c r="L101" s="737"/>
    </row>
    <row r="102" spans="1:12" s="900" customFormat="1">
      <c r="A102" s="1926"/>
      <c r="D102" s="1927"/>
      <c r="K102" s="737"/>
      <c r="L102" s="737"/>
    </row>
    <row r="103" spans="1:12" s="900" customFormat="1">
      <c r="A103" s="1926"/>
      <c r="D103" s="1927"/>
      <c r="K103" s="737"/>
      <c r="L103" s="737"/>
    </row>
    <row r="104" spans="1:12" s="900" customFormat="1">
      <c r="A104" s="1926"/>
      <c r="D104" s="1927"/>
      <c r="K104" s="737"/>
      <c r="L104" s="737"/>
    </row>
    <row r="105" spans="1:12" s="900" customFormat="1">
      <c r="A105" s="1926"/>
      <c r="D105" s="1927"/>
      <c r="K105" s="737"/>
      <c r="L105" s="737"/>
    </row>
    <row r="106" spans="1:12" s="900" customFormat="1">
      <c r="A106" s="1926"/>
      <c r="D106" s="1927"/>
      <c r="K106" s="737"/>
      <c r="L106" s="737"/>
    </row>
    <row r="107" spans="1:12" s="900" customFormat="1">
      <c r="A107" s="1926"/>
      <c r="D107" s="1927"/>
      <c r="K107" s="737"/>
      <c r="L107" s="737"/>
    </row>
    <row r="108" spans="1:12" s="900" customFormat="1">
      <c r="A108" s="1926"/>
      <c r="D108" s="1927"/>
      <c r="K108" s="737"/>
      <c r="L108" s="737"/>
    </row>
    <row r="109" spans="1:12" s="900" customFormat="1">
      <c r="A109" s="1926"/>
      <c r="D109" s="1927"/>
      <c r="K109" s="737"/>
      <c r="L109" s="737"/>
    </row>
    <row r="110" spans="1:12" s="900" customFormat="1">
      <c r="A110" s="1926"/>
      <c r="D110" s="1927"/>
      <c r="K110" s="737"/>
      <c r="L110" s="737"/>
    </row>
    <row r="111" spans="1:12" s="900" customFormat="1">
      <c r="A111" s="1926"/>
      <c r="D111" s="1927"/>
      <c r="K111" s="737"/>
      <c r="L111" s="737"/>
    </row>
    <row r="112" spans="1:12" s="900" customFormat="1">
      <c r="A112" s="1926"/>
      <c r="D112" s="1927"/>
      <c r="K112" s="737"/>
      <c r="L112" s="737"/>
    </row>
    <row r="113" spans="1:12" s="900" customFormat="1">
      <c r="A113" s="1926"/>
      <c r="D113" s="1927"/>
      <c r="K113" s="737"/>
      <c r="L113" s="737"/>
    </row>
    <row r="114" spans="1:12" s="900" customFormat="1">
      <c r="A114" s="1926"/>
      <c r="D114" s="1927"/>
      <c r="K114" s="737"/>
      <c r="L114" s="737"/>
    </row>
    <row r="115" spans="1:12" s="900" customFormat="1">
      <c r="A115" s="1926"/>
      <c r="D115" s="1927"/>
      <c r="K115" s="737"/>
      <c r="L115" s="737"/>
    </row>
    <row r="116" spans="1:12" s="900" customFormat="1">
      <c r="A116" s="1926"/>
      <c r="D116" s="1927"/>
      <c r="K116" s="737"/>
      <c r="L116" s="737"/>
    </row>
    <row r="117" spans="1:12" s="900" customFormat="1">
      <c r="A117" s="1926"/>
      <c r="D117" s="1927"/>
      <c r="K117" s="737"/>
      <c r="L117" s="737"/>
    </row>
    <row r="118" spans="1:12" s="900" customFormat="1">
      <c r="A118" s="1926"/>
      <c r="D118" s="1927"/>
      <c r="K118" s="737"/>
      <c r="L118" s="737"/>
    </row>
    <row r="119" spans="1:12" s="900" customFormat="1">
      <c r="A119" s="1926"/>
      <c r="D119" s="1927"/>
      <c r="K119" s="737"/>
      <c r="L119" s="737"/>
    </row>
    <row r="120" spans="1:12" s="900" customFormat="1">
      <c r="A120" s="1926"/>
      <c r="D120" s="1927"/>
      <c r="K120" s="737"/>
      <c r="L120" s="737"/>
    </row>
    <row r="121" spans="1:12" s="900" customFormat="1">
      <c r="A121" s="1926"/>
      <c r="D121" s="1927"/>
      <c r="K121" s="737"/>
      <c r="L121" s="737"/>
    </row>
    <row r="122" spans="1:12" s="900" customFormat="1">
      <c r="A122" s="1926"/>
      <c r="D122" s="1927"/>
      <c r="K122" s="737"/>
      <c r="L122" s="737"/>
    </row>
    <row r="123" spans="1:12" s="900" customFormat="1">
      <c r="A123" s="1926"/>
      <c r="D123" s="1927"/>
      <c r="K123" s="737"/>
      <c r="L123" s="737"/>
    </row>
    <row r="124" spans="1:12" s="900" customFormat="1">
      <c r="A124" s="1926"/>
      <c r="D124" s="1927"/>
      <c r="K124" s="737"/>
      <c r="L124" s="737"/>
    </row>
    <row r="125" spans="1:12" s="900" customFormat="1">
      <c r="A125" s="1926"/>
      <c r="D125" s="1927"/>
      <c r="K125" s="737"/>
      <c r="L125" s="737"/>
    </row>
    <row r="126" spans="1:12" s="900" customFormat="1">
      <c r="A126" s="1926"/>
      <c r="D126" s="1927"/>
      <c r="K126" s="737"/>
      <c r="L126" s="737"/>
    </row>
    <row r="127" spans="1:12" s="900" customFormat="1">
      <c r="A127" s="1926"/>
      <c r="D127" s="1927"/>
      <c r="K127" s="737"/>
      <c r="L127" s="737"/>
    </row>
    <row r="128" spans="1:12" s="900" customFormat="1">
      <c r="A128" s="1926"/>
      <c r="D128" s="1927"/>
      <c r="K128" s="737"/>
      <c r="L128" s="737"/>
    </row>
    <row r="129" spans="1:12" s="900" customFormat="1">
      <c r="A129" s="1926"/>
      <c r="D129" s="1927"/>
      <c r="K129" s="737"/>
      <c r="L129" s="737"/>
    </row>
    <row r="130" spans="1:12" s="900" customFormat="1">
      <c r="A130" s="1926"/>
      <c r="D130" s="1927"/>
      <c r="K130" s="737"/>
      <c r="L130" s="737"/>
    </row>
    <row r="131" spans="1:12" s="900" customFormat="1">
      <c r="A131" s="1926"/>
      <c r="D131" s="1927"/>
      <c r="K131" s="737"/>
      <c r="L131" s="737"/>
    </row>
    <row r="132" spans="1:12" s="900" customFormat="1">
      <c r="A132" s="1926"/>
      <c r="D132" s="1927"/>
      <c r="K132" s="737"/>
      <c r="L132" s="737"/>
    </row>
    <row r="133" spans="1:12" s="900"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52" t="s">
        <v>3032</v>
      </c>
      <c r="B1" s="3153"/>
      <c r="C1" s="3153"/>
      <c r="D1" s="3153"/>
      <c r="E1" s="3153"/>
      <c r="F1" s="3153"/>
      <c r="G1" s="315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6"/>
      <c r="I2" s="906"/>
      <c r="J2" s="906"/>
      <c r="K2" s="906"/>
      <c r="L2" s="906"/>
      <c r="M2" s="906"/>
      <c r="N2" s="906"/>
      <c r="O2" s="906"/>
      <c r="P2" s="906"/>
      <c r="Q2" s="906"/>
      <c r="R2" s="906"/>
    </row>
    <row r="3" spans="1:29" ht="48">
      <c r="A3" s="2666" t="s">
        <v>3029</v>
      </c>
      <c r="B3" s="2688" t="s">
        <v>2998</v>
      </c>
      <c r="C3" s="2689" t="s">
        <v>3030</v>
      </c>
      <c r="D3" s="2690"/>
      <c r="E3" s="2667" t="s">
        <v>3029</v>
      </c>
      <c r="F3" s="2691" t="s">
        <v>2999</v>
      </c>
      <c r="G3" s="2692" t="s">
        <v>3031</v>
      </c>
      <c r="H3" s="906"/>
      <c r="I3" s="906"/>
      <c r="J3" s="906"/>
      <c r="K3" s="906"/>
      <c r="L3" s="906"/>
      <c r="M3" s="906"/>
      <c r="N3" s="906"/>
      <c r="O3" s="906"/>
      <c r="P3" s="906"/>
      <c r="Q3" s="906"/>
      <c r="R3" s="906"/>
    </row>
    <row r="4" spans="1:29" ht="36.75">
      <c r="A4" s="2667"/>
      <c r="B4" s="329" t="s">
        <v>3000</v>
      </c>
      <c r="C4" s="2693" t="s">
        <v>3001</v>
      </c>
      <c r="D4" s="2690"/>
      <c r="E4" s="2694"/>
      <c r="F4" s="1556" t="s">
        <v>3002</v>
      </c>
      <c r="G4" s="2695" t="s">
        <v>3003</v>
      </c>
      <c r="H4" s="906"/>
      <c r="I4" s="906"/>
      <c r="J4" s="906"/>
      <c r="K4" s="906"/>
      <c r="L4" s="906"/>
      <c r="M4" s="906"/>
      <c r="N4" s="906"/>
      <c r="O4" s="906"/>
      <c r="P4" s="906"/>
      <c r="Q4" s="906"/>
      <c r="R4" s="906"/>
    </row>
    <row r="5" spans="1:29" ht="36.75">
      <c r="A5" s="2667"/>
      <c r="B5" s="329" t="s">
        <v>3004</v>
      </c>
      <c r="C5" s="2693" t="s">
        <v>3005</v>
      </c>
      <c r="D5" s="2690"/>
      <c r="E5" s="2694"/>
      <c r="F5" s="329" t="s">
        <v>3006</v>
      </c>
      <c r="G5" s="2695" t="s">
        <v>3007</v>
      </c>
      <c r="H5" s="906"/>
      <c r="I5" s="906"/>
      <c r="J5" s="906"/>
      <c r="K5" s="906"/>
      <c r="L5" s="906"/>
      <c r="M5" s="906"/>
      <c r="N5" s="906"/>
      <c r="O5" s="906"/>
      <c r="P5" s="906"/>
      <c r="Q5" s="906"/>
      <c r="R5" s="906"/>
    </row>
    <row r="6" spans="1:29" ht="36">
      <c r="A6" s="2667"/>
      <c r="B6" s="329" t="s">
        <v>3008</v>
      </c>
      <c r="C6" s="2695" t="s">
        <v>3003</v>
      </c>
      <c r="D6" s="2690"/>
      <c r="E6" s="2694"/>
      <c r="F6" s="329" t="s">
        <v>3009</v>
      </c>
      <c r="G6" s="2695" t="s">
        <v>3010</v>
      </c>
      <c r="H6" s="906"/>
      <c r="I6" s="906"/>
      <c r="J6" s="906"/>
      <c r="K6" s="906"/>
      <c r="L6" s="906"/>
      <c r="M6" s="906"/>
      <c r="N6" s="906"/>
      <c r="O6" s="906"/>
      <c r="P6" s="906"/>
      <c r="Q6" s="906"/>
      <c r="R6" s="906"/>
    </row>
    <row r="7" spans="1:29" ht="24.75" thickBot="1">
      <c r="A7" s="2667"/>
      <c r="B7" s="329" t="s">
        <v>3006</v>
      </c>
      <c r="C7" s="2695" t="s">
        <v>3007</v>
      </c>
      <c r="D7" s="2696"/>
      <c r="E7" s="2697"/>
      <c r="F7" s="2698" t="s">
        <v>3011</v>
      </c>
      <c r="G7" s="2699" t="s">
        <v>3012</v>
      </c>
      <c r="H7" s="906"/>
      <c r="I7" s="906"/>
      <c r="J7" s="906"/>
      <c r="K7" s="906"/>
      <c r="L7" s="906"/>
      <c r="M7" s="906"/>
      <c r="N7" s="906"/>
      <c r="O7" s="906"/>
      <c r="P7" s="906"/>
      <c r="Q7" s="906"/>
      <c r="R7" s="906"/>
    </row>
    <row r="8" spans="1:29">
      <c r="A8" s="2667"/>
      <c r="B8" s="329" t="s">
        <v>3009</v>
      </c>
      <c r="C8" s="2695" t="s">
        <v>3010</v>
      </c>
      <c r="D8" s="2696"/>
      <c r="E8" s="2696"/>
      <c r="F8" s="2700"/>
      <c r="G8" s="2700"/>
      <c r="H8" s="906"/>
      <c r="I8" s="906"/>
      <c r="J8" s="906"/>
      <c r="K8" s="906"/>
      <c r="L8" s="906"/>
      <c r="M8" s="906"/>
      <c r="N8" s="906"/>
      <c r="O8" s="906"/>
      <c r="P8" s="906"/>
      <c r="Q8" s="906"/>
      <c r="R8" s="906"/>
    </row>
    <row r="9" spans="1:29" ht="24">
      <c r="A9" s="2667"/>
      <c r="B9" s="329" t="s">
        <v>3013</v>
      </c>
      <c r="C9" s="2693" t="s">
        <v>3014</v>
      </c>
      <c r="D9" s="2690"/>
      <c r="E9" s="2696"/>
      <c r="F9" s="2700"/>
      <c r="G9" s="2700"/>
      <c r="H9" s="906"/>
      <c r="I9" s="906"/>
      <c r="J9" s="906"/>
      <c r="K9" s="906"/>
      <c r="L9" s="906"/>
      <c r="M9" s="906"/>
      <c r="N9" s="906"/>
      <c r="O9" s="906"/>
      <c r="P9" s="906"/>
      <c r="Q9" s="906"/>
      <c r="R9" s="906"/>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6"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6"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1568.25</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44328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6748</v>
      </c>
      <c r="C5" s="2737">
        <f ca="1">ROUND(B5*10000/$B$1,0)</f>
        <v>43029</v>
      </c>
      <c r="D5" s="2737" t="e">
        <f ca="1">ROUND(B5*10000/$B$2,0)</f>
        <v>#DIV/0!</v>
      </c>
      <c r="E5" s="2914"/>
      <c r="F5" s="2915"/>
      <c r="G5" s="2915"/>
      <c r="H5" s="2916"/>
      <c r="I5" s="2916"/>
      <c r="J5" s="2916"/>
      <c r="K5" s="2916"/>
    </row>
    <row r="6" spans="1:11" ht="16.5">
      <c r="A6" s="2737" t="s">
        <v>1322</v>
      </c>
      <c r="B6" s="2737">
        <f ca="1">SUM(G14:G23)</f>
        <v>6748</v>
      </c>
      <c r="C6" s="2737">
        <f ca="1">ROUND(B6*10000/$B$1,0)</f>
        <v>43029</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1568.25</v>
      </c>
      <c r="C14" s="2743">
        <f>结果表!C118</f>
        <v>0</v>
      </c>
      <c r="D14" s="2743">
        <f ca="1">结果表!H118</f>
        <v>6748</v>
      </c>
      <c r="E14" s="2743">
        <f ca="1">ROUND(D14*10000/B14,0)</f>
        <v>43029</v>
      </c>
      <c r="F14" s="2743" t="e">
        <f ca="1">ROUND(D14*10000/C14,0)</f>
        <v>#DIV/0!</v>
      </c>
      <c r="G14" s="2743">
        <f ca="1">结果表!D122</f>
        <v>6748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34" sqref="H34"/>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188" t="str">
        <f>项目基本情况!S2</f>
        <v>北京市房地产</v>
      </c>
      <c r="B2" s="3189"/>
      <c r="C2" s="3189"/>
      <c r="D2" s="3189"/>
      <c r="E2" s="3189"/>
      <c r="F2" s="3189"/>
      <c r="G2" s="3189"/>
      <c r="H2" s="3189"/>
      <c r="I2" s="3190"/>
    </row>
    <row r="3" spans="1:12" ht="12.75">
      <c r="A3" s="3192" t="s">
        <v>1950</v>
      </c>
      <c r="B3" s="3193"/>
      <c r="C3" s="3193"/>
      <c r="D3" s="3193"/>
      <c r="E3" s="3193"/>
      <c r="F3" s="3193"/>
      <c r="G3" s="3193"/>
      <c r="H3" s="3193"/>
      <c r="I3" s="3193"/>
    </row>
    <row r="4" spans="1:12" ht="14.25">
      <c r="A4" s="1939" t="s">
        <v>1951</v>
      </c>
      <c r="B4" s="1940" t="s">
        <v>1952</v>
      </c>
      <c r="C4" s="1941" t="s">
        <v>3106</v>
      </c>
      <c r="D4" s="1941" t="s">
        <v>3107</v>
      </c>
      <c r="E4" s="3194" t="s">
        <v>1953</v>
      </c>
      <c r="F4" s="3195"/>
      <c r="G4" s="3195"/>
      <c r="H4" s="3195"/>
      <c r="I4" s="319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155">
        <v>25</v>
      </c>
      <c r="C5" s="3171"/>
      <c r="D5" s="3191"/>
      <c r="E5" s="136" t="s">
        <v>1955</v>
      </c>
      <c r="F5" s="1942"/>
      <c r="G5" s="1942"/>
      <c r="H5" s="1942"/>
      <c r="I5" s="1556"/>
    </row>
    <row r="6" spans="1:12" ht="12.75">
      <c r="A6" s="3168"/>
      <c r="B6" s="3155"/>
      <c r="C6" s="3172"/>
      <c r="D6" s="3191"/>
      <c r="E6" s="136" t="s">
        <v>1956</v>
      </c>
      <c r="F6" s="1942"/>
      <c r="G6" s="1942"/>
      <c r="H6" s="1942"/>
      <c r="I6" s="1556"/>
    </row>
    <row r="7" spans="1:12" ht="12.75">
      <c r="A7" s="3168"/>
      <c r="B7" s="3155"/>
      <c r="C7" s="3173"/>
      <c r="D7" s="3191"/>
      <c r="E7" s="136" t="s">
        <v>1957</v>
      </c>
      <c r="F7" s="1942"/>
      <c r="G7" s="1942"/>
      <c r="H7" s="1942"/>
      <c r="I7" s="1556"/>
    </row>
    <row r="8" spans="1:12" ht="12.75">
      <c r="A8" s="3168" t="s">
        <v>1958</v>
      </c>
      <c r="B8" s="3155">
        <v>15</v>
      </c>
      <c r="C8" s="3171"/>
      <c r="D8" s="3191"/>
      <c r="E8" s="136" t="s">
        <v>1959</v>
      </c>
      <c r="F8" s="1942"/>
      <c r="G8" s="1942"/>
      <c r="H8" s="1942"/>
      <c r="I8" s="1556"/>
    </row>
    <row r="9" spans="1:12" ht="12.75">
      <c r="A9" s="3168"/>
      <c r="B9" s="3155"/>
      <c r="C9" s="3173"/>
      <c r="D9" s="3191"/>
      <c r="E9" s="136" t="s">
        <v>1960</v>
      </c>
      <c r="F9" s="1942"/>
      <c r="G9" s="1942"/>
      <c r="H9" s="1942"/>
      <c r="I9" s="1556"/>
    </row>
    <row r="10" spans="1:12" ht="12.75">
      <c r="A10" s="3168" t="s">
        <v>1961</v>
      </c>
      <c r="B10" s="3155">
        <v>15</v>
      </c>
      <c r="C10" s="3171"/>
      <c r="D10" s="3191"/>
      <c r="E10" s="136" t="s">
        <v>1962</v>
      </c>
      <c r="F10" s="1942"/>
      <c r="G10" s="1942"/>
      <c r="H10" s="1942"/>
      <c r="I10" s="1556"/>
    </row>
    <row r="11" spans="1:12" ht="12.75">
      <c r="A11" s="3168"/>
      <c r="B11" s="3155"/>
      <c r="C11" s="3173"/>
      <c r="D11" s="3191"/>
      <c r="E11" s="136" t="s">
        <v>1963</v>
      </c>
      <c r="F11" s="1942"/>
      <c r="G11" s="1942"/>
      <c r="H11" s="1942"/>
      <c r="I11" s="1556"/>
    </row>
    <row r="12" spans="1:12" ht="12.75">
      <c r="A12" s="3168" t="s">
        <v>1964</v>
      </c>
      <c r="B12" s="3155">
        <v>15</v>
      </c>
      <c r="C12" s="3171"/>
      <c r="D12" s="3191"/>
      <c r="E12" s="136" t="s">
        <v>1965</v>
      </c>
      <c r="F12" s="1942"/>
      <c r="G12" s="1942"/>
      <c r="H12" s="1942"/>
      <c r="I12" s="1556"/>
    </row>
    <row r="13" spans="1:12" ht="12.75">
      <c r="A13" s="3168"/>
      <c r="B13" s="3155"/>
      <c r="C13" s="3173"/>
      <c r="D13" s="3191"/>
      <c r="E13" s="136" t="s">
        <v>1966</v>
      </c>
      <c r="F13" s="1942"/>
      <c r="G13" s="1942"/>
      <c r="H13" s="1942"/>
      <c r="I13" s="1556"/>
    </row>
    <row r="14" spans="1:12" ht="12.75">
      <c r="A14" s="3168" t="s">
        <v>1967</v>
      </c>
      <c r="B14" s="3155">
        <v>30</v>
      </c>
      <c r="C14" s="3171">
        <v>4</v>
      </c>
      <c r="D14" s="3191">
        <v>6</v>
      </c>
      <c r="E14" s="136" t="s">
        <v>1968</v>
      </c>
      <c r="F14" s="1942"/>
      <c r="G14" s="1942"/>
      <c r="H14" s="1942"/>
      <c r="I14" s="1556"/>
    </row>
    <row r="15" spans="1:12" ht="12.75">
      <c r="A15" s="3168"/>
      <c r="B15" s="3155"/>
      <c r="C15" s="3172"/>
      <c r="D15" s="3191"/>
      <c r="E15" s="136" t="s">
        <v>1969</v>
      </c>
      <c r="F15" s="1942"/>
      <c r="G15" s="1942"/>
      <c r="H15" s="1942"/>
      <c r="I15" s="1556"/>
    </row>
    <row r="16" spans="1:12" ht="12.75">
      <c r="A16" s="3168"/>
      <c r="B16" s="3155"/>
      <c r="C16" s="3173"/>
      <c r="D16" s="3191"/>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178" t="s">
        <v>2873</v>
      </c>
      <c r="F18" s="3179"/>
      <c r="G18" s="3179"/>
      <c r="H18" s="3179"/>
      <c r="I18" s="3179"/>
      <c r="K18" s="308" t="s">
        <v>1975</v>
      </c>
      <c r="L18" s="308">
        <f>IF(C1="",'数据-汇总表'!E3,SUMIF(项目类型,C1,'数据-汇总表'!E17:E26)+SUMIF(项目类型,C1,'数据-汇总表'!I17:I26))</f>
        <v>1568.25</v>
      </c>
      <c r="M18" s="308">
        <f>IF(C1="",'数据-汇总表'!E3,SUMIF(项目类型,C1,'数据-汇总表'!E17:E26))</f>
        <v>1568.25</v>
      </c>
    </row>
    <row r="19" spans="1:36" ht="15">
      <c r="A19" s="1946" t="s">
        <v>1976</v>
      </c>
      <c r="B19" s="1947" t="s">
        <v>1977</v>
      </c>
      <c r="C19" s="139">
        <f ca="1">SUMIF(INDIRECT("'"&amp;C4&amp;"'"&amp;"!A:A"),结果表!B19,INDIRECT("'"&amp;C4&amp;"'"&amp;"!B:B"))</f>
        <v>9259</v>
      </c>
      <c r="D19" s="140">
        <f ca="1">SUMIF(INDIRECT("'"&amp;D4&amp;"'"&amp;"!A:A"),结果表!B19,INDIRECT("'"&amp;D4&amp;"'"&amp;"!B:B"))</f>
        <v>5074</v>
      </c>
      <c r="E19" s="1946" t="s">
        <v>1978</v>
      </c>
      <c r="F19" s="1947" t="s">
        <v>1977</v>
      </c>
      <c r="G19" s="141">
        <f ca="1">ROUND(C19*$C$18+D19*$D$18,0)</f>
        <v>6748</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6" t="s">
        <v>1981</v>
      </c>
      <c r="C20" s="142">
        <f ca="1">SUMIF(INDIRECT("'"&amp;C4&amp;"'"&amp;"!A:A"),结果表!B20,INDIRECT("'"&amp;C4&amp;"'"&amp;"!B:B"))</f>
        <v>59040</v>
      </c>
      <c r="D20" s="143">
        <f ca="1">SUMIF(INDIRECT("'"&amp;D4&amp;"'"&amp;"!A:A"),结果表!B20,INDIRECT("'"&amp;D4&amp;"'"&amp;"!B:B"))</f>
        <v>32355</v>
      </c>
      <c r="E20" s="1949"/>
      <c r="F20" s="1156" t="s">
        <v>1981</v>
      </c>
      <c r="G20" s="144">
        <f ca="1">ROUND(C20*$C$18+D20*$D$18,0)</f>
        <v>43029</v>
      </c>
      <c r="H20" s="916" t="s">
        <v>1982</v>
      </c>
      <c r="I20" s="134"/>
    </row>
    <row r="21" spans="1:36" ht="15" customHeight="1" thickBot="1">
      <c r="A21" s="936"/>
      <c r="B21" s="1950" t="s">
        <v>1983</v>
      </c>
      <c r="C21" s="728" t="e">
        <f ca="1">ROUND(C19*10000/L19,0)</f>
        <v>#DIV/0!</v>
      </c>
      <c r="D21" s="729" t="e">
        <f ca="1">ROUND(D19*10000/L19,0)</f>
        <v>#DIV/0!</v>
      </c>
      <c r="E21" s="936"/>
      <c r="F21" s="1950" t="s">
        <v>1983</v>
      </c>
      <c r="G21" s="145" t="e">
        <f ca="1">ROUND(G19*10000/L19,0)</f>
        <v>#DIV/0!</v>
      </c>
      <c r="H21" s="1951" t="s">
        <v>1982</v>
      </c>
      <c r="I21" s="134"/>
    </row>
    <row r="22" spans="1:36" ht="15" thickBot="1">
      <c r="A22" s="1873" t="s">
        <v>1984</v>
      </c>
      <c r="B22" s="1952"/>
      <c r="C22" s="1953"/>
      <c r="D22" s="730">
        <f ca="1">IF(C19&lt;D19,D19/C19-1,C19/D19-1)</f>
        <v>0.82479306267244779</v>
      </c>
      <c r="E22" s="134"/>
      <c r="F22" s="134"/>
      <c r="G22" s="134"/>
      <c r="H22" s="134"/>
      <c r="I22" s="134"/>
    </row>
    <row r="23" spans="1:36" ht="13.5" thickBot="1">
      <c r="A23" s="1932"/>
      <c r="B23" s="1932"/>
      <c r="C23" s="1932"/>
      <c r="D23" s="1932"/>
      <c r="E23" s="134"/>
      <c r="F23" s="134"/>
      <c r="G23" s="134"/>
      <c r="H23" s="134"/>
      <c r="I23" s="134"/>
    </row>
    <row r="24" spans="1:36" ht="14.25">
      <c r="A24" s="3162" t="s">
        <v>1985</v>
      </c>
      <c r="B24" s="1947" t="s">
        <v>1977</v>
      </c>
      <c r="C24" s="141">
        <f>IF(B30=0,0,D30)</f>
        <v>0</v>
      </c>
      <c r="D24" s="1954"/>
      <c r="E24" s="134"/>
      <c r="F24" s="134"/>
      <c r="G24" s="134"/>
      <c r="H24" s="134"/>
      <c r="I24" s="134"/>
    </row>
    <row r="25" spans="1:36" ht="14.25">
      <c r="A25" s="3163"/>
      <c r="B25" s="1156"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6748</v>
      </c>
      <c r="D32" s="1960" t="s">
        <v>3108</v>
      </c>
      <c r="E32" s="134"/>
      <c r="F32" s="134"/>
      <c r="G32" s="134"/>
      <c r="H32" s="134"/>
      <c r="I32" s="134"/>
    </row>
    <row r="33" spans="1:15" ht="15">
      <c r="A33" s="893" t="s">
        <v>1992</v>
      </c>
      <c r="B33" s="1961"/>
      <c r="C33" s="1962" t="s">
        <v>3109</v>
      </c>
      <c r="D33" s="1963" t="s">
        <v>3106</v>
      </c>
      <c r="E33" s="1964" t="s">
        <v>1993</v>
      </c>
      <c r="F33" s="1965" t="str">
        <f>IF(D32="楼面单价","取值（单价）","取值（总价）")</f>
        <v>取值（总价）</v>
      </c>
      <c r="G33" s="134"/>
      <c r="H33" s="134"/>
      <c r="I33" s="134"/>
    </row>
    <row r="34" spans="1:15" ht="15">
      <c r="A34" s="1966"/>
      <c r="B34" s="1967" t="s">
        <v>1994</v>
      </c>
      <c r="C34" s="153">
        <f ca="1">IF(C33="自定义",F34,C32-C35)</f>
        <v>5716</v>
      </c>
      <c r="D34" s="969">
        <f ca="1">IF(C33="自定义",ROUND(C34/C32,3),IF(C33="收益比率",SUMIF(INDIRECT("'"&amp;D33&amp;"'"&amp;"!b:b"),"土地收益比率",INDIRECT("'"&amp;D33&amp;"'"&amp;"!c:c")),SUMIF(INDIRECT("'"&amp;D33&amp;"'"&amp;"!b:b"),"土地成本比率",INDIRECT("'"&amp;D33&amp;"'"&amp;"!c:c"))))</f>
        <v>0.84699999999999998</v>
      </c>
      <c r="E34" s="1968" t="s">
        <v>1995</v>
      </c>
      <c r="F34" s="1497"/>
      <c r="G34" s="134"/>
      <c r="H34" s="134"/>
      <c r="I34" s="134"/>
    </row>
    <row r="35" spans="1:15" ht="15.75" thickBot="1">
      <c r="A35" s="1969"/>
      <c r="B35" s="1970" t="s">
        <v>1996</v>
      </c>
      <c r="C35" s="1331">
        <f ca="1">IF(C33="自定义",F35,ROUND(C32*D35,0))</f>
        <v>1032</v>
      </c>
      <c r="D35" s="1332">
        <f ca="1">IF(C33="自定义",ROUND(C35/C32,3),IF(C33="收益比率",SUMIF(INDIRECT("'"&amp;D33&amp;"'"&amp;"!b:b"),"建筑物收益比率",INDIRECT("'"&amp;D33&amp;"'"&amp;"!c:c")),SUMIF(INDIRECT("'"&amp;D33&amp;"'"&amp;"!b:b"),"建筑物成本比率",INDIRECT("'"&amp;D33&amp;"'"&amp;"!c:c"))))</f>
        <v>0.153</v>
      </c>
      <c r="E35" s="1971" t="s">
        <v>1997</v>
      </c>
      <c r="F35" s="159"/>
      <c r="G35" s="134"/>
      <c r="H35" s="134"/>
      <c r="I35" s="134"/>
    </row>
    <row r="36" spans="1:15" ht="15.75" thickBot="1">
      <c r="A36" s="3182" t="s">
        <v>1998</v>
      </c>
      <c r="B36" s="1972" t="s">
        <v>1999</v>
      </c>
      <c r="C36" s="150"/>
      <c r="D36" s="1973"/>
      <c r="E36" s="1974"/>
      <c r="F36" s="1975"/>
      <c r="G36" s="134"/>
      <c r="H36" s="134"/>
      <c r="I36" s="134"/>
    </row>
    <row r="37" spans="1:15" ht="15.75" thickBot="1">
      <c r="A37" s="3183"/>
      <c r="B37" s="1859" t="s">
        <v>2000</v>
      </c>
      <c r="C37" s="152"/>
      <c r="D37" s="1300"/>
      <c r="E37" s="1300"/>
      <c r="F37" s="1975"/>
      <c r="G37" s="134"/>
      <c r="H37" s="134"/>
      <c r="I37" s="134"/>
    </row>
    <row r="38" spans="1:15" ht="15.75" thickBot="1">
      <c r="A38" s="3184"/>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59" t="s">
        <v>2012</v>
      </c>
      <c r="B45" s="3160"/>
      <c r="C45" s="3161"/>
      <c r="D45" s="160">
        <f ca="1">ROUND(H101*F45,0)</f>
        <v>6748</v>
      </c>
      <c r="E45" s="161" t="s">
        <v>2013</v>
      </c>
      <c r="F45" s="162">
        <v>1</v>
      </c>
      <c r="G45" s="163" t="s">
        <v>2014</v>
      </c>
      <c r="H45" s="134"/>
      <c r="I45" s="134"/>
      <c r="J45" s="3240" t="s">
        <v>2015</v>
      </c>
      <c r="K45" s="3240"/>
      <c r="L45" s="3240"/>
      <c r="M45" s="3240"/>
      <c r="N45" s="3240"/>
      <c r="O45" s="3240"/>
    </row>
    <row r="46" spans="1:15" ht="14.25" customHeight="1">
      <c r="A46" s="3156" t="s">
        <v>2016</v>
      </c>
      <c r="B46" s="3157"/>
      <c r="C46" s="3157"/>
      <c r="D46" s="3157"/>
      <c r="E46" s="3157"/>
      <c r="F46" s="3157"/>
      <c r="G46" s="3158"/>
      <c r="H46" s="1991"/>
      <c r="I46" s="164"/>
      <c r="J46" s="2748">
        <v>1</v>
      </c>
      <c r="K46" s="3221" t="s">
        <v>2017</v>
      </c>
      <c r="L46" s="3221"/>
      <c r="M46" s="3241"/>
      <c r="N46" s="3241"/>
      <c r="O46" s="3241"/>
    </row>
    <row r="47" spans="1:15" ht="12" customHeight="1">
      <c r="A47" s="165" t="s">
        <v>2018</v>
      </c>
      <c r="B47" s="166"/>
      <c r="C47" s="167"/>
      <c r="D47" s="1246" t="s">
        <v>2019</v>
      </c>
      <c r="E47" s="308" t="s">
        <v>2020</v>
      </c>
      <c r="F47" s="168" t="s">
        <v>2021</v>
      </c>
      <c r="G47" s="2771" t="s">
        <v>2022</v>
      </c>
      <c r="H47" s="2772"/>
      <c r="I47" s="164"/>
      <c r="J47" s="2748">
        <v>2</v>
      </c>
      <c r="K47" s="3221" t="s">
        <v>2023</v>
      </c>
      <c r="L47" s="3221"/>
      <c r="M47" s="3242">
        <f>'数据-取费表'!B2</f>
        <v>44328</v>
      </c>
      <c r="N47" s="3242"/>
      <c r="O47" s="3242"/>
    </row>
    <row r="48" spans="1:15" ht="25.5">
      <c r="A48" s="3187" t="s">
        <v>2024</v>
      </c>
      <c r="B48" s="3170"/>
      <c r="C48" s="3170"/>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21" t="s">
        <v>2026</v>
      </c>
      <c r="L48" s="3221"/>
      <c r="M48" s="3243">
        <f ca="1">H101</f>
        <v>6748</v>
      </c>
      <c r="N48" s="3243"/>
      <c r="O48" s="3243"/>
    </row>
    <row r="49" spans="1:35" ht="25.5" customHeight="1">
      <c r="A49" s="2555" t="s">
        <v>2027</v>
      </c>
      <c r="B49" s="3154" t="s">
        <v>2028</v>
      </c>
      <c r="C49" s="3154"/>
      <c r="D49" s="1774">
        <v>0</v>
      </c>
      <c r="E49" s="330" t="s">
        <v>2029</v>
      </c>
      <c r="F49" s="2649" t="s">
        <v>34</v>
      </c>
      <c r="G49" s="3227"/>
      <c r="H49" s="2527" t="s">
        <v>2876</v>
      </c>
      <c r="I49" s="2528"/>
      <c r="J49" s="2748">
        <v>4</v>
      </c>
      <c r="K49" s="3221" t="str">
        <f>IF(项目基本情况!E8="房地产抵押价值","房地产抵押价值","抵押担保权已注销时的房地产抵押价值")</f>
        <v>房地产抵押价值</v>
      </c>
      <c r="L49" s="3221"/>
      <c r="M49" s="3243">
        <f ca="1">IF(项目基本情况!E8="房地产抵押价值",H107,H109)</f>
        <v>6748</v>
      </c>
      <c r="N49" s="3243"/>
      <c r="O49" s="3243"/>
    </row>
    <row r="50" spans="1:35" ht="25.5" customHeight="1">
      <c r="A50" s="2776"/>
      <c r="B50" s="3154" t="s">
        <v>2030</v>
      </c>
      <c r="C50" s="3154"/>
      <c r="D50" s="2777"/>
      <c r="E50" s="338"/>
      <c r="F50" s="2649"/>
      <c r="G50" s="3228"/>
      <c r="H50" s="2529" t="s">
        <v>2877</v>
      </c>
      <c r="I50" s="2528"/>
      <c r="J50" s="3240" t="s">
        <v>2031</v>
      </c>
      <c r="K50" s="3240"/>
      <c r="L50" s="3240"/>
      <c r="M50" s="3240"/>
      <c r="N50" s="3240"/>
      <c r="O50" s="3240"/>
    </row>
    <row r="51" spans="1:35" ht="20.45" customHeight="1">
      <c r="A51" s="2778"/>
      <c r="B51" s="3154" t="s">
        <v>2032</v>
      </c>
      <c r="C51" s="3154"/>
      <c r="D51" s="1246"/>
      <c r="E51" s="333"/>
      <c r="F51" s="2649"/>
      <c r="G51" s="3229"/>
      <c r="H51" s="2529" t="s">
        <v>2878</v>
      </c>
      <c r="I51" s="2528"/>
      <c r="J51" s="2749" t="s">
        <v>2033</v>
      </c>
      <c r="K51" s="3221" t="s">
        <v>2034</v>
      </c>
      <c r="L51" s="3221"/>
      <c r="M51" s="2749" t="s">
        <v>2035</v>
      </c>
      <c r="N51" s="2749" t="s">
        <v>2036</v>
      </c>
      <c r="O51" s="2749" t="s">
        <v>2037</v>
      </c>
    </row>
    <row r="52" spans="1:35" ht="24" customHeight="1">
      <c r="A52" s="2557" t="s">
        <v>2038</v>
      </c>
      <c r="B52" s="3154" t="s">
        <v>2039</v>
      </c>
      <c r="C52" s="3154"/>
      <c r="D52" s="1246">
        <f ca="1">ROUND(D45*'数据-取费表'!B41/(1+'数据-取费表'!C42),0)</f>
        <v>360</v>
      </c>
      <c r="E52" s="2556" t="s">
        <v>2040</v>
      </c>
      <c r="F52" s="2779">
        <f>'数据-取费表'!B41</f>
        <v>5.6000000000000001E-2</v>
      </c>
      <c r="G52" s="2780"/>
      <c r="H52" s="2769"/>
      <c r="I52" s="1992"/>
      <c r="J52" s="2748">
        <v>1</v>
      </c>
      <c r="K52" s="3222" t="s">
        <v>2041</v>
      </c>
      <c r="L52" s="3222"/>
      <c r="M52" s="2750" t="b">
        <f>D48</f>
        <v>0</v>
      </c>
      <c r="N52" s="2748" t="str">
        <f>E48</f>
        <v>销售额×税（费）率</v>
      </c>
      <c r="O52" s="2751">
        <f>F48</f>
        <v>5.6000000000000001E-2</v>
      </c>
    </row>
    <row r="53" spans="1:35" ht="12" customHeight="1">
      <c r="A53" s="2557" t="s">
        <v>2042</v>
      </c>
      <c r="B53" s="3180" t="s">
        <v>3037</v>
      </c>
      <c r="C53" s="3181"/>
      <c r="D53" s="1246">
        <f ca="1">ROUND(D45*'数据-取费表'!B41/(1+'数据-取费表'!C42),0)</f>
        <v>360</v>
      </c>
      <c r="E53" s="2556" t="s">
        <v>2040</v>
      </c>
      <c r="F53" s="2779">
        <f>'数据-取费表'!B41</f>
        <v>5.6000000000000001E-2</v>
      </c>
      <c r="G53" s="2780"/>
      <c r="H53" s="2769"/>
      <c r="I53" s="1992"/>
      <c r="J53" s="2748">
        <v>2</v>
      </c>
      <c r="K53" s="3222" t="s">
        <v>2043</v>
      </c>
      <c r="L53" s="3222"/>
      <c r="M53" s="2750">
        <f t="shared" ref="M53:O54" ca="1" si="0">D55</f>
        <v>3</v>
      </c>
      <c r="N53" s="2748" t="str">
        <f t="shared" si="0"/>
        <v>销售额×税（费）率</v>
      </c>
      <c r="O53" s="2751" t="str">
        <f t="shared" si="0"/>
        <v>免征</v>
      </c>
    </row>
    <row r="54" spans="1:35" ht="12" customHeight="1">
      <c r="A54" s="2557" t="s">
        <v>2044</v>
      </c>
      <c r="B54" s="3180" t="s">
        <v>3038</v>
      </c>
      <c r="C54" s="3181"/>
      <c r="D54" s="1246">
        <f ca="1">C68</f>
        <v>360</v>
      </c>
      <c r="E54" s="333" t="s">
        <v>2045</v>
      </c>
      <c r="F54" s="2779">
        <f>'数据-取费表'!B41</f>
        <v>5.6000000000000001E-2</v>
      </c>
      <c r="G54" s="2780"/>
      <c r="H54" s="2781"/>
      <c r="I54" s="1992"/>
      <c r="J54" s="2748">
        <v>3</v>
      </c>
      <c r="K54" s="3222" t="s">
        <v>2046</v>
      </c>
      <c r="L54" s="3222"/>
      <c r="M54" s="2750">
        <f t="shared" ca="1" si="0"/>
        <v>3819</v>
      </c>
      <c r="N54" s="2748" t="str">
        <f t="shared" si="0"/>
        <v>增值额×税（费）率</v>
      </c>
      <c r="O54" s="2752" t="str">
        <f t="shared" si="0"/>
        <v>免征</v>
      </c>
    </row>
    <row r="55" spans="1:35" ht="24" customHeight="1">
      <c r="A55" s="3169" t="s">
        <v>2047</v>
      </c>
      <c r="B55" s="3170"/>
      <c r="C55" s="3170"/>
      <c r="D55" s="2546">
        <f ca="1">IF(H55="个人住宅",0,ROUND(D45*I55,0))</f>
        <v>3</v>
      </c>
      <c r="E55" s="2556" t="s">
        <v>2048</v>
      </c>
      <c r="F55" s="2779" t="str">
        <f>IF(H55="正常",I55,"免征")</f>
        <v>免征</v>
      </c>
      <c r="G55" s="2780"/>
      <c r="H55" s="2775"/>
      <c r="I55" s="170">
        <f>'数据-取费表'!B49</f>
        <v>5.0000000000000001E-4</v>
      </c>
      <c r="J55" s="2748">
        <f>IF(H59="非个人房产","",4)</f>
        <v>4</v>
      </c>
      <c r="K55" s="3222" t="str">
        <f>IF(H59="非个人房产","——","个人所得税")</f>
        <v>个人所得税</v>
      </c>
      <c r="L55" s="3222"/>
      <c r="M55" s="2753">
        <f ca="1">D59</f>
        <v>64</v>
      </c>
      <c r="N55" s="2227" t="str">
        <f>E59</f>
        <v>差额计税</v>
      </c>
      <c r="O55" s="2754">
        <f>F59</f>
        <v>0.01</v>
      </c>
    </row>
    <row r="56" spans="1:35" ht="24.75">
      <c r="A56" s="3169" t="s">
        <v>2049</v>
      </c>
      <c r="B56" s="3170"/>
      <c r="C56" s="3170"/>
      <c r="D56" s="2546">
        <f ca="1">IF(H56="个人住宅",D57,D58)</f>
        <v>3819</v>
      </c>
      <c r="E56" s="2556" t="s">
        <v>2050</v>
      </c>
      <c r="F56" s="2779" t="str">
        <f>IF(H56="正常",F58,"免征")</f>
        <v>免征</v>
      </c>
      <c r="G56" s="2782" t="s">
        <v>2051</v>
      </c>
      <c r="H56" s="2783"/>
      <c r="I56" s="1993"/>
      <c r="J56" s="2748" t="str">
        <f>IF(项目基本情况!K6="上海银行",IF(J55="",4,J55+1),"")</f>
        <v/>
      </c>
      <c r="K56" s="3245" t="str">
        <f>IF(项目基本情况!K6="上海银行","其他处置费用","")</f>
        <v/>
      </c>
      <c r="L56" s="3246"/>
      <c r="M56" s="2750" t="str">
        <f>IF(项目基本情况!K6="上海银行",M69,"")</f>
        <v/>
      </c>
      <c r="N56" s="3245" t="str">
        <f>IF(项目基本情况!K6="上海银行","包含处置中涉及的律师、诉讼、拍卖、评估等费用","")</f>
        <v/>
      </c>
      <c r="O56" s="3248"/>
    </row>
    <row r="57" spans="1:35" ht="12.75">
      <c r="A57" s="2557" t="s">
        <v>2027</v>
      </c>
      <c r="B57" s="3180" t="s">
        <v>2052</v>
      </c>
      <c r="C57" s="3181"/>
      <c r="D57" s="1774">
        <v>0</v>
      </c>
      <c r="E57" s="330" t="s">
        <v>2029</v>
      </c>
      <c r="F57" s="308"/>
      <c r="G57" s="2780"/>
      <c r="H57" s="2784"/>
      <c r="I57" s="1993"/>
      <c r="J57" s="3222">
        <f>IF(AND(J55="",J56=""),4,IF(项目基本情况!K6="上海银行",结果表!J56+1,结果表!J55+1))</f>
        <v>5</v>
      </c>
      <c r="K57" s="3222" t="s">
        <v>2053</v>
      </c>
      <c r="L57" s="2755" t="s">
        <v>2054</v>
      </c>
      <c r="M57" s="2756"/>
      <c r="N57" s="2757">
        <f ca="1">SUMIF(M52:M56,"&lt;9e307")</f>
        <v>3886</v>
      </c>
      <c r="O57" s="2758"/>
      <c r="P57" s="2918">
        <f ca="1">N57/M49</f>
        <v>0.57587433313574388</v>
      </c>
    </row>
    <row r="58" spans="1:35" ht="24.75">
      <c r="A58" s="2557" t="s">
        <v>2038</v>
      </c>
      <c r="B58" s="3180" t="s">
        <v>2055</v>
      </c>
      <c r="C58" s="3154"/>
      <c r="D58" s="2546">
        <f ca="1">IF(H58="转让取得",C81,C97)</f>
        <v>3819</v>
      </c>
      <c r="E58" s="2556" t="s">
        <v>2050</v>
      </c>
      <c r="F58" s="308" t="s">
        <v>34</v>
      </c>
      <c r="G58" s="2780"/>
      <c r="H58" s="2783"/>
      <c r="I58" s="1993"/>
      <c r="J58" s="3222"/>
      <c r="K58" s="3222"/>
      <c r="L58" s="2755" t="s">
        <v>2056</v>
      </c>
      <c r="M58" s="2759"/>
      <c r="N58" s="2760" t="str">
        <f ca="1">NUMBERSTRING(INT(N57*10000),2)&amp;"元整"</f>
        <v>叁仟捌佰捌拾陆万元整</v>
      </c>
      <c r="O58" s="2761"/>
    </row>
    <row r="59" spans="1:35" ht="24.75" thickBot="1">
      <c r="A59" s="3225" t="s">
        <v>2057</v>
      </c>
      <c r="B59" s="3226"/>
      <c r="C59" s="3226"/>
      <c r="D59" s="2785">
        <f ca="1">IF(H59="非个人房产","——",IF(H59="个人住宅（满五唯一有凭证）",0,IF(H59="个人其他（无凭证）",ROUND(D45*F59,0),ROUND(C67*F59,0))))</f>
        <v>64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23">
        <f>J57+1</f>
        <v>6</v>
      </c>
      <c r="K59" s="3222" t="s">
        <v>2058</v>
      </c>
      <c r="L59" s="2748" t="s">
        <v>2054</v>
      </c>
      <c r="M59" s="2762"/>
      <c r="N59" s="2763">
        <f ca="1">M49-N57</f>
        <v>2862</v>
      </c>
      <c r="O59" s="2764"/>
    </row>
    <row r="60" spans="1:35" ht="12" customHeight="1">
      <c r="A60" s="1994"/>
      <c r="B60" s="1932"/>
      <c r="C60" s="1932"/>
      <c r="D60" s="1932"/>
      <c r="E60" s="1762"/>
      <c r="F60" s="1993"/>
      <c r="G60" s="1993"/>
      <c r="H60" s="1995"/>
      <c r="I60" s="134"/>
      <c r="J60" s="3224"/>
      <c r="K60" s="3222"/>
      <c r="L60" s="2755" t="s">
        <v>2056</v>
      </c>
      <c r="M60" s="2759"/>
      <c r="N60" s="2760" t="str">
        <f ca="1">NUMBERSTRING(INT(N59*10000),2)&amp;"元整"</f>
        <v>贰仟捌佰陆拾贰万元整</v>
      </c>
      <c r="O60" s="2761"/>
    </row>
    <row r="61" spans="1:35" ht="13.5" thickBot="1">
      <c r="A61" s="3167" t="s">
        <v>2059</v>
      </c>
      <c r="B61" s="3167"/>
      <c r="C61" s="3167"/>
      <c r="D61" s="3167"/>
      <c r="E61" s="3167"/>
      <c r="F61" s="1993"/>
      <c r="G61" s="1993"/>
      <c r="H61" s="1995"/>
      <c r="I61" s="134"/>
      <c r="J61" s="2748">
        <f>J59+1</f>
        <v>7</v>
      </c>
      <c r="K61" s="3222" t="s">
        <v>2060</v>
      </c>
      <c r="L61" s="3222"/>
      <c r="M61" s="2765"/>
      <c r="N61" s="2766">
        <f ca="1">ROUND(N59*10000/'数据-汇总表'!E3,0)</f>
        <v>18250</v>
      </c>
      <c r="O61" s="2767"/>
    </row>
    <row r="62" spans="1:35" ht="12.75">
      <c r="A62" s="3185" t="s">
        <v>2061</v>
      </c>
      <c r="B62" s="3186"/>
      <c r="C62" s="2208"/>
      <c r="D62" s="2208" t="s">
        <v>2062</v>
      </c>
      <c r="E62" s="171" t="s">
        <v>2063</v>
      </c>
      <c r="F62" s="1993"/>
      <c r="G62" s="1993"/>
      <c r="H62" s="1995"/>
      <c r="I62" s="134"/>
    </row>
    <row r="63" spans="1:35" ht="12.75">
      <c r="A63" s="178" t="s">
        <v>775</v>
      </c>
      <c r="B63" s="172" t="s">
        <v>2064</v>
      </c>
      <c r="C63" s="2789">
        <f ca="1">ROUND((C64+C65)/(1+'数据-取费表'!C42),0)</f>
        <v>6427</v>
      </c>
      <c r="D63" s="172"/>
      <c r="E63" s="173"/>
      <c r="F63" s="1993"/>
      <c r="G63" s="1993"/>
      <c r="H63" s="1995"/>
      <c r="I63" s="134"/>
      <c r="J63" s="3247" t="s">
        <v>2065</v>
      </c>
      <c r="K63" s="1500" t="s">
        <v>2066</v>
      </c>
      <c r="L63" s="1500">
        <f ca="1">IF(M49&gt;10000,M49*0.5%,IF(AND(M49&gt;1000,M49&lt;=10000),M49*1%,IF(AND(M49&gt;100,M49&lt;=1000),M49*3%,IF(AND(M49&gt;10,M49&lt;=100),M49*5%,M49*8%))))</f>
        <v>67.48</v>
      </c>
      <c r="M63" s="308">
        <f ca="1">ROUND(L63,1)</f>
        <v>67.5</v>
      </c>
      <c r="N63" s="2768"/>
      <c r="Z63" s="1937"/>
      <c r="AI63" s="1938"/>
    </row>
    <row r="64" spans="1:35" ht="14.25" customHeight="1">
      <c r="A64" s="174" t="s">
        <v>770</v>
      </c>
      <c r="B64" s="175" t="s">
        <v>2067</v>
      </c>
      <c r="C64" s="2790">
        <f ca="1">D45</f>
        <v>6748</v>
      </c>
      <c r="D64" s="175" t="s">
        <v>32</v>
      </c>
      <c r="E64" s="177"/>
      <c r="F64" s="1993"/>
      <c r="G64" s="1993"/>
      <c r="H64" s="1995"/>
      <c r="I64" s="134"/>
      <c r="J64" s="3247"/>
      <c r="K64" s="1500" t="s">
        <v>2068</v>
      </c>
      <c r="L64" s="1500">
        <f ca="1">IF(M49&gt;2000,M49*0.5%,IF(AND(M49&gt;1000,M49&lt;=2000),M49*0.6%,IF(AND(M49&gt;500,M49&lt;=1000),M49*0.7%,IF(AND(M49&gt;200,M49&lt;=500),M49*0.8%,IF(AND(M49&gt;100,M49&lt;=200),M49*0.9%,IF(AND(M49&gt;50,M49&lt;=100),M49*1%,IF(AND(M49&gt;20,M49&lt;=50),M49*1.5%,IF(AND(M49&gt;10,M49&lt;=20),M49*2%,IF(AND(M49&gt;1,M49&lt;=10),M49*2.5%)))))))))</f>
        <v>33.74</v>
      </c>
      <c r="M64" s="308">
        <f t="shared" ref="M64:M65" ca="1" si="1">ROUND(L64,1)</f>
        <v>33.700000000000003</v>
      </c>
      <c r="N64" s="2769" t="s">
        <v>2069</v>
      </c>
      <c r="Z64" s="1937"/>
      <c r="AI64" s="1938"/>
    </row>
    <row r="65" spans="1:35" ht="14.25" customHeight="1">
      <c r="A65" s="174" t="s">
        <v>771</v>
      </c>
      <c r="B65" s="175" t="s">
        <v>2070</v>
      </c>
      <c r="C65" s="2791"/>
      <c r="D65" s="175"/>
      <c r="E65" s="177"/>
      <c r="F65" s="1993"/>
      <c r="G65" s="1993"/>
      <c r="H65" s="1995"/>
      <c r="I65" s="134"/>
      <c r="J65" s="3247"/>
      <c r="K65" s="1500" t="s">
        <v>2071</v>
      </c>
      <c r="L65" s="1500">
        <f ca="1">IF(M49&gt;1000,M49*0.1%,IF(AND(M49&gt;500,M49&lt;=1000),M49*0.5%,IF(AND(M49&gt;50,M49&lt;=500),M49*1%,IF(AND(M49&gt;1,M49&lt;=50),M49*1.5%))))</f>
        <v>6.7480000000000002</v>
      </c>
      <c r="M65" s="308">
        <f t="shared" ca="1" si="1"/>
        <v>6.7</v>
      </c>
      <c r="N65" s="2769" t="s">
        <v>2069</v>
      </c>
      <c r="Z65" s="1937"/>
      <c r="AI65" s="1938"/>
    </row>
    <row r="66" spans="1:35" ht="14.25" customHeight="1">
      <c r="A66" s="178" t="s">
        <v>772</v>
      </c>
      <c r="B66" s="179" t="s">
        <v>2072</v>
      </c>
      <c r="C66" s="2792"/>
      <c r="D66" s="179" t="s">
        <v>32</v>
      </c>
      <c r="E66" s="1508" t="s">
        <v>1337</v>
      </c>
      <c r="F66" s="1993"/>
      <c r="G66" s="1993"/>
      <c r="H66" s="1995"/>
      <c r="I66" s="134"/>
      <c r="J66" s="3247"/>
      <c r="K66" s="1500" t="s">
        <v>2073</v>
      </c>
      <c r="L66" s="1500">
        <f ca="1">M49*0.5%</f>
        <v>33.74</v>
      </c>
      <c r="M66" s="308">
        <f ca="1">IF(L66&gt;0.5,0.5,ROUND(L66,0))</f>
        <v>0.5</v>
      </c>
      <c r="N66" s="2769" t="s">
        <v>2074</v>
      </c>
      <c r="Z66" s="1937"/>
      <c r="AI66" s="1938"/>
    </row>
    <row r="67" spans="1:35" ht="14.25" customHeight="1">
      <c r="A67" s="178" t="s">
        <v>773</v>
      </c>
      <c r="B67" s="179" t="s">
        <v>2075</v>
      </c>
      <c r="C67" s="2793">
        <f ca="1">C63-C66</f>
        <v>6427</v>
      </c>
      <c r="D67" s="175" t="s">
        <v>32</v>
      </c>
      <c r="E67" s="177"/>
      <c r="F67" s="1993"/>
      <c r="G67" s="1993"/>
      <c r="H67" s="1995"/>
      <c r="I67" s="134"/>
      <c r="J67" s="3247"/>
      <c r="K67" s="1500" t="s">
        <v>2076</v>
      </c>
      <c r="L67" s="1500">
        <f ca="1">IF(M49&gt;=10000,(8.25+(M49-10000)*0.01%),IF(AND(M49&gt;=8000,M49&lt;10000),(7.85+(M49-8000)*0.02%),IF(AND(M49&gt;=5000,M49&lt;8000),(6.65+(M49-5000)*0.04%),IF(AND(M49&gt;=2000,M49&lt;5000),(4.25+(PM49-2000)*0.08%),IF(AND(M49&gt;=1000,M49&lt;2000),(2.75+(M49-1000)*0.15%),IF(AND(M49&gt;=100,M49&lt;1000),(0.5+(M49-100)*0.25%),IF(AND(M49&gt;0,M49&lt;100),M49*0.5%)))))))</f>
        <v>7.3492000000000006</v>
      </c>
      <c r="M67" s="308">
        <f ca="1">ROUND(L67*0.9,1)</f>
        <v>6.6</v>
      </c>
      <c r="N67" s="2768"/>
      <c r="Z67" s="1937"/>
      <c r="AI67" s="1938"/>
    </row>
    <row r="68" spans="1:35" ht="14.25" customHeight="1" thickBot="1">
      <c r="A68" s="181" t="s">
        <v>774</v>
      </c>
      <c r="B68" s="182" t="s">
        <v>2077</v>
      </c>
      <c r="C68" s="2794">
        <f ca="1">IF(C67&lt;=0,0,ROUND(C67*D68,0))</f>
        <v>360</v>
      </c>
      <c r="D68" s="2795">
        <f>'数据-取费表'!B41</f>
        <v>5.6000000000000001E-2</v>
      </c>
      <c r="E68" s="184"/>
      <c r="F68" s="1993"/>
      <c r="G68" s="1993"/>
      <c r="H68" s="1995"/>
      <c r="I68" s="134"/>
      <c r="J68" s="3247"/>
      <c r="K68" s="1500" t="s">
        <v>2078</v>
      </c>
      <c r="L68" s="1500">
        <f ca="1">IF(M49&gt;10000,M49*0.5%,IF(AND(M49&gt;5000,M49&lt;=10000),M49*1%,IF(AND(M49&gt;1000,M49&lt;=5000),M49*2%,IF(AND(M49&gt;200,M49&lt;=1000),M49*3%,M49*5%))))</f>
        <v>67.48</v>
      </c>
      <c r="M68" s="308">
        <f ca="1">ROUND(L68,1)</f>
        <v>67.5</v>
      </c>
      <c r="N68" s="2768"/>
      <c r="Z68" s="1937"/>
      <c r="AI68" s="1938"/>
    </row>
    <row r="69" spans="1:35" s="1957" customFormat="1" ht="16.5" customHeight="1">
      <c r="A69" s="1996"/>
      <c r="B69" s="1997"/>
      <c r="C69" s="1998"/>
      <c r="D69" s="1999"/>
      <c r="E69" s="2000"/>
      <c r="F69" s="1762"/>
      <c r="G69" s="1762"/>
      <c r="H69" s="1761"/>
      <c r="I69" s="1932"/>
      <c r="J69" s="3247"/>
      <c r="K69" s="1500" t="s">
        <v>2079</v>
      </c>
      <c r="L69" s="1500"/>
      <c r="M69" s="308">
        <f ca="1">ROUND(SUM(M63:M68),0)</f>
        <v>183</v>
      </c>
      <c r="N69" s="2770">
        <f ca="1">M69/M49</f>
        <v>2.7119146413752224E-2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06" t="s">
        <v>2080</v>
      </c>
      <c r="B70" s="3207"/>
      <c r="C70" s="3207"/>
      <c r="D70" s="3207"/>
      <c r="E70" s="3207"/>
      <c r="F70" s="3207"/>
      <c r="G70" s="3207"/>
      <c r="H70" s="3207"/>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85" t="s">
        <v>2061</v>
      </c>
      <c r="B71" s="3186"/>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6427</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39</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180" t="s">
        <v>2088</v>
      </c>
      <c r="F76" s="3154"/>
      <c r="G76" s="3154"/>
      <c r="H76" s="320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39</v>
      </c>
      <c r="D78" s="2802">
        <f>'数据-取费表'!B43</f>
        <v>6.000000000000001E-3</v>
      </c>
      <c r="E78" s="3164" t="s">
        <v>2092</v>
      </c>
      <c r="F78" s="3165"/>
      <c r="G78" s="3165"/>
      <c r="H78" s="317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6388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163.7948717948718</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3819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6" t="s">
        <v>2096</v>
      </c>
      <c r="B83" s="3207"/>
      <c r="C83" s="3207"/>
      <c r="D83" s="3207"/>
      <c r="E83" s="3207"/>
      <c r="F83" s="3207"/>
      <c r="G83" s="3207"/>
      <c r="H83" s="320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85" t="s">
        <v>2061</v>
      </c>
      <c r="B84" s="3186"/>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6427</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39</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49" t="s">
        <v>2871</v>
      </c>
      <c r="H90" s="3250"/>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164" t="s">
        <v>2105</v>
      </c>
      <c r="F91" s="3165"/>
      <c r="G91" s="316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164" t="s">
        <v>2108</v>
      </c>
      <c r="F92" s="3165"/>
      <c r="G92" s="3165"/>
      <c r="H92" s="3174"/>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39</v>
      </c>
      <c r="D93" s="2802">
        <f>'数据-取费表'!B43</f>
        <v>6.000000000000001E-3</v>
      </c>
      <c r="E93" s="3164" t="s">
        <v>2092</v>
      </c>
      <c r="F93" s="3165"/>
      <c r="G93" s="3165"/>
      <c r="H93" s="317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175" t="s">
        <v>2112</v>
      </c>
      <c r="F94" s="3176"/>
      <c r="G94" s="3176"/>
      <c r="H94" s="317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6388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163.7948717948718</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3819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48" t="s">
        <v>2114</v>
      </c>
      <c r="B100" s="3149"/>
      <c r="C100" s="3149"/>
      <c r="D100" s="3166"/>
      <c r="E100" s="3149" t="s">
        <v>2115</v>
      </c>
      <c r="F100" s="3149"/>
      <c r="G100" s="3149"/>
      <c r="H100" s="3166"/>
      <c r="I100" s="134"/>
    </row>
    <row r="101" spans="1:35" ht="18.75" customHeight="1">
      <c r="A101" s="3230" t="s">
        <v>2116</v>
      </c>
      <c r="B101" s="3231"/>
      <c r="C101" s="2810" t="str">
        <f>C4</f>
        <v>成本法</v>
      </c>
      <c r="D101" s="2811" t="str">
        <f>D4</f>
        <v>收益法</v>
      </c>
      <c r="E101" s="3244" t="s">
        <v>2117</v>
      </c>
      <c r="F101" s="3198"/>
      <c r="G101" s="2012" t="s">
        <v>2118</v>
      </c>
      <c r="H101" s="2820">
        <f ca="1">H118</f>
        <v>6748</v>
      </c>
      <c r="I101" s="134"/>
    </row>
    <row r="102" spans="1:35" ht="18.75" customHeight="1">
      <c r="A102" s="3200" t="s">
        <v>2119</v>
      </c>
      <c r="B102" s="2809" t="s">
        <v>2118</v>
      </c>
      <c r="C102" s="2810">
        <f ca="1">C19</f>
        <v>9259</v>
      </c>
      <c r="D102" s="2811">
        <f ca="1">D19</f>
        <v>5074</v>
      </c>
      <c r="E102" s="3244"/>
      <c r="F102" s="3198"/>
      <c r="G102" s="2012" t="s">
        <v>2120</v>
      </c>
      <c r="H102" s="2780">
        <f ca="1">I118</f>
        <v>43029</v>
      </c>
      <c r="I102" s="134"/>
    </row>
    <row r="103" spans="1:35" ht="42.75" customHeight="1">
      <c r="A103" s="3200"/>
      <c r="B103" s="2809" t="s">
        <v>2120</v>
      </c>
      <c r="C103" s="2812">
        <f ca="1">C20</f>
        <v>59040</v>
      </c>
      <c r="D103" s="2813">
        <f ca="1">D20</f>
        <v>32355</v>
      </c>
      <c r="E103" s="3238" t="s">
        <v>2121</v>
      </c>
      <c r="F103" s="3239"/>
      <c r="G103" s="2013" t="s">
        <v>2122</v>
      </c>
      <c r="H103" s="2820">
        <f>IF(D36="正常操作",H104+H105+H106,H105+H106)</f>
        <v>0</v>
      </c>
      <c r="I103" s="134"/>
    </row>
    <row r="104" spans="1:35" ht="18.75" customHeight="1">
      <c r="A104" s="3200" t="s">
        <v>2123</v>
      </c>
      <c r="B104" s="2814" t="s">
        <v>2118</v>
      </c>
      <c r="C104" s="2815">
        <f ca="1">H118</f>
        <v>6748</v>
      </c>
      <c r="D104" s="2816"/>
      <c r="E104" s="1859" t="s">
        <v>2124</v>
      </c>
      <c r="F104" s="1850"/>
      <c r="G104" s="2013" t="s">
        <v>2122</v>
      </c>
      <c r="H104" s="2821">
        <f>IF(D36="同一抵押权人同一抵押物续贷",C36&amp;"（续贷，未扣减，详见特别提示）",C36)</f>
        <v>0</v>
      </c>
      <c r="I104" s="134"/>
    </row>
    <row r="105" spans="1:35" ht="18.75" customHeight="1" thickBot="1">
      <c r="A105" s="3201"/>
      <c r="B105" s="2817" t="s">
        <v>2120</v>
      </c>
      <c r="C105" s="2818">
        <f ca="1">I118</f>
        <v>43029</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197" t="str">
        <f>IF(项目基本情况!E8="已注销","——","3.房地产抵押价值")</f>
        <v>3.房地产抵押价值</v>
      </c>
      <c r="F107" s="3198"/>
      <c r="G107" s="2012" t="s">
        <v>2118</v>
      </c>
      <c r="H107" s="2820">
        <f ca="1">IF(E107="——","——",H101-H103)</f>
        <v>6748</v>
      </c>
      <c r="I107" s="134"/>
    </row>
    <row r="108" spans="1:35" ht="18.75" customHeight="1">
      <c r="A108" s="134"/>
      <c r="B108" s="134"/>
      <c r="C108" s="134"/>
      <c r="D108" s="134"/>
      <c r="E108" s="3197"/>
      <c r="F108" s="3198"/>
      <c r="G108" s="2012" t="s">
        <v>2120</v>
      </c>
      <c r="H108" s="2780">
        <f ca="1">ROUND(H107*10000/'数据-汇总表'!E3,0)</f>
        <v>43029</v>
      </c>
      <c r="I108" s="134"/>
    </row>
    <row r="109" spans="1:35" ht="18.75" customHeight="1">
      <c r="A109" s="134"/>
      <c r="B109" s="134"/>
      <c r="C109" s="134"/>
      <c r="D109" s="134"/>
      <c r="E109" s="3197" t="str">
        <f>IF(项目基本情况!E8="已注销及未注销","4.抵押担保权已注销时的房地产抵押价值",IF(项目基本情况!E8="已注销","3.抵押担保权已注销时的房地产抵押价值","——"))</f>
        <v>——</v>
      </c>
      <c r="F109" s="3198"/>
      <c r="G109" s="2012" t="s">
        <v>2118</v>
      </c>
      <c r="H109" s="2823" t="str">
        <f>IF(E109="——","——",H101-H105-H106)</f>
        <v>——</v>
      </c>
      <c r="I109" s="134"/>
    </row>
    <row r="110" spans="1:35" ht="18.75" customHeight="1">
      <c r="A110" s="134"/>
      <c r="B110" s="134"/>
      <c r="C110" s="134"/>
      <c r="D110" s="134"/>
      <c r="E110" s="3197"/>
      <c r="F110" s="3198"/>
      <c r="G110" s="2012" t="s">
        <v>2120</v>
      </c>
      <c r="H110" s="2780"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v>
      </c>
      <c r="F111" s="3199"/>
      <c r="G111" s="2012" t="s">
        <v>2118</v>
      </c>
      <c r="H111" s="2820" t="str">
        <f>IF(E111="——","——",N59)</f>
        <v>——</v>
      </c>
      <c r="I111" s="134"/>
    </row>
    <row r="112" spans="1:35" ht="18.75" customHeight="1" thickBot="1">
      <c r="A112" s="134"/>
      <c r="B112" s="134"/>
      <c r="C112" s="134"/>
      <c r="D112" s="134"/>
      <c r="E112" s="3233"/>
      <c r="F112" s="3234"/>
      <c r="G112" s="2015" t="s">
        <v>2120</v>
      </c>
      <c r="H112" s="2824" t="str">
        <f>IF(E111="——","——",N61)</f>
        <v>——</v>
      </c>
      <c r="I112" s="134"/>
    </row>
    <row r="113" spans="1:27" ht="18.75" customHeight="1">
      <c r="A113" s="134"/>
      <c r="B113" s="134"/>
      <c r="C113" s="134"/>
      <c r="D113" s="134"/>
      <c r="E113" s="3202" t="s">
        <v>2126</v>
      </c>
      <c r="F113" s="3202"/>
      <c r="G113" s="3202"/>
      <c r="H113" s="3202"/>
      <c r="I113" s="134"/>
    </row>
    <row r="114" spans="1:27" ht="3.75" customHeight="1">
      <c r="A114" s="1932"/>
      <c r="B114" s="1932"/>
      <c r="C114" s="1932"/>
      <c r="D114" s="1932"/>
      <c r="E114" s="1994"/>
      <c r="F114" s="1994"/>
      <c r="G114" s="1994"/>
      <c r="H114" s="1994"/>
      <c r="I114" s="1932"/>
    </row>
    <row r="115" spans="1:27" ht="18.75" customHeight="1">
      <c r="A115" s="3215" t="s">
        <v>2128</v>
      </c>
      <c r="B115" s="3216"/>
      <c r="C115" s="3216"/>
      <c r="D115" s="3216"/>
      <c r="E115" s="3216"/>
      <c r="F115" s="3216"/>
      <c r="G115" s="3216"/>
      <c r="H115" s="3216"/>
      <c r="I115" s="3217"/>
    </row>
    <row r="116" spans="1:27" ht="27" customHeight="1">
      <c r="A116" s="3168" t="s">
        <v>2129</v>
      </c>
      <c r="B116" s="3203" t="s">
        <v>2130</v>
      </c>
      <c r="C116" s="3203" t="s">
        <v>2131</v>
      </c>
      <c r="D116" s="3219" t="s">
        <v>2132</v>
      </c>
      <c r="E116" s="3220"/>
      <c r="F116" s="3211" t="s">
        <v>2133</v>
      </c>
      <c r="G116" s="3211"/>
      <c r="H116" s="3168" t="s">
        <v>2134</v>
      </c>
      <c r="I116" s="3168"/>
    </row>
    <row r="117" spans="1:27" ht="18.75" customHeight="1">
      <c r="A117" s="3168"/>
      <c r="B117" s="3204"/>
      <c r="C117" s="3204"/>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1568.25</v>
      </c>
      <c r="C118" s="2551">
        <f>M19</f>
        <v>0</v>
      </c>
      <c r="D118" s="2551">
        <f ca="1">ROUND(IF(D32="总价",C34,E118*B118/10000),0)</f>
        <v>5716</v>
      </c>
      <c r="E118" s="2551">
        <f ca="1">ROUND(IF(C33="自定义",IF(D32="楼面单价",C34,D118*10000/B118),I118-G118),0)</f>
        <v>36448</v>
      </c>
      <c r="F118" s="2551">
        <f ca="1">ROUND(IF(D32="总价",C35,G118*B118/10000),0)</f>
        <v>1032</v>
      </c>
      <c r="G118" s="2551">
        <f ca="1">ROUND(IF(D32="楼面单价",C35,F118*10000/B118),0)</f>
        <v>6581</v>
      </c>
      <c r="H118" s="2551">
        <f ca="1">ROUND(IF(D32="总价",C32,I118*B118/10000),0)</f>
        <v>6748</v>
      </c>
      <c r="I118" s="2551">
        <f ca="1">ROUND(IF(D32="楼面单价",C32,H118*10000/B118),0)</f>
        <v>43029</v>
      </c>
    </row>
    <row r="119" spans="1:27" ht="18.75" customHeight="1">
      <c r="A119" s="3168" t="s">
        <v>2138</v>
      </c>
      <c r="B119" s="3168"/>
      <c r="C119" s="3168"/>
      <c r="D119" s="3208" t="str">
        <f ca="1">NUMBERSTRING(INT(D118*10000),2)&amp;"元整"</f>
        <v>伍仟柒佰壹拾陆万元整</v>
      </c>
      <c r="E119" s="3210"/>
      <c r="F119" s="3208" t="str">
        <f ca="1">NUMBERSTRING(INT(F118*10000),2)&amp;"元整"</f>
        <v>壹仟零叁拾贰万元整</v>
      </c>
      <c r="G119" s="3210"/>
      <c r="H119" s="3208" t="str">
        <f ca="1">NUMBERSTRING(INT(H118*10000),2)&amp;"元整"</f>
        <v>陆仟柒佰肆拾捌万元整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2" t="s">
        <v>2138</v>
      </c>
      <c r="B121" s="3213"/>
      <c r="C121" s="3214"/>
      <c r="D121" s="3208" t="str">
        <f>IF(D120=0,"零元整",NUMBERSTRING(INT(D120*10000),2)&amp;"元整")</f>
        <v>零元整</v>
      </c>
      <c r="E121" s="3209"/>
      <c r="F121" s="3209"/>
      <c r="G121" s="3209"/>
      <c r="H121" s="3209"/>
      <c r="I121" s="3210"/>
      <c r="AA121" s="734"/>
    </row>
    <row r="122" spans="1:27" ht="18.75" customHeight="1">
      <c r="A122" s="3199" t="str">
        <f>IF(项目基本情况!B9="房地产市场价值","",MID(E107,3,LEN(E107)-2))</f>
        <v>房地产抵押价值</v>
      </c>
      <c r="B122" s="3199"/>
      <c r="C122" s="3199"/>
      <c r="D122" s="3235">
        <f ca="1">H107</f>
        <v>6748</v>
      </c>
      <c r="E122" s="3236"/>
      <c r="F122" s="3236"/>
      <c r="G122" s="3236"/>
      <c r="H122" s="3236"/>
      <c r="I122" s="3237"/>
      <c r="AA122" s="734"/>
    </row>
    <row r="123" spans="1:27" ht="18.75" customHeight="1">
      <c r="A123" s="3168" t="s">
        <v>2138</v>
      </c>
      <c r="B123" s="3168"/>
      <c r="C123" s="3168"/>
      <c r="D123" s="3208" t="str">
        <f ca="1">NUMBERSTRING(INT(D122*10000),2)&amp;"元整"</f>
        <v>陆仟柒佰肆拾捌万元整</v>
      </c>
      <c r="E123" s="3209"/>
      <c r="F123" s="3209"/>
      <c r="G123" s="3209"/>
      <c r="H123" s="3209"/>
      <c r="I123" s="3210"/>
      <c r="AA123" s="734"/>
    </row>
    <row r="124" spans="1:27" ht="18.75" customHeight="1">
      <c r="A124" s="3199" t="str">
        <f>IF(项目基本情况!B9="房地产市场价值","",MID(E109,3,LEN(E109)-2))</f>
        <v/>
      </c>
      <c r="B124" s="3199"/>
      <c r="C124" s="3199"/>
      <c r="D124" s="3235" t="str">
        <f>H109</f>
        <v>——</v>
      </c>
      <c r="E124" s="3236"/>
      <c r="F124" s="3236"/>
      <c r="G124" s="3236"/>
      <c r="H124" s="3236"/>
      <c r="I124" s="3237"/>
      <c r="AA124" s="734"/>
    </row>
    <row r="125" spans="1:27" ht="18.75" customHeight="1">
      <c r="A125" s="3168" t="s">
        <v>2138</v>
      </c>
      <c r="B125" s="3168"/>
      <c r="C125" s="3168"/>
      <c r="D125" s="3208" t="e">
        <f>NUMBERSTRING(INT(D124*10000),2)&amp;"元整"</f>
        <v>#VALUE!</v>
      </c>
      <c r="E125" s="3209"/>
      <c r="F125" s="3209"/>
      <c r="G125" s="3209"/>
      <c r="H125" s="3209"/>
      <c r="I125" s="3210"/>
      <c r="AA125" s="734"/>
    </row>
    <row r="126" spans="1:27" ht="18.75" customHeight="1">
      <c r="A126" s="3199" t="str">
        <f>IF(项目基本情况!B9="房地产市场价值","",MID(E111,3,LEN(E111)-2))</f>
        <v/>
      </c>
      <c r="B126" s="3199"/>
      <c r="C126" s="3199"/>
      <c r="D126" s="3235" t="str">
        <f>H111</f>
        <v>——</v>
      </c>
      <c r="E126" s="3236"/>
      <c r="F126" s="3236"/>
      <c r="G126" s="3236"/>
      <c r="H126" s="3236"/>
      <c r="I126" s="3237"/>
      <c r="AA126" s="734"/>
    </row>
    <row r="127" spans="1:27" ht="18.75" customHeight="1">
      <c r="A127" s="3168" t="s">
        <v>2138</v>
      </c>
      <c r="B127" s="3168"/>
      <c r="C127" s="3168"/>
      <c r="D127" s="3208" t="e">
        <f>NUMBERSTRING(INT(D126*10000),2)&amp;"元整"</f>
        <v>#VALUE!</v>
      </c>
      <c r="E127" s="3209"/>
      <c r="F127" s="3209"/>
      <c r="G127" s="3209"/>
      <c r="H127" s="3209"/>
      <c r="I127" s="3210"/>
      <c r="AA127" s="734"/>
    </row>
    <row r="128" spans="1:27" ht="21.75" customHeight="1">
      <c r="A128" s="3218" t="s">
        <v>2139</v>
      </c>
      <c r="B128" s="3218"/>
      <c r="C128" s="3218"/>
      <c r="D128" s="3218"/>
      <c r="E128" s="3218"/>
      <c r="F128" s="3218"/>
      <c r="G128" s="3218"/>
      <c r="H128" s="3218"/>
      <c r="I128" s="3218"/>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2" t="str">
        <f>项目基本情况!B1</f>
        <v>北京市房地产抵押价值预评估</v>
      </c>
      <c r="C37" s="3062"/>
      <c r="D37" s="3062"/>
      <c r="E37" s="3062"/>
      <c r="F37" s="3062"/>
      <c r="G37" s="3062"/>
      <c r="H37" s="3062"/>
      <c r="I37" s="3062"/>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9" sqref="J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f ca="1">IF(D2="——",C52,C52-E2)</f>
        <v>9259</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59040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5730</v>
      </c>
      <c r="D5" s="217" t="s">
        <v>2155</v>
      </c>
      <c r="E5" s="218" t="s">
        <v>2156</v>
      </c>
      <c r="F5" s="218" t="s">
        <v>2157</v>
      </c>
      <c r="G5" s="219"/>
    </row>
    <row r="6" spans="1:9" s="220" customFormat="1" ht="13.5" customHeight="1">
      <c r="A6" s="885" t="s">
        <v>2158</v>
      </c>
      <c r="B6" s="221" t="s">
        <v>2159</v>
      </c>
      <c r="C6" s="222">
        <f>基准地价修正!B2</f>
        <v>5530</v>
      </c>
      <c r="D6" s="223"/>
      <c r="E6" s="224"/>
      <c r="F6" s="224"/>
      <c r="G6" s="225"/>
    </row>
    <row r="7" spans="1:9" s="220" customFormat="1" ht="13.5" customHeight="1">
      <c r="A7" s="885" t="s">
        <v>2160</v>
      </c>
      <c r="B7" s="221" t="s">
        <v>2161</v>
      </c>
      <c r="C7" s="226">
        <f>ROUND(C6*F7,0)</f>
        <v>169</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31</v>
      </c>
      <c r="D8" s="228"/>
      <c r="E8" s="226"/>
      <c r="F8" s="227"/>
      <c r="G8" s="2041" t="s">
        <v>3103</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2" t="s">
        <v>3104</v>
      </c>
      <c r="H9" s="1298"/>
      <c r="I9" s="2043" t="s">
        <v>2165</v>
      </c>
    </row>
    <row r="10" spans="1:9" s="220" customFormat="1" ht="13.5" customHeight="1">
      <c r="A10" s="886" t="s">
        <v>801</v>
      </c>
      <c r="B10" s="230" t="s">
        <v>2166</v>
      </c>
      <c r="C10" s="231">
        <f ca="1">ROUND(D10*E10/10000,0)</f>
        <v>31</v>
      </c>
      <c r="D10" s="953">
        <f ca="1">IF(B1="",'数据-汇总表'!E6,IF(INDIRECT("'数据-取费表'!c"&amp;$G$1)="住宅",INDIRECT("'数据-取费表'!s"&amp;$G$1),INDIRECT("'数据-取费表'!k"&amp;$G$1)+INDIRECT("'数据-取费表'!s"&amp;$G$1)))</f>
        <v>1568.25</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1568.25</v>
      </c>
      <c r="E19" s="217">
        <f>'数据-取费表'!B31</f>
        <v>200</v>
      </c>
      <c r="F19" s="237"/>
      <c r="G19" s="2041" t="s">
        <v>3105</v>
      </c>
    </row>
    <row r="20" spans="1:7" s="220" customFormat="1" ht="13.5" customHeight="1">
      <c r="A20" s="261" t="s">
        <v>2179</v>
      </c>
      <c r="B20" s="216" t="s">
        <v>2180</v>
      </c>
      <c r="C20" s="238">
        <f>ROUND((C5+C19)*F20,0)</f>
        <v>115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514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509</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5</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877</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877</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7841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1343</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1255</v>
      </c>
      <c r="D34" s="223"/>
      <c r="E34" s="226"/>
      <c r="F34" s="263">
        <f ca="1">IF('数据-取费表'!B24=0,1,IF(B1="",'数据-取费表'!N16,INDIRECT("'数据-取费表'!n"&amp;$G$1)))</f>
        <v>1</v>
      </c>
      <c r="G34" s="225" t="s">
        <v>2212</v>
      </c>
    </row>
    <row r="35" spans="1:7" ht="13.5" customHeight="1">
      <c r="A35" s="887" t="s">
        <v>796</v>
      </c>
      <c r="B35" s="221" t="s">
        <v>2213</v>
      </c>
      <c r="C35" s="226">
        <f ca="1">ROUND(C34*F35,0)</f>
        <v>38</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31</v>
      </c>
      <c r="D37" s="223">
        <f ca="1">D19</f>
        <v>1568.25</v>
      </c>
      <c r="E37" s="255">
        <f>'数据-取费表'!B35</f>
        <v>200</v>
      </c>
      <c r="F37" s="265"/>
      <c r="G37" s="267" t="s">
        <v>2218</v>
      </c>
    </row>
    <row r="38" spans="1:7" ht="13.5" customHeight="1">
      <c r="A38" s="887" t="s">
        <v>799</v>
      </c>
      <c r="B38" s="221" t="s">
        <v>2219</v>
      </c>
      <c r="C38" s="226">
        <f ca="1">ROUND(C34*F38,0)</f>
        <v>19</v>
      </c>
      <c r="D38" s="226"/>
      <c r="E38" s="226"/>
      <c r="F38" s="265">
        <f>'数据-取费表'!B36</f>
        <v>1.4999999999999999E-2</v>
      </c>
      <c r="G38" s="225" t="s">
        <v>2214</v>
      </c>
    </row>
    <row r="39" spans="1:7" s="220" customFormat="1" ht="13.5" customHeight="1">
      <c r="A39" s="261" t="s">
        <v>2220</v>
      </c>
      <c r="B39" s="216" t="s">
        <v>2221</v>
      </c>
      <c r="C39" s="238">
        <f ca="1">ROUND(C33*F20,0)</f>
        <v>27</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59</v>
      </c>
      <c r="D41" s="241">
        <f ca="1">C44</f>
        <v>8.9999999999999998E-4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58</v>
      </c>
      <c r="D42" s="244"/>
      <c r="E42" s="244"/>
      <c r="F42" s="245"/>
      <c r="G42" s="3251" t="s">
        <v>2230</v>
      </c>
    </row>
    <row r="43" spans="1:7" ht="13.5" customHeight="1">
      <c r="A43" s="887" t="s">
        <v>792</v>
      </c>
      <c r="B43" s="221" t="s">
        <v>2231</v>
      </c>
      <c r="C43" s="244">
        <f ca="1">ROUND(IF('数据-取费表'!B22&lt;=1,C39*F22*'数据-取费表'!B21/2,C39*(POWER((1+F22),'数据-取费表'!B21/2)-1)),0)</f>
        <v>1</v>
      </c>
      <c r="D43" s="244"/>
      <c r="E43" s="244"/>
      <c r="F43" s="245"/>
      <c r="G43" s="3252"/>
    </row>
    <row r="44" spans="1:7" ht="13.5" customHeight="1">
      <c r="A44" s="887" t="s">
        <v>793</v>
      </c>
      <c r="B44" s="221" t="s">
        <v>2232</v>
      </c>
      <c r="C44" s="244">
        <f ca="1">ROUND(IF('数据-取费表'!B22&lt;=1,C40*F22*'数据-取费表'!B21/2,C40*(POWER((1+F22),'数据-取费表'!B21/2)-1)),4)</f>
        <v>8.9999999999999998E-4</v>
      </c>
      <c r="D44" s="244"/>
      <c r="E44" s="244"/>
      <c r="F44" s="245"/>
      <c r="G44" s="3253"/>
    </row>
    <row r="45" spans="1:7" s="220" customFormat="1" ht="13.5" customHeight="1">
      <c r="A45" s="261" t="s">
        <v>2233</v>
      </c>
      <c r="B45" s="250" t="s">
        <v>2199</v>
      </c>
      <c r="C45" s="251">
        <f ca="1">C46</f>
        <v>206</v>
      </c>
      <c r="D45" s="241">
        <f ca="1">C47</f>
        <v>3.0000000000000001E-3</v>
      </c>
      <c r="E45" s="242" t="s">
        <v>2225</v>
      </c>
      <c r="F45" s="2536">
        <f ca="1">F27</f>
        <v>0.15</v>
      </c>
      <c r="G45" s="253" t="s">
        <v>2234</v>
      </c>
    </row>
    <row r="46" spans="1:7" s="220" customFormat="1" ht="13.5" customHeight="1">
      <c r="A46" s="887" t="s">
        <v>791</v>
      </c>
      <c r="B46" s="254" t="s">
        <v>2235</v>
      </c>
      <c r="C46" s="255">
        <f ca="1">ROUND((C33+C39)*F27,0)</f>
        <v>206</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1772</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1418</v>
      </c>
      <c r="D51" s="238"/>
      <c r="E51" s="238"/>
      <c r="F51" s="270"/>
      <c r="G51" s="240" t="s">
        <v>2246</v>
      </c>
    </row>
    <row r="52" spans="1:7" s="214" customFormat="1" ht="16.5" thickBot="1">
      <c r="A52" s="271" t="s">
        <v>2247</v>
      </c>
      <c r="B52" s="272"/>
      <c r="C52" s="273">
        <f ca="1">C31+C51</f>
        <v>9259</v>
      </c>
      <c r="D52" s="272"/>
      <c r="E52" s="272"/>
      <c r="F52" s="272"/>
      <c r="G52" s="274"/>
    </row>
    <row r="55" spans="1:7" ht="15">
      <c r="B55" s="276" t="s">
        <v>2248</v>
      </c>
      <c r="C55" s="277"/>
    </row>
    <row r="56" spans="1:7">
      <c r="B56" s="279" t="s">
        <v>1478</v>
      </c>
      <c r="C56" s="281">
        <f ca="1">1-C57</f>
        <v>0.84699999999999998</v>
      </c>
    </row>
    <row r="57" spans="1:7">
      <c r="B57" s="279" t="s">
        <v>1479</v>
      </c>
      <c r="C57" s="280">
        <f ca="1">ROUND(C51/C52,3)</f>
        <v>0.153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1503</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9584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313650</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313650</v>
      </c>
      <c r="D8" s="228"/>
      <c r="E8" s="226"/>
      <c r="F8" s="227"/>
      <c r="G8" s="2041"/>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313650</v>
      </c>
      <c r="D10" s="953">
        <f ca="1">IF(B1="",'数据-汇总表'!E6,IF(INDIRECT("'数据-取费表'!c"&amp;$G$1)="住宅",INDIRECT("'数据-取费表'!s"&amp;$G$1),INDIRECT("'数据-取费表'!k"&amp;$G$1)+INDIRECT("'数据-取费表'!s"&amp;$G$1)))</f>
        <v>1568.25</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313650</v>
      </c>
      <c r="D19" s="957">
        <f ca="1">D9+D10</f>
        <v>1568.25</v>
      </c>
      <c r="E19" s="217">
        <f>'数据-取费表'!B31</f>
        <v>200</v>
      </c>
      <c r="F19" s="237"/>
      <c r="G19" s="2041"/>
    </row>
    <row r="20" spans="1:7" s="220" customFormat="1" ht="13.5" customHeight="1">
      <c r="A20" s="261" t="s">
        <v>2260</v>
      </c>
      <c r="B20" s="216" t="s">
        <v>2261</v>
      </c>
      <c r="C20" s="238">
        <f ca="1">ROUND((C5+C19)*F20,0)</f>
        <v>12546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56308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27881</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27881</v>
      </c>
      <c r="D24" s="244"/>
      <c r="E24" s="244"/>
      <c r="F24" s="245"/>
      <c r="G24" s="246" t="s">
        <v>2272</v>
      </c>
    </row>
    <row r="25" spans="1:7" s="220" customFormat="1" ht="24">
      <c r="A25" s="887" t="s">
        <v>2162</v>
      </c>
      <c r="B25" s="221" t="s">
        <v>2273</v>
      </c>
      <c r="C25" s="1289">
        <f ca="1">ROUND(IF('数据-取费表'!B22&lt;=1,C20*F22*'数据-取费表'!B22/2,C20*(POWER((1+F22),'数据-取费表'!B22/2)-1)),0)</f>
        <v>546</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95977</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95977</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858399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13424220</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12546000</v>
      </c>
      <c r="D34" s="223"/>
      <c r="E34" s="226"/>
      <c r="F34" s="263"/>
      <c r="G34" s="225"/>
    </row>
    <row r="35" spans="1:7" ht="13.5" customHeight="1">
      <c r="A35" s="887" t="s">
        <v>796</v>
      </c>
      <c r="B35" s="221" t="s">
        <v>2213</v>
      </c>
      <c r="C35" s="226">
        <f ca="1">ROUND(C34*F35,0)</f>
        <v>376380</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313650</v>
      </c>
      <c r="D37" s="223">
        <f ca="1">D19</f>
        <v>1568.25</v>
      </c>
      <c r="E37" s="255">
        <f>'数据-取费表'!B35</f>
        <v>200</v>
      </c>
      <c r="F37" s="265"/>
      <c r="G37" s="267"/>
    </row>
    <row r="38" spans="1:7" ht="13.5" customHeight="1">
      <c r="A38" s="887" t="s">
        <v>799</v>
      </c>
      <c r="B38" s="221" t="s">
        <v>2219</v>
      </c>
      <c r="C38" s="226">
        <f ca="1">ROUND(C34*F38,0)</f>
        <v>188190</v>
      </c>
      <c r="D38" s="226"/>
      <c r="E38" s="226"/>
      <c r="F38" s="265">
        <f>'数据-取费表'!B36</f>
        <v>1.4999999999999999E-2</v>
      </c>
      <c r="G38" s="225" t="s">
        <v>2214</v>
      </c>
    </row>
    <row r="39" spans="1:7" s="220" customFormat="1" ht="13.5" customHeight="1">
      <c r="A39" s="261" t="s">
        <v>2220</v>
      </c>
      <c r="B39" s="216" t="s">
        <v>2221</v>
      </c>
      <c r="C39" s="238">
        <f ca="1">ROUND(C33*F20,0)</f>
        <v>268484</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595633</v>
      </c>
      <c r="D41" s="241">
        <f ca="1">C44</f>
        <v>8.9999999999999998E-4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583954</v>
      </c>
      <c r="D42" s="244"/>
      <c r="E42" s="244"/>
      <c r="F42" s="245"/>
      <c r="G42" s="3251" t="s">
        <v>2277</v>
      </c>
    </row>
    <row r="43" spans="1:7" ht="13.5" customHeight="1">
      <c r="A43" s="887" t="s">
        <v>792</v>
      </c>
      <c r="B43" s="221" t="s">
        <v>2231</v>
      </c>
      <c r="C43" s="244">
        <f ca="1">ROUND(IF('数据-取费表'!B22&lt;=1,C39*F22*'数据-取费表'!B20/2,C39*(POWER((1+F22),'数据-取费表'!B20/2)-1)),0)</f>
        <v>11679</v>
      </c>
      <c r="D43" s="244"/>
      <c r="E43" s="244"/>
      <c r="F43" s="245"/>
      <c r="G43" s="3252"/>
    </row>
    <row r="44" spans="1:7" ht="13.5" customHeight="1">
      <c r="A44" s="887" t="s">
        <v>793</v>
      </c>
      <c r="B44" s="221" t="s">
        <v>2232</v>
      </c>
      <c r="C44" s="244">
        <f ca="1">ROUND(IF('数据-取费表'!B22&lt;=1,C40*F22*'数据-取费表'!B20/2,C40*(POWER((1+F22),'数据-取费表'!B20/2)-1)),4)</f>
        <v>8.9999999999999998E-4</v>
      </c>
      <c r="D44" s="244"/>
      <c r="E44" s="244"/>
      <c r="F44" s="245"/>
      <c r="G44" s="3253"/>
    </row>
    <row r="45" spans="1:7" s="220" customFormat="1" ht="13.5" customHeight="1">
      <c r="A45" s="261" t="s">
        <v>2233</v>
      </c>
      <c r="B45" s="250" t="s">
        <v>2199</v>
      </c>
      <c r="C45" s="251">
        <f ca="1">C46</f>
        <v>2053906</v>
      </c>
      <c r="D45" s="241">
        <f ca="1">C47</f>
        <v>3.0000000000000001E-3</v>
      </c>
      <c r="E45" s="242" t="s">
        <v>2225</v>
      </c>
      <c r="F45" s="2536">
        <f ca="1">F27</f>
        <v>0.15</v>
      </c>
      <c r="G45" s="253" t="s">
        <v>2234</v>
      </c>
    </row>
    <row r="46" spans="1:7" s="220" customFormat="1" ht="13.5" customHeight="1">
      <c r="A46" s="887" t="s">
        <v>791</v>
      </c>
      <c r="B46" s="254" t="s">
        <v>2235</v>
      </c>
      <c r="C46" s="255">
        <f ca="1">ROUND((C33+C39)*F27,0)</f>
        <v>2053906</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17709409</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14167527</v>
      </c>
      <c r="D51" s="238"/>
      <c r="E51" s="238"/>
      <c r="F51" s="270"/>
      <c r="G51" s="240" t="s">
        <v>2246</v>
      </c>
    </row>
    <row r="52" spans="1:7" s="214" customFormat="1" ht="16.5" thickBot="1">
      <c r="A52" s="271" t="s">
        <v>2247</v>
      </c>
      <c r="B52" s="272"/>
      <c r="C52" s="273">
        <f ca="1">C31+C51</f>
        <v>15025926</v>
      </c>
      <c r="D52" s="272"/>
      <c r="E52" s="272"/>
      <c r="F52" s="272"/>
      <c r="G52" s="274"/>
    </row>
    <row r="55" spans="1:7" ht="15">
      <c r="B55" s="276" t="s">
        <v>2248</v>
      </c>
      <c r="C55" s="277"/>
    </row>
    <row r="56" spans="1:7">
      <c r="B56" s="279" t="s">
        <v>1478</v>
      </c>
      <c r="C56" s="281">
        <f ca="1">1-C57</f>
        <v>5.7000000000000051E-2</v>
      </c>
    </row>
    <row r="57" spans="1:7">
      <c r="B57" s="279" t="s">
        <v>1479</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1568.25</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1568.25</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7"/>
      <c r="H18" s="1348"/>
      <c r="I18" s="2048"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31</v>
      </c>
      <c r="D20" s="954">
        <f ca="1">IF(C1="",'数据-汇总表'!E6,IF(INDIRECT("'数据-取费表'!c"&amp;$K$1)="住宅",INDIRECT("'数据-取费表'!s"&amp;$K$1),INDIRECT("'数据-取费表'!k"&amp;$K$1)+INDIRECT("'数据-取费表'!s"&amp;$K$1)))</f>
        <v>1568.25</v>
      </c>
      <c r="E20" s="24">
        <f>'数据-取费表'!B28</f>
        <v>200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2330</v>
      </c>
      <c r="B28" s="2050" t="s">
        <v>2331</v>
      </c>
      <c r="C28" s="293">
        <f ca="1">C30</f>
        <v>0</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1"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9" sqref="H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1568.25</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5530</v>
      </c>
      <c r="C2" s="2184" t="s">
        <v>2634</v>
      </c>
      <c r="D2" s="2185" t="s">
        <v>2635</v>
      </c>
      <c r="E2" s="2186" t="s">
        <v>1343</v>
      </c>
      <c r="F2" s="2185" t="s">
        <v>2636</v>
      </c>
      <c r="G2" s="2187" t="str">
        <f>IF(E2="商业",项目基本情况!B37,IF(E2="办公",项目基本情况!C37,IF(E2="住宅",项目基本情况!D37,项目基本情况!E37)))</f>
        <v>二级</v>
      </c>
      <c r="H2" s="2185" t="s">
        <v>2637</v>
      </c>
      <c r="I2" s="2187" t="str">
        <f>IF(E2="商业",项目基本情况!B38,IF(E2="办公",项目基本情况!C38,IF(E2="住宅",项目基本情况!D38,项目基本情况!E38)))</f>
        <v>Ⅱ—09</v>
      </c>
      <c r="J2" s="2188"/>
      <c r="K2" s="1279"/>
      <c r="L2" s="2189" t="s">
        <v>2638</v>
      </c>
      <c r="M2" s="994">
        <f>SUMPRODUCT((区片价!B10:B28=I2)*(区片价!C3:F3=E2)*(区片价!C10:F28))</f>
        <v>22350</v>
      </c>
      <c r="N2" s="996">
        <f>SUMPRODUCT((因素修正幅度!B10:B28=I2)*(因素修正幅度!C3:F3=E2)*(因素修正幅度!C10:F28))</f>
        <v>7.3999999999999996E-2</v>
      </c>
      <c r="O2" s="1279"/>
      <c r="P2" s="1279"/>
      <c r="Q2" s="1279"/>
      <c r="R2" s="1373">
        <v>1</v>
      </c>
      <c r="S2" s="1373">
        <f>ROUND(IF(G3&gt;1,IF(R2&lt;7,SUMPRODUCT((B93:B98=R2)*(C92:N92=G2)*(C93:N98)),SUMIF(C92:N92,G2,C100:N100)),IF(R2&lt;7,SUMPRODUCT((B102:B107=R2)*(C92:N92=G2)*(C102:N107)),SUMIF(C92:N92,G2,C109:N109))),4)</f>
        <v>1.9361999999999999</v>
      </c>
      <c r="T2" s="1373">
        <f>ROUND($C$5*$C$18*$C$19*$C$20*S2*$C$24,0)</f>
        <v>48089</v>
      </c>
      <c r="U2" s="1374"/>
      <c r="V2" s="1373">
        <f>ROUND(T2*U2/10000,0)</f>
        <v>0</v>
      </c>
      <c r="W2" s="1377"/>
      <c r="X2" s="1377"/>
      <c r="Y2" s="1377"/>
      <c r="Z2" s="1377"/>
      <c r="AA2" s="1377"/>
      <c r="AB2" s="1377"/>
      <c r="AC2" s="1378"/>
      <c r="AD2" s="1379"/>
      <c r="AE2" s="1379"/>
      <c r="AF2" s="1379"/>
      <c r="AG2" s="1379"/>
      <c r="AH2" s="1379"/>
      <c r="AI2" s="1379"/>
      <c r="AJ2" s="1380"/>
    </row>
    <row r="3" spans="1:36" ht="15.75">
      <c r="A3" s="209" t="s">
        <v>2639</v>
      </c>
      <c r="B3" s="210">
        <f>ROUND(B2*10000/D1,0)</f>
        <v>35262</v>
      </c>
      <c r="C3" s="2184" t="s">
        <v>2640</v>
      </c>
      <c r="D3" s="2185" t="s">
        <v>2641</v>
      </c>
      <c r="E3" s="2190" t="s">
        <v>3089</v>
      </c>
      <c r="F3" s="2191" t="s">
        <v>3099</v>
      </c>
      <c r="G3" s="855">
        <f>IF(F3="宗地容积率",'数据-汇总表'!I4,IF(F3="估价对象容积率",'数据-汇总表'!I6,'数据-汇总表'!I7))</f>
        <v>3.5</v>
      </c>
      <c r="H3" s="175" t="s">
        <v>2642</v>
      </c>
      <c r="I3" s="881">
        <v>2</v>
      </c>
      <c r="J3" s="2188" t="s">
        <v>2643</v>
      </c>
      <c r="K3" s="1279"/>
      <c r="L3" s="2189" t="s">
        <v>2644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si="0">ROUND($C$5*$C$18*$C$19*$C$20*S3*$C$24,0)</f>
        <v>35263</v>
      </c>
      <c r="U3" s="1374">
        <f>'数据-基础表'!I13</f>
        <v>1568.25</v>
      </c>
      <c r="V3" s="1373">
        <f t="shared" ref="V3:V16" si="1">ROUND(T3*U3/10000,0)</f>
        <v>5530</v>
      </c>
      <c r="W3" s="1377"/>
      <c r="X3" s="1377"/>
      <c r="Y3" s="1377"/>
      <c r="Z3" s="1377"/>
      <c r="AA3" s="1377"/>
      <c r="AB3" s="1377"/>
      <c r="AC3" s="1378"/>
      <c r="AD3" s="1379"/>
      <c r="AE3" s="1379"/>
      <c r="AF3" s="1379"/>
      <c r="AG3" s="1379"/>
      <c r="AH3" s="1379"/>
      <c r="AI3" s="1379"/>
      <c r="AJ3" s="1380"/>
    </row>
    <row r="4" spans="1:36" ht="15.75">
      <c r="A4" s="3257"/>
      <c r="B4" s="3258"/>
      <c r="C4" s="3258"/>
      <c r="D4" s="3259"/>
      <c r="E4" s="3259"/>
      <c r="F4" s="3259"/>
      <c r="G4" s="3259"/>
      <c r="H4" s="3259"/>
      <c r="I4" s="3259"/>
      <c r="J4" s="3260"/>
      <c r="K4" s="1279"/>
      <c r="L4" s="2189" t="s">
        <v>2645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si="0"/>
        <v>28796</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f>ROUND(IF(E2="商业",C6*C7+C16,(IF(E2="住宅",C6*C12+C16,C6+C16))),0)</f>
        <v>23157</v>
      </c>
      <c r="D5" s="1522">
        <f>ROUND(C6+C16,0)</f>
        <v>22319</v>
      </c>
      <c r="E5" s="1522"/>
      <c r="F5" s="2194"/>
      <c r="G5" s="2195"/>
      <c r="H5" s="2195"/>
      <c r="I5" s="2195"/>
      <c r="J5" s="2196"/>
      <c r="K5" s="2197"/>
      <c r="L5" s="2189" t="s">
        <v>2647</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si="0"/>
        <v>23898</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22350</v>
      </c>
      <c r="D6" s="2204" t="s">
        <v>2650</v>
      </c>
      <c r="E6" s="2205"/>
      <c r="F6" s="2205"/>
      <c r="G6" s="2206"/>
      <c r="H6" s="2206"/>
      <c r="I6" s="2206"/>
      <c r="J6" s="2207"/>
      <c r="K6" s="1567"/>
      <c r="L6" s="2189" t="s">
        <v>2651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si="0"/>
        <v>20905</v>
      </c>
      <c r="U6" s="1374"/>
      <c r="V6" s="1373">
        <f t="shared" si="1"/>
        <v>0</v>
      </c>
      <c r="W6" s="1377"/>
      <c r="X6" s="1377"/>
      <c r="Y6" s="1377"/>
      <c r="Z6" s="1377"/>
      <c r="AA6" s="1377"/>
      <c r="AB6" s="1377"/>
      <c r="AC6" s="2198"/>
      <c r="AD6" s="2199"/>
      <c r="AE6" s="2199"/>
      <c r="AF6" s="2199"/>
      <c r="AG6" s="2199"/>
      <c r="AH6" s="2199"/>
      <c r="AI6" s="2199"/>
      <c r="AJ6" s="2200"/>
    </row>
    <row r="7" spans="1:36" ht="24">
      <c r="A7" s="3261">
        <f>IF(E2="商业",IF(C8="不临58条商业街","",2),"")</f>
        <v>2</v>
      </c>
      <c r="B7" s="2208" t="s">
        <v>2652</v>
      </c>
      <c r="C7" s="858">
        <f>IF(C8="不临58条商业街",1,ROUND(1+(1.6*E8+1.2*E9+0.8*E10+0.4*E11)*C9,4))</f>
        <v>1.0375000000000001</v>
      </c>
      <c r="D7" s="2209" t="s">
        <v>2653</v>
      </c>
      <c r="E7" s="3061">
        <v>160</v>
      </c>
      <c r="F7" s="2210"/>
      <c r="G7" s="2211"/>
      <c r="H7" s="2211"/>
      <c r="I7" s="2211"/>
      <c r="J7" s="2212"/>
      <c r="K7" s="1567"/>
      <c r="L7" s="2189" t="s">
        <v>2654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si="0"/>
        <v>18896</v>
      </c>
      <c r="U7" s="1374"/>
      <c r="V7" s="1373">
        <f t="shared" si="1"/>
        <v>0</v>
      </c>
      <c r="W7" s="1541" t="s">
        <v>2655</v>
      </c>
      <c r="X7" s="1375" t="str">
        <f>G2</f>
        <v>二级</v>
      </c>
      <c r="Y7" s="1375" t="s">
        <v>2656</v>
      </c>
      <c r="Z7" s="1376">
        <f>G3</f>
        <v>3.5</v>
      </c>
      <c r="AA7" s="1377"/>
      <c r="AB7" s="1377"/>
      <c r="AC7" s="1378"/>
      <c r="AD7" s="1379"/>
      <c r="AE7" s="1379"/>
      <c r="AF7" s="1379"/>
      <c r="AG7" s="1379"/>
      <c r="AH7" s="1379"/>
      <c r="AI7" s="1379"/>
      <c r="AJ7" s="1380"/>
    </row>
    <row r="8" spans="1:36" ht="15">
      <c r="A8" s="3262"/>
      <c r="B8" s="175" t="s">
        <v>2657</v>
      </c>
      <c r="C8" s="2213" t="s">
        <v>3090</v>
      </c>
      <c r="D8" s="859" t="s">
        <v>139</v>
      </c>
      <c r="E8" s="860">
        <f>ROUND(C11/E7,4)</f>
        <v>4.6899999999999997E-2</v>
      </c>
      <c r="F8" s="2214" t="s">
        <v>2658</v>
      </c>
      <c r="G8" s="2215"/>
      <c r="H8" s="2215"/>
      <c r="I8" s="2215"/>
      <c r="J8" s="2216"/>
      <c r="K8" s="1279"/>
      <c r="L8" s="2189"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254" t="s">
        <v>2660</v>
      </c>
      <c r="X8" s="325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262"/>
      <c r="B9" s="175" t="s">
        <v>2673</v>
      </c>
      <c r="C9" s="861">
        <f>SUMIF(修正!C59:C119,C8,修正!E59:E119)</f>
        <v>0.2</v>
      </c>
      <c r="D9" s="176" t="s">
        <v>140</v>
      </c>
      <c r="E9" s="176">
        <f>ROUND(C11/E7,4)</f>
        <v>4.6899999999999997E-2</v>
      </c>
      <c r="F9" s="2214" t="s">
        <v>2674</v>
      </c>
      <c r="G9" s="2215"/>
      <c r="H9" s="2215"/>
      <c r="I9" s="2215"/>
      <c r="J9" s="2216"/>
      <c r="K9" s="1279"/>
      <c r="L9" s="2189"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256"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62"/>
      <c r="B10" s="175" t="s">
        <v>2678</v>
      </c>
      <c r="C10" s="176">
        <f>SUMIF(修正!C59:C119,C8,修正!F59:F119)</f>
        <v>30</v>
      </c>
      <c r="D10" s="176" t="s">
        <v>141</v>
      </c>
      <c r="E10" s="176">
        <f>ROUND(C11/E7,4)</f>
        <v>4.6899999999999997E-2</v>
      </c>
      <c r="F10" s="2214" t="s">
        <v>2679</v>
      </c>
      <c r="G10" s="2215"/>
      <c r="H10" s="2215"/>
      <c r="I10" s="2215"/>
      <c r="J10" s="2216"/>
      <c r="K10" s="1279"/>
      <c r="L10" s="2189"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25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62"/>
      <c r="B11" s="2217" t="s">
        <v>2681</v>
      </c>
      <c r="C11" s="862">
        <f>C10/4</f>
        <v>7.5</v>
      </c>
      <c r="D11" s="862" t="s">
        <v>142</v>
      </c>
      <c r="E11" s="862">
        <f>ROUND(C11/E7,4)</f>
        <v>4.6899999999999997E-2</v>
      </c>
      <c r="F11" s="2218" t="s">
        <v>2682</v>
      </c>
      <c r="G11" s="2219"/>
      <c r="H11" s="2219"/>
      <c r="I11" s="2219"/>
      <c r="J11" s="2220"/>
      <c r="K11" s="1279"/>
      <c r="L11" s="2189"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256" t="s">
        <v>2684</v>
      </c>
      <c r="X11" s="1385" t="s">
        <v>2685</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thickBot="1">
      <c r="A12" s="3261" t="s">
        <v>2686</v>
      </c>
      <c r="B12" s="2221" t="s">
        <v>2687</v>
      </c>
      <c r="C12" s="858">
        <f>ROUND(C15*D15*E15*F15*G15*H15*I15*J15,4)</f>
        <v>1</v>
      </c>
      <c r="D12" s="2222" t="s">
        <v>2688</v>
      </c>
      <c r="E12" s="2223"/>
      <c r="F12" s="2223"/>
      <c r="G12" s="2224"/>
      <c r="H12" s="2224"/>
      <c r="I12" s="2224"/>
      <c r="J12" s="2225"/>
      <c r="K12" s="1279"/>
      <c r="L12" s="2226"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25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63"/>
      <c r="B13" s="2227" t="s">
        <v>2691</v>
      </c>
      <c r="C13" s="2228" t="s">
        <v>2692</v>
      </c>
      <c r="D13" s="1533" t="s">
        <v>2693</v>
      </c>
      <c r="E13" s="1533" t="s">
        <v>2694</v>
      </c>
      <c r="F13" s="30" t="s">
        <v>2695</v>
      </c>
      <c r="G13" s="2229" t="s">
        <v>2696</v>
      </c>
      <c r="H13" s="2229" t="s">
        <v>2696</v>
      </c>
      <c r="I13" s="2229" t="s">
        <v>2696</v>
      </c>
      <c r="J13" s="2230" t="s">
        <v>2696</v>
      </c>
      <c r="K13" s="1279"/>
      <c r="L13" s="1279"/>
      <c r="M13" s="1279"/>
      <c r="N13" s="1279"/>
      <c r="O13" s="1279"/>
      <c r="P13" s="1279"/>
      <c r="Q13" s="1279"/>
      <c r="R13" s="1373">
        <v>12</v>
      </c>
      <c r="S13" s="1374"/>
      <c r="T13" s="1373">
        <f t="shared" si="0"/>
        <v>0</v>
      </c>
      <c r="U13" s="1374"/>
      <c r="V13" s="1373">
        <f t="shared" si="1"/>
        <v>0</v>
      </c>
      <c r="W13" s="3256"/>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c r="A14" s="3263"/>
      <c r="B14" s="2231"/>
      <c r="C14" s="2232"/>
      <c r="D14" s="2233"/>
      <c r="E14" s="2233"/>
      <c r="F14" s="2234"/>
      <c r="G14" s="2235" t="s">
        <v>2697</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264"/>
      <c r="B15" s="2239" t="s">
        <v>2698</v>
      </c>
      <c r="C15" s="193">
        <f>IF(C14="有",1.1,1)</f>
        <v>1</v>
      </c>
      <c r="D15" s="193">
        <f>IF(D14="有",1.1,1)</f>
        <v>1</v>
      </c>
      <c r="E15" s="193">
        <f>IF(E14="有",1.1,1)</f>
        <v>1</v>
      </c>
      <c r="F15" s="193">
        <f>IF(F14="500米范围内",1.2,IF(F14="500-1000米",1.1,1))</f>
        <v>1</v>
      </c>
      <c r="G15" s="882">
        <v>1</v>
      </c>
      <c r="H15" s="882">
        <v>1</v>
      </c>
      <c r="I15" s="882">
        <v>1</v>
      </c>
      <c r="J15" s="883">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61" t="s">
        <v>2703</v>
      </c>
      <c r="B16" s="2208" t="s">
        <v>2704</v>
      </c>
      <c r="C16" s="2370">
        <f>ROUND(IF(F17="与级别开发程度一致",0,(G17-E17)/C17),0)</f>
        <v>-31</v>
      </c>
      <c r="D16" s="3277" t="s">
        <v>2708</v>
      </c>
      <c r="E16" s="3278"/>
      <c r="F16" s="3277" t="s">
        <v>2705</v>
      </c>
      <c r="G16" s="3278"/>
      <c r="H16" s="2240" t="s">
        <v>3091</v>
      </c>
      <c r="I16" s="2240" t="s">
        <v>3092</v>
      </c>
      <c r="J16" s="2374" t="s">
        <v>3093</v>
      </c>
      <c r="K16" s="2240" t="s">
        <v>3094</v>
      </c>
      <c r="L16" s="2240" t="s">
        <v>3095</v>
      </c>
      <c r="M16" s="2240"/>
      <c r="N16" s="2240" t="s">
        <v>3096</v>
      </c>
      <c r="O16" s="2241"/>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265"/>
      <c r="B17" s="2381" t="s">
        <v>2707</v>
      </c>
      <c r="C17" s="2382">
        <f>SUMPRODUCT((修正!A2:A5=E2)*(修正!B1:M1=G2)*(修正!B2:M5))</f>
        <v>3.5</v>
      </c>
      <c r="D17" s="193" t="str">
        <f>IF(OR(G2="八级",G2="九级",G2="十级",G2="十一级",G2="十二级"),"五通一平","七通一平")</f>
        <v>七通一平</v>
      </c>
      <c r="E17" s="2371">
        <f>SUMPRODUCT((修正!B1:M1=G2)*(修正!B15:M15))</f>
        <v>375</v>
      </c>
      <c r="F17" s="2372" t="s">
        <v>3097</v>
      </c>
      <c r="G17" s="2373">
        <f>SUM(H17:O17)</f>
        <v>265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0</v>
      </c>
      <c r="N17" s="2382">
        <f>SUMPRODUCT((七通一平=N16)*(修正!B1:M1=G2)*(修正!B6:M14))</f>
        <v>20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2710</v>
      </c>
      <c r="C18" s="2377">
        <f>SUMIF(修正!C18:C39,E3,修正!E18:E39)</f>
        <v>0.9</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2711</v>
      </c>
      <c r="C19" s="863">
        <f>ROUND(IF(H19="按公示增长率计算",SUMPRODUCT((地价!A3:A34=YEAR(G19)&amp;"-"&amp;ROUNDUP(MONTH(G19)/3,0))*(地价!X2:AB2=E2)*(地价!X3:AB34)),IF(H19="地价指数",M20/M19,(1+I19)^O19)),4)</f>
        <v>1.3491</v>
      </c>
      <c r="D19" s="2250" t="s">
        <v>2712</v>
      </c>
      <c r="E19" s="864">
        <v>41640</v>
      </c>
      <c r="F19" s="2250" t="s">
        <v>2713</v>
      </c>
      <c r="G19" s="865">
        <f>'数据-取费表'!B2</f>
        <v>44328</v>
      </c>
      <c r="H19" s="2251" t="s">
        <v>3098</v>
      </c>
      <c r="I19" s="866" t="str">
        <f>IF(H19="季度增幅（自定义）",SUMIF(N21:N24,E2,O21:O24),"")</f>
        <v/>
      </c>
      <c r="J19" s="2248"/>
      <c r="K19" s="1286"/>
      <c r="L19" s="2252" t="s">
        <v>2714</v>
      </c>
      <c r="M19" s="1495">
        <f>ROUND(SUMIF(地价!B2:F2,E2,地价!B34:F34),0)</f>
        <v>258</v>
      </c>
      <c r="N19" s="2253" t="s">
        <v>2715</v>
      </c>
      <c r="O19" s="867">
        <f>ROUNDDOWN(DATEDIF(E19,G19,"M")/3,0)</f>
        <v>29</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2716</v>
      </c>
      <c r="C20" s="868">
        <f>ROUND(POWER(1+G20,J20-I20)*(POWER(1+G20,I20)-1)/(POWER(1+G20,J20)-1),4)</f>
        <v>0.8538</v>
      </c>
      <c r="D20" s="2257" t="s">
        <v>2717</v>
      </c>
      <c r="E20" s="1504">
        <f>存贷款利率!E18/100</f>
        <v>4.3499999999999997E-2</v>
      </c>
      <c r="F20" s="2257" t="s">
        <v>2709</v>
      </c>
      <c r="G20" s="873">
        <f>SUMIF(M26:P26,E2,M28:P28)</f>
        <v>5.3999999999999999E-2</v>
      </c>
      <c r="H20" s="2257" t="s">
        <v>2718</v>
      </c>
      <c r="I20" s="874">
        <f>SUMIF('数据-取费表'!C6:C15,E2,'数据-取费表'!F6:F15)/COUNTIF('数据-取费表'!C6:C15,E2)</f>
        <v>26.33</v>
      </c>
      <c r="J20" s="875">
        <f>IF(E2="住宅",70,IF(E2="商业",40,50))</f>
        <v>40</v>
      </c>
      <c r="K20" s="1286"/>
      <c r="L20" s="2258" t="s">
        <v>2719</v>
      </c>
      <c r="M20" s="1496">
        <f>ROUND(SUMPRODUCT((地价!A4:A34=YEAR(G19)&amp;"-"&amp;ROUNDUP(MONTH(G19)/3,0))*(地价!B2:F2=E2)*(地价!B4:F34)),0)</f>
        <v>348</v>
      </c>
      <c r="N20" s="2259" t="s">
        <v>2720</v>
      </c>
      <c r="O20" s="2260" t="s">
        <v>2721</v>
      </c>
      <c r="P20" s="2261" t="s">
        <v>2722</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2723</v>
      </c>
      <c r="C21" s="876">
        <f>IF(B21="容积率修正",IF(G3&lt;=10,D22,J22),C23)</f>
        <v>1.4198</v>
      </c>
      <c r="D21" s="2264"/>
      <c r="E21" s="2264"/>
      <c r="F21" s="2264"/>
      <c r="G21" s="2264"/>
      <c r="H21" s="2264"/>
      <c r="I21" s="2264"/>
      <c r="J21" s="2265"/>
      <c r="K21" s="1286"/>
      <c r="L21" s="3018"/>
      <c r="M21" s="3018"/>
      <c r="N21" s="2266" t="s">
        <v>2724</v>
      </c>
      <c r="O21" s="1334"/>
      <c r="P21" s="1335">
        <f>SUMPRODUCT((地价!A3:A34=YEAR(G19)&amp;"-"&amp;ROUNDUP(MONTH(G19)/3,0))*(地价!AD2:AH2=N21)*(地价!AD3:AH34))</f>
        <v>1.09E-2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2725</v>
      </c>
      <c r="B22" s="2267" t="s">
        <v>2726</v>
      </c>
      <c r="C22" s="1535" t="s">
        <v>2727</v>
      </c>
      <c r="D22" s="1535">
        <f>IF(E22=G22,F22,IF(G3&lt;=10,ROUND(F22+(H22-F22)*(G3-E22)/(G22-E22),4),"——"))</f>
        <v>1</v>
      </c>
      <c r="E22" s="855">
        <f>ROUNDDOWN(G3,1)</f>
        <v>3.5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5" t="s">
        <v>155</v>
      </c>
      <c r="J22" s="877" t="str">
        <f>IF(G3&gt;10,D113,"——")</f>
        <v>——</v>
      </c>
      <c r="K22" s="1286"/>
      <c r="L22" s="3018"/>
      <c r="M22" s="3018"/>
      <c r="N22" s="2266" t="s">
        <v>2728</v>
      </c>
      <c r="O22" s="1334"/>
      <c r="P22" s="1335">
        <f>SUMPRODUCT((地价!A3:A34=YEAR(G19)&amp;"-"&amp;ROUNDUP(MONTH(G19)/3,0))*(地价!AD2:AH2=N22)*(地价!AD3:AH34))</f>
        <v>1.09E-2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2729</v>
      </c>
      <c r="B23" s="2268" t="s">
        <v>2730</v>
      </c>
      <c r="C23" s="949">
        <f>ROUND(IF(G3&gt;1,IF(I3&lt;7,SUMPRODUCT((B93:B98=I3)*(C92:N92=G2)*(C93:N98)),SUMIF(C92:N92,G2,C100:N100)),IF(I3&lt;7,SUMPRODUCT((B102:B107=I3)*(C92:N92=G2)*(C102:N107)),SUMIF(C92:N92,G2,C109:N109))),4)</f>
        <v>1.4198</v>
      </c>
      <c r="D23" s="2236"/>
      <c r="E23" s="2236"/>
      <c r="F23" s="2269"/>
      <c r="G23" s="2270"/>
      <c r="H23" s="2271"/>
      <c r="I23" s="2272"/>
      <c r="J23" s="2273"/>
      <c r="K23" s="1279"/>
      <c r="L23" s="2182"/>
      <c r="M23" s="2182"/>
      <c r="N23" s="2266" t="s">
        <v>2731</v>
      </c>
      <c r="O23" s="1334"/>
      <c r="P23" s="1335">
        <f>SUMPRODUCT((地价!A3:A34=YEAR(G19)&amp;"-"&amp;ROUNDUP(MONTH(G19)/3,0))*(地价!AD2:AH2=N23)*(地价!AD3:AH34))</f>
        <v>1.9E-2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2732</v>
      </c>
      <c r="C24" s="863">
        <f>SUMIF(A45:A88,E2,B45:B88)</f>
        <v>1.0346</v>
      </c>
      <c r="D24" s="2247"/>
      <c r="E24" s="2274"/>
      <c r="F24" s="2274"/>
      <c r="G24" s="2274"/>
      <c r="H24" s="2274"/>
      <c r="I24" s="2274"/>
      <c r="J24" s="2275"/>
      <c r="K24" s="1286"/>
      <c r="L24" s="3018"/>
      <c r="M24" s="3018"/>
      <c r="N24" s="2276" t="s">
        <v>2733</v>
      </c>
      <c r="O24" s="1336"/>
      <c r="P24" s="1337">
        <f>SUMPRODUCT((地价!A3:A34=YEAR(G19)&amp;"-"&amp;ROUNDUP(MONTH(G19)/3,0))*(地价!AD2:AH2=N24)*(地价!AD3:AH34))</f>
        <v>1.2500000000000001E-2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2734</v>
      </c>
      <c r="C25" s="869"/>
      <c r="D25" s="2211"/>
      <c r="E25" s="2211"/>
      <c r="F25" s="2278"/>
      <c r="G25" s="2211"/>
      <c r="H25" s="2211"/>
      <c r="I25" s="2211"/>
      <c r="J25" s="2212"/>
      <c r="K25" s="1279"/>
      <c r="L25" s="2182"/>
      <c r="M25" s="2182"/>
      <c r="N25" s="3013" t="s">
        <v>2735</v>
      </c>
      <c r="O25" s="3014"/>
      <c r="P25" s="3015">
        <f>SUMPRODUCT((地价!A3:A34=YEAR(G19)&amp;"-"&amp;ROUNDUP(MONTH(G19)/3,0))*(地价!AD2:AH2=N25)*(地价!AD3:AH34))</f>
        <v>1.7299999999999999E-2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2736</v>
      </c>
      <c r="C26" s="2541">
        <f>IF(B21="容积率修正",E29+SUM(E33:E39),SUM(V2:V16)+SUM(E33:E39))</f>
        <v>5530</v>
      </c>
      <c r="D26" s="2280"/>
      <c r="E26" s="2236"/>
      <c r="F26" s="2281"/>
      <c r="G26" s="2236"/>
      <c r="H26" s="2236"/>
      <c r="I26" s="2236"/>
      <c r="J26" s="2282"/>
      <c r="K26" s="1279"/>
      <c r="L26" s="3016" t="s">
        <v>2635</v>
      </c>
      <c r="M26" s="2209" t="s">
        <v>2699</v>
      </c>
      <c r="N26" s="2209" t="s">
        <v>2700</v>
      </c>
      <c r="O26" s="2209" t="s">
        <v>2701</v>
      </c>
      <c r="P26" s="3017" t="s">
        <v>2702</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2737</v>
      </c>
      <c r="C27" s="870">
        <f>E30+SUM(I33:I39)</f>
        <v>0</v>
      </c>
      <c r="D27" s="2284"/>
      <c r="E27" s="2285"/>
      <c r="F27" s="2286"/>
      <c r="G27" s="2285"/>
      <c r="H27" s="2285"/>
      <c r="I27" s="2285"/>
      <c r="J27" s="2287"/>
      <c r="K27" s="1279"/>
      <c r="L27" s="2242"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9"/>
      <c r="L28" s="2243"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2742</v>
      </c>
      <c r="C29" s="180">
        <f>ROUND(C5*C18*C19*C20*C21*C24,0)</f>
        <v>35263</v>
      </c>
      <c r="D29" s="2295">
        <f>'数据-基础表'!I13</f>
        <v>1568.25</v>
      </c>
      <c r="E29" s="879">
        <f>ROUND(C29*D29/10000,0)</f>
        <v>5530</v>
      </c>
      <c r="F29" s="2296" t="s">
        <v>2743</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2744</v>
      </c>
      <c r="C30" s="193">
        <f>ROUND(IF(E2="工业",C29*M39,C29*M38),0)</f>
        <v>8816</v>
      </c>
      <c r="D30" s="2301"/>
      <c r="E30" s="879">
        <f>ROUND(C30*D30/10000,0)</f>
        <v>0</v>
      </c>
      <c r="F30" s="2302" t="s">
        <v>2745</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2746</v>
      </c>
      <c r="C31" s="2307" t="s">
        <v>2747</v>
      </c>
      <c r="D31" s="2224"/>
      <c r="E31" s="2307"/>
      <c r="F31" s="2307"/>
      <c r="G31" s="2222" t="s">
        <v>2748</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274"/>
      <c r="B33" s="2311" t="s">
        <v>2750</v>
      </c>
      <c r="C33" s="180">
        <f>ROUND(D5*C19*C20*C24*F33,0)</f>
        <v>21278</v>
      </c>
      <c r="D33" s="2295"/>
      <c r="E33" s="176">
        <f>ROUND(C33*D33/10000,0)</f>
        <v>0</v>
      </c>
      <c r="F33" s="176">
        <f>SUMIF(修正!A45:A56,G2,修正!B45:B56)</f>
        <v>0.8</v>
      </c>
      <c r="G33" s="176">
        <f t="shared" ref="G33" si="6">ROUND(IF(E2="工业",C33*$M$39,C33*$M$38),0)</f>
        <v>5320</v>
      </c>
      <c r="H33" s="176">
        <f>D33</f>
        <v>0</v>
      </c>
      <c r="I33" s="176">
        <f>ROUND(G33*H33/10000,0)</f>
        <v>0</v>
      </c>
      <c r="J33" s="3279"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275"/>
      <c r="B34" s="2228" t="s">
        <v>2751</v>
      </c>
      <c r="C34" s="180">
        <f>ROUND(D5*C19*C20*C24*F34,0)</f>
        <v>13299</v>
      </c>
      <c r="D34" s="2295"/>
      <c r="E34" s="176">
        <f t="shared" ref="E34:E39" si="7">ROUND(C34*D34/10000,0)</f>
        <v>0</v>
      </c>
      <c r="F34" s="176">
        <f>SUMIF(修正!A45:A56,G2,修正!C45:C56)</f>
        <v>0.5</v>
      </c>
      <c r="G34" s="176">
        <f>ROUND(IF(E2="工业",C34*$M$39,C34*$M$38),0)</f>
        <v>3325</v>
      </c>
      <c r="H34" s="176">
        <f t="shared" ref="H34:H39" si="8">D34</f>
        <v>0</v>
      </c>
      <c r="I34" s="176">
        <f t="shared" ref="I34:I39" si="9">ROUND(G34*H34/10000,0)</f>
        <v>0</v>
      </c>
      <c r="J34" s="327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275"/>
      <c r="B35" s="2228" t="s">
        <v>2752</v>
      </c>
      <c r="C35" s="180">
        <f>ROUND(D5*C19*C20*C24*F35,0)</f>
        <v>9575</v>
      </c>
      <c r="D35" s="2295"/>
      <c r="E35" s="176">
        <f t="shared" si="7"/>
        <v>0</v>
      </c>
      <c r="F35" s="176">
        <f>SUMIF(修正!A45:A56,G2,修正!D45:D56)</f>
        <v>0.36</v>
      </c>
      <c r="G35" s="176">
        <f>ROUND(IF(E2="工业",C35*$M$39,C35*$M$38),0)</f>
        <v>2394</v>
      </c>
      <c r="H35" s="176">
        <f t="shared" si="8"/>
        <v>0</v>
      </c>
      <c r="I35" s="176">
        <f t="shared" si="9"/>
        <v>0</v>
      </c>
      <c r="J35" s="327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276"/>
      <c r="B36" s="2228" t="s">
        <v>2753</v>
      </c>
      <c r="C36" s="180">
        <f>ROUND(D5*C19*C20*C24*F36,0)</f>
        <v>7979</v>
      </c>
      <c r="D36" s="2295"/>
      <c r="E36" s="176">
        <f t="shared" si="7"/>
        <v>0</v>
      </c>
      <c r="F36" s="176">
        <f>SUMIF(修正!A45:A56,G2,修正!E45:E56)</f>
        <v>0.3</v>
      </c>
      <c r="G36" s="176">
        <f>ROUND(IF(E2="工业",C36*$M$39,C36*$M$38),0)</f>
        <v>1995</v>
      </c>
      <c r="H36" s="176">
        <f t="shared" si="8"/>
        <v>0</v>
      </c>
      <c r="I36" s="176">
        <f t="shared" si="9"/>
        <v>0</v>
      </c>
      <c r="J36" s="3276"/>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2754</v>
      </c>
      <c r="C37" s="176">
        <f>ROUND(D5*C19*C20*C24*F37,0)</f>
        <v>7979</v>
      </c>
      <c r="D37" s="2295"/>
      <c r="E37" s="176">
        <f t="shared" si="7"/>
        <v>0</v>
      </c>
      <c r="F37" s="180">
        <f>SUMIF(修正!A45:A56,G2,修正!F45:F56)</f>
        <v>0.3</v>
      </c>
      <c r="G37" s="176">
        <f>ROUND(IF(E2="工业",C37*$M$39,C37*$M$38),0)</f>
        <v>1995</v>
      </c>
      <c r="H37" s="176">
        <f t="shared" si="8"/>
        <v>0</v>
      </c>
      <c r="I37" s="176">
        <f t="shared" si="9"/>
        <v>0</v>
      </c>
      <c r="J37" s="2312"/>
      <c r="K37" s="1279"/>
      <c r="L37" s="2314" t="s">
        <v>2755</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2756</v>
      </c>
      <c r="C38" s="176">
        <f>ROUND(D5*C19*C41*C24*F38,0)</f>
        <v>0</v>
      </c>
      <c r="D38" s="2295"/>
      <c r="E38" s="176">
        <f t="shared" si="7"/>
        <v>0</v>
      </c>
      <c r="F38" s="180">
        <f>SUMIF(修正!A45:A56,G2,修正!G45:G56)</f>
        <v>0.3</v>
      </c>
      <c r="G38" s="176">
        <f>ROUND(IF(E2="工业",C38*$M$39,C38*$M$38),0)</f>
        <v>0</v>
      </c>
      <c r="H38" s="176">
        <f t="shared" si="8"/>
        <v>0</v>
      </c>
      <c r="I38" s="176">
        <f t="shared" si="9"/>
        <v>0</v>
      </c>
      <c r="J38" s="2312"/>
      <c r="K38" s="1279"/>
      <c r="L38" s="1604" t="s">
        <v>2757</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2758</v>
      </c>
      <c r="C39" s="193">
        <f>ROUND(D5*C19*C41*C24*F39,0)</f>
        <v>0</v>
      </c>
      <c r="D39" s="2301"/>
      <c r="E39" s="193">
        <f t="shared" si="7"/>
        <v>0</v>
      </c>
      <c r="F39" s="871">
        <f>SUMIF(修正!A45:A56,G2,修正!H45:H56)</f>
        <v>0.25</v>
      </c>
      <c r="G39" s="193">
        <f>ROUND(IF(E2="工业",C39*$M$39,C39*$M$38),0)</f>
        <v>0</v>
      </c>
      <c r="H39" s="193">
        <f t="shared" si="8"/>
        <v>0</v>
      </c>
      <c r="I39" s="193">
        <f t="shared" si="9"/>
        <v>0</v>
      </c>
      <c r="J39" s="2318"/>
      <c r="K39" s="1279"/>
      <c r="L39" s="2319" t="s">
        <v>2702</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f>ROUND(POWER(1+E41,H41-G41)*(POWER(1+E41,G41)-1)/(POWER(1+E41,H41)-1),4)</f>
        <v>0</v>
      </c>
      <c r="D41" s="176" t="s">
        <v>2709</v>
      </c>
      <c r="E41" s="2368">
        <f>G20</f>
        <v>5.3999999999999999E-2</v>
      </c>
      <c r="F41" s="176" t="s">
        <v>2718</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2759</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2760</v>
      </c>
      <c r="B46" s="2325">
        <f>1+E48</f>
        <v>1.0346</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2769</v>
      </c>
      <c r="B48" s="2331" t="str">
        <f>估价对象房地状况!C4</f>
        <v>估价对象位于XX商圈，周边商业氛围成熟，人流量大，商业繁华度好</v>
      </c>
      <c r="C48" s="2233" t="s">
        <v>3100</v>
      </c>
      <c r="D48" s="1195">
        <f t="shared" ref="D48:D56" si="10">SUMIF($J$47:$N$47,C48,J48:N48)</f>
        <v>1.2200000000000001E-2</v>
      </c>
      <c r="E48" s="760">
        <f>ROUND(SUM(D48:D56),4)</f>
        <v>3.4599999999999999E-2</v>
      </c>
      <c r="F48" s="1999">
        <f>IF(E2="商业",SUMIF(L1:L12,G2,N1:N12),"——")</f>
        <v>7.3999999999999996E-2</v>
      </c>
      <c r="G48" s="1193">
        <f>H48</f>
        <v>1.2200000000000001E-2</v>
      </c>
      <c r="H48" s="1197">
        <f t="shared" ref="H48:H56" si="11">IFERROR(ROUNDDOWN($F$48*I48/2,4),"——")</f>
        <v>1.2200000000000001E-2</v>
      </c>
      <c r="I48" s="759">
        <v>0.33</v>
      </c>
      <c r="J48" s="1194">
        <f t="shared" ref="J48:J56" si="12">K48+$G48</f>
        <v>2.4400000000000002E-2</v>
      </c>
      <c r="K48" s="1194">
        <f t="shared" ref="K48:K56" si="13">$L48+$G48</f>
        <v>1.2200000000000001E-2</v>
      </c>
      <c r="L48" s="1194">
        <v>0</v>
      </c>
      <c r="M48" s="1194">
        <f t="shared" ref="M48:N56" si="14">L48-$G48</f>
        <v>-1.2200000000000001E-2</v>
      </c>
      <c r="N48" s="1194">
        <f t="shared" si="14"/>
        <v>-2.4400000000000002E-2</v>
      </c>
      <c r="AA48" s="1280"/>
      <c r="AB48" s="1280"/>
      <c r="AC48" s="1280"/>
      <c r="AD48" s="1280"/>
      <c r="AE48" s="1280"/>
      <c r="AF48" s="1280"/>
      <c r="AG48" s="1280"/>
      <c r="AH48" s="1280"/>
      <c r="AI48" s="1280"/>
      <c r="AJ48" s="1280"/>
      <c r="AK48" s="1280"/>
    </row>
    <row r="49" spans="1:37" s="1279" customFormat="1" ht="51">
      <c r="A49" s="2328" t="s">
        <v>2770</v>
      </c>
      <c r="B49" s="2332" t="str">
        <f>估价对象房地状况!C18</f>
        <v>估价对象周边道路状况、公共交通通达情况、停车便捷程度，综合评价交通便捷度较好</v>
      </c>
      <c r="C49" s="2233" t="s">
        <v>3100</v>
      </c>
      <c r="D49" s="1195">
        <f t="shared" si="10"/>
        <v>9.1999999999999998E-3</v>
      </c>
      <c r="E49" s="761"/>
      <c r="F49" s="1999"/>
      <c r="G49" s="1193">
        <f t="shared" ref="G49:G56" si="15">H49</f>
        <v>9.1999999999999998E-3</v>
      </c>
      <c r="H49" s="1197">
        <f t="shared" si="11"/>
        <v>9.1999999999999998E-3</v>
      </c>
      <c r="I49" s="759">
        <v>0.25</v>
      </c>
      <c r="J49" s="1194">
        <f t="shared" si="12"/>
        <v>1.84E-2</v>
      </c>
      <c r="K49" s="1194">
        <f t="shared" si="13"/>
        <v>9.1999999999999998E-3</v>
      </c>
      <c r="L49" s="1194">
        <v>0</v>
      </c>
      <c r="M49" s="1194">
        <f t="shared" si="14"/>
        <v>-9.1999999999999998E-3</v>
      </c>
      <c r="N49" s="1194">
        <f t="shared" si="14"/>
        <v>-1.84E-2</v>
      </c>
      <c r="AA49" s="1280"/>
      <c r="AB49" s="1280"/>
      <c r="AC49" s="1280"/>
      <c r="AD49" s="1280"/>
      <c r="AE49" s="1280"/>
      <c r="AF49" s="1280"/>
      <c r="AG49" s="1280"/>
      <c r="AH49" s="1280"/>
      <c r="AI49" s="1280"/>
      <c r="AJ49" s="1280"/>
      <c r="AK49" s="1280"/>
    </row>
    <row r="50" spans="1:37" s="1279" customFormat="1" ht="24">
      <c r="A50" s="2328" t="s">
        <v>2771</v>
      </c>
      <c r="B50" s="2332">
        <f>估价对象房地状况!C19</f>
        <v>0</v>
      </c>
      <c r="C50" s="2233" t="s">
        <v>3100</v>
      </c>
      <c r="D50" s="1195">
        <f t="shared" si="10"/>
        <v>1.8E-3</v>
      </c>
      <c r="E50" s="761"/>
      <c r="F50" s="1999"/>
      <c r="G50" s="1193">
        <f t="shared" si="15"/>
        <v>1.8E-3</v>
      </c>
      <c r="H50" s="1197">
        <f t="shared" si="11"/>
        <v>1.8E-3</v>
      </c>
      <c r="I50" s="759">
        <v>0.05</v>
      </c>
      <c r="J50" s="1194">
        <f t="shared" si="12"/>
        <v>3.5999999999999999E-3</v>
      </c>
      <c r="K50" s="1194">
        <f t="shared" si="13"/>
        <v>1.8E-3</v>
      </c>
      <c r="L50" s="1194">
        <v>0</v>
      </c>
      <c r="M50" s="1194">
        <f t="shared" si="14"/>
        <v>-1.8E-3</v>
      </c>
      <c r="N50" s="1194">
        <f t="shared" si="14"/>
        <v>-3.5999999999999999E-3</v>
      </c>
      <c r="AA50" s="1280"/>
      <c r="AB50" s="1280"/>
      <c r="AC50" s="1280"/>
      <c r="AD50" s="1280"/>
      <c r="AE50" s="1280"/>
      <c r="AF50" s="1280"/>
      <c r="AG50" s="1280"/>
      <c r="AH50" s="1280"/>
      <c r="AI50" s="1280"/>
      <c r="AJ50" s="1280"/>
      <c r="AK50" s="1280"/>
    </row>
    <row r="51" spans="1:37" s="1279" customFormat="1" ht="36.75">
      <c r="A51" s="2328" t="s">
        <v>2772</v>
      </c>
      <c r="B51" s="2333" t="s">
        <v>2773</v>
      </c>
      <c r="C51" s="2233" t="s">
        <v>3100</v>
      </c>
      <c r="D51" s="1195">
        <f t="shared" si="10"/>
        <v>1.8E-3</v>
      </c>
      <c r="E51" s="761"/>
      <c r="F51" s="1999"/>
      <c r="G51" s="1193">
        <f t="shared" si="15"/>
        <v>1.8E-3</v>
      </c>
      <c r="H51" s="1197">
        <f t="shared" si="11"/>
        <v>1.8E-3</v>
      </c>
      <c r="I51" s="759">
        <v>0.05</v>
      </c>
      <c r="J51" s="1194">
        <f t="shared" si="12"/>
        <v>3.5999999999999999E-3</v>
      </c>
      <c r="K51" s="1194">
        <f t="shared" si="13"/>
        <v>1.8E-3</v>
      </c>
      <c r="L51" s="1194">
        <v>0</v>
      </c>
      <c r="M51" s="1194">
        <f t="shared" si="14"/>
        <v>-1.8E-3</v>
      </c>
      <c r="N51" s="1194">
        <f t="shared" si="14"/>
        <v>-3.5999999999999999E-3</v>
      </c>
      <c r="AA51" s="1280"/>
      <c r="AB51" s="1280"/>
      <c r="AC51" s="1280"/>
      <c r="AD51" s="1280"/>
      <c r="AE51" s="1280"/>
      <c r="AF51" s="1280"/>
      <c r="AG51" s="1280"/>
      <c r="AH51" s="1280"/>
      <c r="AI51" s="1280"/>
      <c r="AJ51" s="1280"/>
      <c r="AK51" s="1280"/>
    </row>
    <row r="52" spans="1:37" s="1279" customFormat="1" ht="24">
      <c r="A52" s="2328" t="s">
        <v>2774</v>
      </c>
      <c r="B52" s="2332">
        <f>估价对象房地状况!C24</f>
        <v>0</v>
      </c>
      <c r="C52" s="2233" t="s">
        <v>3101</v>
      </c>
      <c r="D52" s="1195">
        <f t="shared" si="10"/>
        <v>-2.8999999999999998E-3</v>
      </c>
      <c r="E52" s="761"/>
      <c r="F52" s="1999"/>
      <c r="G52" s="1193">
        <f t="shared" si="15"/>
        <v>2.8999999999999998E-3</v>
      </c>
      <c r="H52" s="1197">
        <f t="shared" si="11"/>
        <v>2.8999999999999998E-3</v>
      </c>
      <c r="I52" s="759">
        <v>0.08</v>
      </c>
      <c r="J52" s="1194">
        <f t="shared" si="12"/>
        <v>5.7999999999999996E-3</v>
      </c>
      <c r="K52" s="1194">
        <f t="shared" si="13"/>
        <v>2.8999999999999998E-3</v>
      </c>
      <c r="L52" s="1194">
        <v>0</v>
      </c>
      <c r="M52" s="1194">
        <f t="shared" si="14"/>
        <v>-2.8999999999999998E-3</v>
      </c>
      <c r="N52" s="1194">
        <f t="shared" si="14"/>
        <v>-5.7999999999999996E-3</v>
      </c>
      <c r="AA52" s="1280"/>
      <c r="AB52" s="1280"/>
      <c r="AC52" s="1280"/>
      <c r="AD52" s="1280"/>
      <c r="AE52" s="1280"/>
      <c r="AF52" s="1280"/>
      <c r="AG52" s="1280"/>
      <c r="AH52" s="1280"/>
      <c r="AI52" s="1280"/>
      <c r="AJ52" s="1280"/>
      <c r="AK52" s="1280"/>
    </row>
    <row r="53" spans="1:37" s="1279" customFormat="1" ht="24">
      <c r="A53" s="2328" t="s">
        <v>2775</v>
      </c>
      <c r="B53" s="2334" t="s">
        <v>2776</v>
      </c>
      <c r="C53" s="2233" t="s">
        <v>3100</v>
      </c>
      <c r="D53" s="1195">
        <f t="shared" si="10"/>
        <v>1.1000000000000001E-3</v>
      </c>
      <c r="E53" s="761"/>
      <c r="F53" s="1999"/>
      <c r="G53" s="1193">
        <f t="shared" si="15"/>
        <v>1.1000000000000001E-3</v>
      </c>
      <c r="H53" s="1197">
        <f t="shared" si="11"/>
        <v>1.1000000000000001E-3</v>
      </c>
      <c r="I53" s="759">
        <v>0.03</v>
      </c>
      <c r="J53" s="1194">
        <f t="shared" si="12"/>
        <v>2.2000000000000001E-3</v>
      </c>
      <c r="K53" s="1194">
        <f t="shared" si="13"/>
        <v>1.1000000000000001E-3</v>
      </c>
      <c r="L53" s="1194">
        <v>0</v>
      </c>
      <c r="M53" s="1194">
        <f t="shared" si="14"/>
        <v>-1.1000000000000001E-3</v>
      </c>
      <c r="N53" s="1194">
        <f t="shared" si="14"/>
        <v>-2.2000000000000001E-3</v>
      </c>
      <c r="AA53" s="1280"/>
      <c r="AB53" s="1280"/>
      <c r="AC53" s="1280"/>
      <c r="AD53" s="1280"/>
      <c r="AE53" s="1280"/>
      <c r="AF53" s="1280"/>
      <c r="AG53" s="1280"/>
      <c r="AH53" s="1280"/>
      <c r="AI53" s="1280"/>
      <c r="AJ53" s="1280"/>
      <c r="AK53" s="1280"/>
    </row>
    <row r="54" spans="1:37" s="1279" customFormat="1" ht="25.5">
      <c r="A54" s="2335" t="s">
        <v>2777</v>
      </c>
      <c r="B54" s="1493" t="str">
        <f>估价对象房地状况!C21</f>
        <v>估价对象所在区域公共配套设施齐备情况</v>
      </c>
      <c r="C54" s="2233" t="s">
        <v>3100</v>
      </c>
      <c r="D54" s="1195">
        <f t="shared" si="10"/>
        <v>1.8E-3</v>
      </c>
      <c r="E54" s="761"/>
      <c r="F54" s="1999"/>
      <c r="G54" s="1193">
        <f t="shared" si="15"/>
        <v>1.8E-3</v>
      </c>
      <c r="H54" s="1197">
        <f t="shared" si="11"/>
        <v>1.8E-3</v>
      </c>
      <c r="I54" s="759">
        <v>0.05</v>
      </c>
      <c r="J54" s="1194">
        <f t="shared" si="12"/>
        <v>3.5999999999999999E-3</v>
      </c>
      <c r="K54" s="1194">
        <f t="shared" si="13"/>
        <v>1.8E-3</v>
      </c>
      <c r="L54" s="1194">
        <v>0</v>
      </c>
      <c r="M54" s="1194">
        <f t="shared" si="14"/>
        <v>-1.8E-3</v>
      </c>
      <c r="N54" s="1194">
        <f t="shared" si="14"/>
        <v>-3.5999999999999999E-3</v>
      </c>
      <c r="AA54" s="1280"/>
      <c r="AB54" s="1280"/>
      <c r="AC54" s="1280"/>
      <c r="AD54" s="1280"/>
      <c r="AE54" s="1280"/>
      <c r="AF54" s="1280"/>
      <c r="AG54" s="1280"/>
      <c r="AH54" s="1280"/>
      <c r="AI54" s="1280"/>
      <c r="AJ54" s="1280"/>
      <c r="AK54" s="1280"/>
    </row>
    <row r="55" spans="1:37" s="1279" customFormat="1" ht="25.5">
      <c r="A55" s="2335" t="s">
        <v>2778</v>
      </c>
      <c r="B55" s="2332" t="str">
        <f>估价对象房地状况!C22</f>
        <v>估价对象所在区域基础设施水平</v>
      </c>
      <c r="C55" s="2233" t="s">
        <v>3102</v>
      </c>
      <c r="D55" s="1195">
        <f t="shared" si="10"/>
        <v>7.4000000000000003E-3</v>
      </c>
      <c r="E55" s="761"/>
      <c r="F55" s="1999"/>
      <c r="G55" s="1193">
        <f t="shared" si="15"/>
        <v>3.7000000000000002E-3</v>
      </c>
      <c r="H55" s="1197">
        <f t="shared" si="11"/>
        <v>3.7000000000000002E-3</v>
      </c>
      <c r="I55" s="759">
        <v>0.1</v>
      </c>
      <c r="J55" s="1194">
        <f t="shared" si="12"/>
        <v>7.4000000000000003E-3</v>
      </c>
      <c r="K55" s="1194">
        <f t="shared" si="13"/>
        <v>3.7000000000000002E-3</v>
      </c>
      <c r="L55" s="1194">
        <v>0</v>
      </c>
      <c r="M55" s="1194">
        <f t="shared" si="14"/>
        <v>-3.7000000000000002E-3</v>
      </c>
      <c r="N55" s="1194">
        <f t="shared" si="14"/>
        <v>-7.4000000000000003E-3</v>
      </c>
      <c r="AA55" s="1280"/>
      <c r="AB55" s="1280"/>
      <c r="AC55" s="1280"/>
      <c r="AD55" s="1280"/>
      <c r="AE55" s="1280"/>
      <c r="AF55" s="1280"/>
      <c r="AG55" s="1280"/>
      <c r="AH55" s="1280"/>
      <c r="AI55" s="1280"/>
      <c r="AJ55" s="1280"/>
      <c r="AK55" s="1280"/>
    </row>
    <row r="56" spans="1:37" s="1279" customFormat="1" ht="39" thickBot="1">
      <c r="A56" s="2336" t="s">
        <v>2779</v>
      </c>
      <c r="B56" s="2337" t="str">
        <f>估价对象房地状况!C20</f>
        <v>区域自然环境：；人文环境；综合评价环境状况一般</v>
      </c>
      <c r="C56" s="2233" t="s">
        <v>3100</v>
      </c>
      <c r="D56" s="1195">
        <f t="shared" si="10"/>
        <v>2.2000000000000001E-3</v>
      </c>
      <c r="E56" s="764"/>
      <c r="F56" s="1999"/>
      <c r="G56" s="1193">
        <f t="shared" si="15"/>
        <v>2.2000000000000001E-3</v>
      </c>
      <c r="H56" s="1197">
        <f t="shared" si="11"/>
        <v>2.2000000000000001E-3</v>
      </c>
      <c r="I56" s="763">
        <v>0.06</v>
      </c>
      <c r="J56" s="1194">
        <f t="shared" si="12"/>
        <v>4.4000000000000003E-3</v>
      </c>
      <c r="K56" s="1194">
        <f t="shared" si="13"/>
        <v>2.2000000000000001E-3</v>
      </c>
      <c r="L56" s="1194">
        <v>0</v>
      </c>
      <c r="M56" s="1194">
        <f t="shared" si="14"/>
        <v>-2.2000000000000001E-3</v>
      </c>
      <c r="N56" s="1194">
        <f t="shared" si="14"/>
        <v>-4.4000000000000003E-3</v>
      </c>
      <c r="AA56" s="1280"/>
      <c r="AB56" s="1280"/>
      <c r="AC56" s="1280"/>
      <c r="AD56" s="1280"/>
      <c r="AE56" s="1280"/>
      <c r="AF56" s="1280"/>
      <c r="AG56" s="1280"/>
      <c r="AH56" s="1280"/>
      <c r="AI56" s="1280"/>
      <c r="AJ56" s="1280"/>
      <c r="AK56" s="1280"/>
    </row>
    <row r="57" spans="1:37" s="1279" customFormat="1" ht="15">
      <c r="A57" s="2324" t="s">
        <v>2780</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2782</v>
      </c>
      <c r="B59" s="2331" t="str">
        <f>估价对象房地状况!C17</f>
        <v>估价对象位于XX商圈，周边办公楼项目较多，入驻率高，办公集聚程度较好</v>
      </c>
      <c r="C59" s="2233"/>
      <c r="D59" s="1195">
        <f t="shared" ref="D59:D67" si="16">SUMIF($J$58:$N$58,C59,J59:N59)</f>
        <v>0</v>
      </c>
      <c r="E59" s="760">
        <f>ROUND(SUM(D59:D67),4)</f>
        <v>0</v>
      </c>
      <c r="F59" s="1999" t="str">
        <f>IF(E2="办公",SUMIF(L1:L12,G2,N1:N12),"——")</f>
        <v>——</v>
      </c>
      <c r="G59" s="1193"/>
      <c r="H59" s="1197" t="str">
        <f t="shared" ref="H59:H67" si="17">IFERROR(ROUNDDOWN($F$59*I59/2,4),"——")</f>
        <v>——</v>
      </c>
      <c r="I59" s="759">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8" t="s">
        <v>2770</v>
      </c>
      <c r="B60" s="2332" t="str">
        <f>估价对象房地状况!C18</f>
        <v>估价对象周边道路状况、公共交通通达情况、停车便捷程度，综合评价交通便捷度较好</v>
      </c>
      <c r="C60" s="2233"/>
      <c r="D60" s="1195">
        <f t="shared" si="16"/>
        <v>0</v>
      </c>
      <c r="E60" s="761"/>
      <c r="F60" s="1999"/>
      <c r="G60" s="1193"/>
      <c r="H60" s="1197" t="str">
        <f t="shared" si="17"/>
        <v>——</v>
      </c>
      <c r="I60" s="759">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8" t="s">
        <v>2771</v>
      </c>
      <c r="B61" s="2332">
        <f>估价对象房地状况!C19</f>
        <v>0</v>
      </c>
      <c r="C61" s="2233"/>
      <c r="D61" s="1195">
        <f t="shared" si="16"/>
        <v>0</v>
      </c>
      <c r="E61" s="761"/>
      <c r="F61" s="1999"/>
      <c r="G61" s="1193"/>
      <c r="H61" s="1197" t="str">
        <f t="shared" si="17"/>
        <v>——</v>
      </c>
      <c r="I61" s="759">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8" t="s">
        <v>2772</v>
      </c>
      <c r="B62" s="2333" t="s">
        <v>2773</v>
      </c>
      <c r="C62" s="2233"/>
      <c r="D62" s="1195">
        <f t="shared" si="16"/>
        <v>0</v>
      </c>
      <c r="E62" s="761"/>
      <c r="F62" s="1999"/>
      <c r="G62" s="1193"/>
      <c r="H62" s="1197" t="str">
        <f t="shared" si="17"/>
        <v>——</v>
      </c>
      <c r="I62" s="759">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8" t="s">
        <v>2774</v>
      </c>
      <c r="B63" s="2332">
        <f>估价对象房地状况!C24</f>
        <v>0</v>
      </c>
      <c r="C63" s="2233"/>
      <c r="D63" s="1195">
        <f t="shared" si="16"/>
        <v>0</v>
      </c>
      <c r="E63" s="761"/>
      <c r="F63" s="1999"/>
      <c r="G63" s="1193"/>
      <c r="H63" s="1197" t="str">
        <f t="shared" si="17"/>
        <v>——</v>
      </c>
      <c r="I63" s="759">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8" t="s">
        <v>2775</v>
      </c>
      <c r="B64" s="2334" t="s">
        <v>2776</v>
      </c>
      <c r="C64" s="2233"/>
      <c r="D64" s="1195">
        <f t="shared" si="16"/>
        <v>0</v>
      </c>
      <c r="E64" s="761"/>
      <c r="F64" s="1999"/>
      <c r="G64" s="1193"/>
      <c r="H64" s="1197" t="str">
        <f t="shared" si="17"/>
        <v>——</v>
      </c>
      <c r="I64" s="759">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8" t="s">
        <v>2777</v>
      </c>
      <c r="B65" s="1493" t="str">
        <f>估价对象房地状况!C21</f>
        <v>估价对象所在区域公共配套设施齐备情况</v>
      </c>
      <c r="C65" s="2233"/>
      <c r="D65" s="1195">
        <f t="shared" si="16"/>
        <v>0</v>
      </c>
      <c r="E65" s="761"/>
      <c r="F65" s="1999"/>
      <c r="G65" s="1193"/>
      <c r="H65" s="1197" t="str">
        <f t="shared" si="17"/>
        <v>——</v>
      </c>
      <c r="I65" s="759">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8" t="s">
        <v>2778</v>
      </c>
      <c r="B66" s="1493" t="str">
        <f>估价对象房地状况!C22</f>
        <v>估价对象所在区域基础设施水平</v>
      </c>
      <c r="C66" s="2233"/>
      <c r="D66" s="1195">
        <f t="shared" si="16"/>
        <v>0</v>
      </c>
      <c r="E66" s="761"/>
      <c r="F66" s="1999"/>
      <c r="G66" s="1193"/>
      <c r="H66" s="1197" t="str">
        <f t="shared" si="17"/>
        <v>——</v>
      </c>
      <c r="I66" s="759">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6" t="s">
        <v>2779</v>
      </c>
      <c r="B67" s="2338" t="str">
        <f>估价对象房地状况!C20</f>
        <v>区域自然环境：；人文环境；综合评价环境状况一般</v>
      </c>
      <c r="C67" s="2233"/>
      <c r="D67" s="1195">
        <f t="shared" si="16"/>
        <v>0</v>
      </c>
      <c r="E67" s="764"/>
      <c r="F67" s="1999"/>
      <c r="G67" s="1193"/>
      <c r="H67" s="1197" t="str">
        <f t="shared" si="17"/>
        <v>——</v>
      </c>
      <c r="I67" s="763">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4" t="s">
        <v>2783</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2784</v>
      </c>
      <c r="B70" s="2331" t="str">
        <f>估价对象房地状况!C15</f>
        <v>估价对象周边居住用地比例、居住小区规模和社区发展完善程度，综合评价居住社区成熟度一般</v>
      </c>
      <c r="C70" s="2233"/>
      <c r="D70" s="1195">
        <f t="shared" ref="D70:D78" si="21">SUMIF($J$69:$N$69,C70,J70:N70)</f>
        <v>0</v>
      </c>
      <c r="E70" s="760">
        <f>ROUND(SUM(D70:D78),4)</f>
        <v>0</v>
      </c>
      <c r="F70" s="1999" t="str">
        <f>IF(E2="住宅",SUMIF(L1:L12,G2,N1:N12),"——")</f>
        <v>——</v>
      </c>
      <c r="G70" s="1193"/>
      <c r="H70" s="1197" t="str">
        <f t="shared" ref="H70:H78" si="22">IFERROR(ROUNDDOWN($F$70*I70/2,4),"——")</f>
        <v>——</v>
      </c>
      <c r="I70" s="759">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8" t="s">
        <v>2770</v>
      </c>
      <c r="B71" s="2332" t="str">
        <f>估价对象房地状况!C18</f>
        <v>估价对象周边道路状况、公共交通通达情况、停车便捷程度，综合评价交通便捷度较好</v>
      </c>
      <c r="C71" s="2233"/>
      <c r="D71" s="1195">
        <f t="shared" si="21"/>
        <v>0</v>
      </c>
      <c r="E71" s="765"/>
      <c r="F71" s="1999"/>
      <c r="G71" s="1193"/>
      <c r="H71" s="1197" t="str">
        <f t="shared" si="22"/>
        <v>——</v>
      </c>
      <c r="I71" s="759">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8" t="s">
        <v>2771</v>
      </c>
      <c r="B72" s="2332">
        <f>估价对象房地状况!C19</f>
        <v>0</v>
      </c>
      <c r="C72" s="2233"/>
      <c r="D72" s="1195">
        <f t="shared" si="21"/>
        <v>0</v>
      </c>
      <c r="E72" s="765"/>
      <c r="F72" s="1999"/>
      <c r="G72" s="1193"/>
      <c r="H72" s="1197" t="str">
        <f t="shared" si="22"/>
        <v>——</v>
      </c>
      <c r="I72" s="759">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8" t="s">
        <v>2785</v>
      </c>
      <c r="B73" s="2332">
        <f>估价对象房地状况!C24</f>
        <v>0</v>
      </c>
      <c r="C73" s="2233"/>
      <c r="D73" s="1195">
        <f t="shared" si="21"/>
        <v>0</v>
      </c>
      <c r="E73" s="765"/>
      <c r="F73" s="1999"/>
      <c r="G73" s="1193"/>
      <c r="H73" s="1197" t="str">
        <f t="shared" si="22"/>
        <v>——</v>
      </c>
      <c r="I73" s="759">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8" t="s">
        <v>2777</v>
      </c>
      <c r="B74" s="1493" t="str">
        <f>估价对象房地状况!C21</f>
        <v>估价对象所在区域公共配套设施齐备情况</v>
      </c>
      <c r="C74" s="2233"/>
      <c r="D74" s="1195">
        <f t="shared" si="21"/>
        <v>0</v>
      </c>
      <c r="E74" s="765"/>
      <c r="F74" s="1999"/>
      <c r="G74" s="1193"/>
      <c r="H74" s="1197" t="str">
        <f t="shared" si="22"/>
        <v>——</v>
      </c>
      <c r="I74" s="759">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8" t="s">
        <v>2778</v>
      </c>
      <c r="B75" s="1493" t="str">
        <f>估价对象房地状况!C22</f>
        <v>估价对象所在区域基础设施水平</v>
      </c>
      <c r="C75" s="2233"/>
      <c r="D75" s="1195">
        <f t="shared" si="21"/>
        <v>0</v>
      </c>
      <c r="E75" s="765"/>
      <c r="F75" s="1999"/>
      <c r="G75" s="1193"/>
      <c r="H75" s="1197" t="str">
        <f t="shared" si="22"/>
        <v>——</v>
      </c>
      <c r="I75" s="759">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2" customFormat="1" ht="24">
      <c r="A76" s="2328" t="s">
        <v>2775</v>
      </c>
      <c r="B76" s="2334" t="s">
        <v>2776</v>
      </c>
      <c r="C76" s="2233"/>
      <c r="D76" s="1195">
        <f t="shared" si="21"/>
        <v>0</v>
      </c>
      <c r="E76" s="765"/>
      <c r="F76" s="1999"/>
      <c r="G76" s="1193"/>
      <c r="H76" s="1197" t="str">
        <f t="shared" si="22"/>
        <v>——</v>
      </c>
      <c r="I76" s="759">
        <v>0.05</v>
      </c>
      <c r="J76" s="1194">
        <f t="shared" si="23"/>
        <v>0</v>
      </c>
      <c r="K76" s="1194">
        <f t="shared" si="24"/>
        <v>0</v>
      </c>
      <c r="L76" s="1194">
        <v>0</v>
      </c>
      <c r="M76" s="1194">
        <f t="shared" si="25"/>
        <v>0</v>
      </c>
      <c r="N76" s="1194">
        <f t="shared" si="25"/>
        <v>0</v>
      </c>
      <c r="AA76" s="2339"/>
      <c r="AB76" s="1280"/>
      <c r="AC76" s="1280"/>
      <c r="AD76" s="1280"/>
      <c r="AE76" s="1280"/>
      <c r="AF76" s="1280"/>
      <c r="AG76" s="1280"/>
      <c r="AH76" s="2339"/>
      <c r="AI76" s="2339"/>
      <c r="AJ76" s="2339"/>
      <c r="AK76" s="2339"/>
    </row>
    <row r="77" spans="1:37" ht="38.25">
      <c r="A77" s="2328" t="s">
        <v>2779</v>
      </c>
      <c r="B77" s="2331" t="str">
        <f>估价对象房地状况!C20</f>
        <v>区域自然环境：；人文环境；综合评价环境状况一般</v>
      </c>
      <c r="C77" s="2233"/>
      <c r="D77" s="1195">
        <f t="shared" si="21"/>
        <v>0</v>
      </c>
      <c r="E77" s="765"/>
      <c r="F77" s="1999"/>
      <c r="G77" s="1193"/>
      <c r="H77" s="1197" t="str">
        <f t="shared" si="22"/>
        <v>——</v>
      </c>
      <c r="I77" s="759">
        <v>0.15</v>
      </c>
      <c r="J77" s="1194">
        <f t="shared" si="23"/>
        <v>0</v>
      </c>
      <c r="K77" s="1194">
        <f t="shared" si="24"/>
        <v>0</v>
      </c>
      <c r="L77" s="1194">
        <v>0</v>
      </c>
      <c r="M77" s="1194">
        <f t="shared" si="25"/>
        <v>0</v>
      </c>
      <c r="N77" s="1194">
        <f t="shared" si="25"/>
        <v>0</v>
      </c>
      <c r="Z77" s="2183"/>
      <c r="AA77" s="2249"/>
      <c r="AG77" s="1281"/>
      <c r="AK77" s="2249"/>
    </row>
    <row r="78" spans="1:37" ht="24.75" thickBot="1">
      <c r="A78" s="2336" t="s">
        <v>2786</v>
      </c>
      <c r="B78" s="2340"/>
      <c r="C78" s="2233"/>
      <c r="D78" s="1195">
        <f t="shared" si="21"/>
        <v>0</v>
      </c>
      <c r="E78" s="766"/>
      <c r="F78" s="1999"/>
      <c r="G78" s="1193"/>
      <c r="H78" s="1197" t="str">
        <f t="shared" si="22"/>
        <v>——</v>
      </c>
      <c r="I78" s="763">
        <v>0.04</v>
      </c>
      <c r="J78" s="1194">
        <f t="shared" si="23"/>
        <v>0</v>
      </c>
      <c r="K78" s="1194">
        <f t="shared" si="24"/>
        <v>0</v>
      </c>
      <c r="L78" s="1194">
        <v>0</v>
      </c>
      <c r="M78" s="1194">
        <f t="shared" si="25"/>
        <v>0</v>
      </c>
      <c r="N78" s="1194">
        <f t="shared" si="25"/>
        <v>0</v>
      </c>
      <c r="Z78" s="2183"/>
      <c r="AA78" s="2249"/>
      <c r="AG78" s="1281"/>
      <c r="AK78" s="2249"/>
    </row>
    <row r="79" spans="1:37" ht="15">
      <c r="A79" s="2324" t="s">
        <v>2787</v>
      </c>
      <c r="B79" s="2325">
        <f>1+E81</f>
        <v>1</v>
      </c>
      <c r="C79" s="753"/>
      <c r="D79" s="753"/>
      <c r="E79" s="754"/>
      <c r="F79" s="2327"/>
      <c r="G79" s="6"/>
      <c r="H79" s="6"/>
      <c r="I79" s="6"/>
      <c r="J79" s="7"/>
      <c r="K79" s="7"/>
      <c r="L79" s="7"/>
      <c r="M79" s="7"/>
      <c r="N79" s="7"/>
      <c r="Z79" s="2183"/>
      <c r="AA79" s="2249"/>
      <c r="AG79" s="1281"/>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1"/>
      <c r="AK80" s="2249"/>
    </row>
    <row r="81" spans="1:37" ht="38.25">
      <c r="A81" s="2328" t="s">
        <v>2788</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2770</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2771</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2785</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2777</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2778</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2775</v>
      </c>
      <c r="B87" s="2334" t="s">
        <v>2789</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2790</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266" t="s">
        <v>2791</v>
      </c>
      <c r="B90" s="3266"/>
      <c r="C90" s="3266"/>
      <c r="D90" s="3266"/>
      <c r="E90" s="3266"/>
      <c r="F90" s="3266"/>
      <c r="G90" s="3266"/>
      <c r="H90" s="3266"/>
      <c r="I90" s="3266"/>
      <c r="J90" s="3266"/>
      <c r="K90" s="2342"/>
      <c r="L90" s="2342"/>
      <c r="M90" s="2342"/>
      <c r="N90" s="2342"/>
    </row>
    <row r="91" spans="1:37">
      <c r="A91" s="3268" t="s">
        <v>2792</v>
      </c>
      <c r="B91" s="3268" t="s">
        <v>2793</v>
      </c>
      <c r="C91" s="2296" t="s">
        <v>2794</v>
      </c>
      <c r="D91" s="2297"/>
      <c r="E91" s="2297"/>
      <c r="F91" s="2297"/>
      <c r="G91" s="2297"/>
      <c r="H91" s="2297"/>
      <c r="I91" s="2297"/>
      <c r="J91" s="2343"/>
      <c r="K91" s="2344"/>
      <c r="L91" s="2344"/>
      <c r="M91" s="2344"/>
      <c r="N91" s="2344"/>
    </row>
    <row r="92" spans="1:37">
      <c r="A92" s="3268"/>
      <c r="B92" s="326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69"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7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7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7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7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7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70"/>
      <c r="B99" s="2345" t="s">
        <v>2677</v>
      </c>
      <c r="C99" s="2347">
        <f>$I$3</f>
        <v>2</v>
      </c>
      <c r="D99" s="2347">
        <f t="shared" ref="D99:M99" si="31">$I$3</f>
        <v>2</v>
      </c>
      <c r="E99" s="2347">
        <f t="shared" si="31"/>
        <v>2</v>
      </c>
      <c r="F99" s="2347">
        <f t="shared" si="31"/>
        <v>2</v>
      </c>
      <c r="G99" s="2347">
        <f t="shared" si="31"/>
        <v>2</v>
      </c>
      <c r="H99" s="2347">
        <f t="shared" si="31"/>
        <v>2</v>
      </c>
      <c r="I99" s="2347">
        <f t="shared" si="31"/>
        <v>2</v>
      </c>
      <c r="J99" s="2347">
        <f t="shared" si="31"/>
        <v>2</v>
      </c>
      <c r="K99" s="2347">
        <f t="shared" si="31"/>
        <v>2</v>
      </c>
      <c r="L99" s="2347">
        <f t="shared" si="31"/>
        <v>2</v>
      </c>
      <c r="M99" s="2347">
        <f t="shared" si="31"/>
        <v>2</v>
      </c>
      <c r="N99" s="2347">
        <f>$I$3</f>
        <v>2</v>
      </c>
    </row>
    <row r="100" spans="1:14">
      <c r="A100" s="3271"/>
      <c r="B100" s="2345">
        <v>7</v>
      </c>
      <c r="C100" s="2348">
        <f>(-0.163*(C99^2)-0.59*C99+7617)*(10^(-4))</f>
        <v>0.76151679999999999</v>
      </c>
      <c r="D100" s="2348">
        <f>(-0.163*(D99^2)-0.59*D99+7617)*(10^(-4))</f>
        <v>0.76151679999999999</v>
      </c>
      <c r="E100" s="2348">
        <f>(-0.161*(E99^2)-7.509*E99+6533)*(10^(-4))</f>
        <v>0.65173380000000003</v>
      </c>
      <c r="F100" s="2348">
        <f>(-0.161*(F99^2)-7.509*F99+6533)*(10^(-4))</f>
        <v>0.65173380000000003</v>
      </c>
      <c r="G100" s="2348">
        <f>(-0.161*(G99^2)-7.509*G99+6533)*(10^(-4))</f>
        <v>0.65173380000000003</v>
      </c>
      <c r="H100" s="2348">
        <f>(-0.161*(H99^2)-7.509*H99+6533)*(10^(-4))</f>
        <v>0.65173380000000003</v>
      </c>
      <c r="I100" s="2348">
        <f>(-0.161*(I99^2)-7.509*I99+6533)*(10^(-4))</f>
        <v>0.65173380000000003</v>
      </c>
      <c r="J100" s="2348">
        <f>(-0.214*(J99^2)-21.991*J99+4665)*(10^(-4))</f>
        <v>0.46201620000000004</v>
      </c>
      <c r="K100" s="2348">
        <f>(-0.214*(K99^2)-21.991*K99+4665)*(10^(-4))</f>
        <v>0.46201620000000004</v>
      </c>
      <c r="L100" s="2348">
        <f>(-0.214*(L99^2)-21.991*L99+4665)*(10^(-4))</f>
        <v>0.46201620000000004</v>
      </c>
      <c r="M100" s="2348">
        <f>(-0.214*(M99^2)-21.991*M99+4665)*(10^(-4))</f>
        <v>0.46201620000000004</v>
      </c>
      <c r="N100" s="2348">
        <f>(-0.214*(N99^2)-21.991*N99+4665)*(10^(-4))</f>
        <v>0.46201620000000004</v>
      </c>
    </row>
    <row r="101" spans="1:14">
      <c r="A101" s="3269" t="s">
        <v>2796</v>
      </c>
      <c r="B101" s="2349" t="s">
        <v>2797</v>
      </c>
      <c r="C101" s="2350">
        <f>$G$3</f>
        <v>3.5</v>
      </c>
      <c r="D101" s="2350">
        <f t="shared" ref="D101:N101" si="32">$G$3</f>
        <v>3.5</v>
      </c>
      <c r="E101" s="2350">
        <f t="shared" si="32"/>
        <v>3.5</v>
      </c>
      <c r="F101" s="2350">
        <f t="shared" si="32"/>
        <v>3.5</v>
      </c>
      <c r="G101" s="2350">
        <f t="shared" si="32"/>
        <v>3.5</v>
      </c>
      <c r="H101" s="2350">
        <f t="shared" si="32"/>
        <v>3.5</v>
      </c>
      <c r="I101" s="2350">
        <f t="shared" si="32"/>
        <v>3.5</v>
      </c>
      <c r="J101" s="2350">
        <f t="shared" si="32"/>
        <v>3.5</v>
      </c>
      <c r="K101" s="2350">
        <f t="shared" si="32"/>
        <v>3.5</v>
      </c>
      <c r="L101" s="2350">
        <f t="shared" si="32"/>
        <v>3.5</v>
      </c>
      <c r="M101" s="2350">
        <f t="shared" si="32"/>
        <v>3.5</v>
      </c>
      <c r="N101" s="2350">
        <f t="shared" si="32"/>
        <v>3.5</v>
      </c>
    </row>
    <row r="102" spans="1:14">
      <c r="A102" s="3270"/>
      <c r="B102" s="2345">
        <v>1</v>
      </c>
      <c r="C102" s="2346">
        <f>1.9362/C101</f>
        <v>0.55320000000000003</v>
      </c>
      <c r="D102" s="2346">
        <f>1.9362/D101</f>
        <v>0.55320000000000003</v>
      </c>
      <c r="E102" s="2346">
        <f>1.8629/E101</f>
        <v>0.53225714285714287</v>
      </c>
      <c r="F102" s="2346">
        <f>1.8629/F101</f>
        <v>0.53225714285714287</v>
      </c>
      <c r="G102" s="2346">
        <f>1.8629/G101</f>
        <v>0.53225714285714287</v>
      </c>
      <c r="H102" s="2346">
        <f>1.8629/H101</f>
        <v>0.53225714285714287</v>
      </c>
      <c r="I102" s="2346">
        <f>1.8629/I101</f>
        <v>0.53225714285714287</v>
      </c>
      <c r="J102" s="2346">
        <f>1.942/J101</f>
        <v>0.55485714285714283</v>
      </c>
      <c r="K102" s="2346">
        <f>1.942/K101</f>
        <v>0.55485714285714283</v>
      </c>
      <c r="L102" s="2346">
        <f>1.942/L101</f>
        <v>0.55485714285714283</v>
      </c>
      <c r="M102" s="2346">
        <f>1.942/M101</f>
        <v>0.55485714285714283</v>
      </c>
      <c r="N102" s="2346">
        <f>1.942/N101</f>
        <v>0.55485714285714283</v>
      </c>
    </row>
    <row r="103" spans="1:14">
      <c r="A103" s="3270"/>
      <c r="B103" s="2345">
        <v>2</v>
      </c>
      <c r="C103" s="2346">
        <f>1.4198/C101</f>
        <v>0.40565714285714283</v>
      </c>
      <c r="D103" s="2346">
        <f>1.4198/D101</f>
        <v>0.40565714285714283</v>
      </c>
      <c r="E103" s="2346">
        <f>1.3372/E101</f>
        <v>0.38205714285714282</v>
      </c>
      <c r="F103" s="2346">
        <f>1.3372/F101</f>
        <v>0.38205714285714282</v>
      </c>
      <c r="G103" s="2346">
        <f>1.3372/G101</f>
        <v>0.38205714285714282</v>
      </c>
      <c r="H103" s="2346">
        <f>1.3372/H101</f>
        <v>0.38205714285714282</v>
      </c>
      <c r="I103" s="2346">
        <f>1.3372/I101</f>
        <v>0.38205714285714282</v>
      </c>
      <c r="J103" s="2346">
        <f>1.2799/J101</f>
        <v>0.36568571428571428</v>
      </c>
      <c r="K103" s="2346">
        <f>1.2799/K101</f>
        <v>0.36568571428571428</v>
      </c>
      <c r="L103" s="2346">
        <f>1.2799/L101</f>
        <v>0.36568571428571428</v>
      </c>
      <c r="M103" s="2346">
        <f>1.2799/M101</f>
        <v>0.36568571428571428</v>
      </c>
      <c r="N103" s="2346">
        <f>1.2799/N101</f>
        <v>0.36568571428571428</v>
      </c>
    </row>
    <row r="104" spans="1:14">
      <c r="A104" s="3270"/>
      <c r="B104" s="2345">
        <v>3</v>
      </c>
      <c r="C104" s="2346">
        <f>1.1594/C101</f>
        <v>0.33125714285714286</v>
      </c>
      <c r="D104" s="2346">
        <f>1.1594/D101</f>
        <v>0.33125714285714286</v>
      </c>
      <c r="E104" s="2346">
        <f>1.0788/E101</f>
        <v>0.30822857142857141</v>
      </c>
      <c r="F104" s="2346">
        <f>1.0788/F101</f>
        <v>0.30822857142857141</v>
      </c>
      <c r="G104" s="2346">
        <f>1.0788/G101</f>
        <v>0.30822857142857141</v>
      </c>
      <c r="H104" s="2346">
        <f>1.0788/H101</f>
        <v>0.30822857142857141</v>
      </c>
      <c r="I104" s="2346">
        <f>1.0788/I101</f>
        <v>0.30822857142857141</v>
      </c>
      <c r="J104" s="2346">
        <f>1.0072/J101</f>
        <v>0.28777142857142862</v>
      </c>
      <c r="K104" s="2346">
        <f>1.0072/K101</f>
        <v>0.28777142857142862</v>
      </c>
      <c r="L104" s="2346">
        <f>1.0072/L101</f>
        <v>0.28777142857142862</v>
      </c>
      <c r="M104" s="2346">
        <f>1.0072/M101</f>
        <v>0.28777142857142862</v>
      </c>
      <c r="N104" s="2346">
        <f>1.0072/N101</f>
        <v>0.28777142857142862</v>
      </c>
    </row>
    <row r="105" spans="1:14">
      <c r="A105" s="3270"/>
      <c r="B105" s="2345">
        <v>4</v>
      </c>
      <c r="C105" s="2346">
        <f>0.9622/C101</f>
        <v>0.27491428571428572</v>
      </c>
      <c r="D105" s="2346">
        <f>0.9622/D101</f>
        <v>0.27491428571428572</v>
      </c>
      <c r="E105" s="2346">
        <f>0.8656/E101</f>
        <v>0.24731428571428574</v>
      </c>
      <c r="F105" s="2346">
        <f>0.8656/F101</f>
        <v>0.24731428571428574</v>
      </c>
      <c r="G105" s="2346">
        <f>0.8656/G101</f>
        <v>0.24731428571428574</v>
      </c>
      <c r="H105" s="2346">
        <f>0.8656/H101</f>
        <v>0.24731428571428574</v>
      </c>
      <c r="I105" s="2346">
        <f>0.8656/I101</f>
        <v>0.24731428571428574</v>
      </c>
      <c r="J105" s="2346">
        <f>0.7525/J101</f>
        <v>0.215</v>
      </c>
      <c r="K105" s="2346">
        <f>0.7525/K101</f>
        <v>0.215</v>
      </c>
      <c r="L105" s="2346">
        <f>0.7525/L101</f>
        <v>0.215</v>
      </c>
      <c r="M105" s="2346">
        <f>0.7525/M101</f>
        <v>0.215</v>
      </c>
      <c r="N105" s="2346">
        <f>0.7525/N101</f>
        <v>0.215</v>
      </c>
    </row>
    <row r="106" spans="1:14">
      <c r="A106" s="3270"/>
      <c r="B106" s="2345">
        <v>5</v>
      </c>
      <c r="C106" s="2346">
        <f>0.8417/C101</f>
        <v>0.24048571428571427</v>
      </c>
      <c r="D106" s="2346">
        <f>0.8417/D101</f>
        <v>0.24048571428571427</v>
      </c>
      <c r="E106" s="2346">
        <f>0.7371/E101</f>
        <v>0.21059999999999998</v>
      </c>
      <c r="F106" s="2346">
        <f>0.7371/F101</f>
        <v>0.21059999999999998</v>
      </c>
      <c r="G106" s="2346">
        <f>0.7371/G101</f>
        <v>0.21059999999999998</v>
      </c>
      <c r="H106" s="2346">
        <f>0.7371/H101</f>
        <v>0.21059999999999998</v>
      </c>
      <c r="I106" s="2346">
        <f>0.7371/I101</f>
        <v>0.21059999999999998</v>
      </c>
      <c r="J106" s="2346">
        <f>0.5659/J101</f>
        <v>0.16168571428571427</v>
      </c>
      <c r="K106" s="2346">
        <f>0.5659/K101</f>
        <v>0.16168571428571427</v>
      </c>
      <c r="L106" s="2346">
        <f>0.5659/L101</f>
        <v>0.16168571428571427</v>
      </c>
      <c r="M106" s="2346">
        <f>0.5659/M101</f>
        <v>0.16168571428571427</v>
      </c>
      <c r="N106" s="2346">
        <f>0.5659/N101</f>
        <v>0.16168571428571427</v>
      </c>
    </row>
    <row r="107" spans="1:14">
      <c r="A107" s="3270"/>
      <c r="B107" s="2345">
        <v>6</v>
      </c>
      <c r="C107" s="2346">
        <f>0.7608/C101</f>
        <v>0.21737142857142858</v>
      </c>
      <c r="D107" s="2346">
        <f>0.7608/D101</f>
        <v>0.21737142857142858</v>
      </c>
      <c r="E107" s="2346">
        <f>0.6482/E101</f>
        <v>0.1852</v>
      </c>
      <c r="F107" s="2346">
        <f>0.6482/F101</f>
        <v>0.1852</v>
      </c>
      <c r="G107" s="2346">
        <f>0.6482/G101</f>
        <v>0.1852</v>
      </c>
      <c r="H107" s="2346">
        <f>0.6482/H101</f>
        <v>0.1852</v>
      </c>
      <c r="I107" s="2346">
        <f>0.6482/I101</f>
        <v>0.1852</v>
      </c>
      <c r="J107" s="2346">
        <f>0.4525/J101</f>
        <v>0.12928571428571428</v>
      </c>
      <c r="K107" s="2346">
        <f>0.4525/K101</f>
        <v>0.12928571428571428</v>
      </c>
      <c r="L107" s="2346">
        <f>0.4525/L101</f>
        <v>0.12928571428571428</v>
      </c>
      <c r="M107" s="2346">
        <f>0.4525/M101</f>
        <v>0.12928571428571428</v>
      </c>
      <c r="N107" s="2346">
        <f>0.4525/N101</f>
        <v>0.12928571428571428</v>
      </c>
    </row>
    <row r="108" spans="1:14">
      <c r="A108" s="3270"/>
      <c r="B108" s="3272" t="s">
        <v>2798</v>
      </c>
      <c r="C108" s="2347">
        <f>C99</f>
        <v>2</v>
      </c>
      <c r="D108" s="2347">
        <f t="shared" ref="D108:N108" si="33">D99</f>
        <v>2</v>
      </c>
      <c r="E108" s="2347">
        <f t="shared" si="33"/>
        <v>2</v>
      </c>
      <c r="F108" s="2347">
        <f t="shared" si="33"/>
        <v>2</v>
      </c>
      <c r="G108" s="2347">
        <f t="shared" si="33"/>
        <v>2</v>
      </c>
      <c r="H108" s="2347">
        <f t="shared" si="33"/>
        <v>2</v>
      </c>
      <c r="I108" s="2347">
        <f t="shared" si="33"/>
        <v>2</v>
      </c>
      <c r="J108" s="2347">
        <f t="shared" si="33"/>
        <v>2</v>
      </c>
      <c r="K108" s="2347">
        <f t="shared" si="33"/>
        <v>2</v>
      </c>
      <c r="L108" s="2347">
        <f t="shared" si="33"/>
        <v>2</v>
      </c>
      <c r="M108" s="2347">
        <f t="shared" si="33"/>
        <v>2</v>
      </c>
      <c r="N108" s="2347">
        <f t="shared" si="33"/>
        <v>2</v>
      </c>
    </row>
    <row r="109" spans="1:14">
      <c r="A109" s="3271"/>
      <c r="B109" s="3273"/>
      <c r="C109" s="2348">
        <f>(-0.163*(C108^2)-0.59*C108+7617)*(10^(-4))/C101</f>
        <v>0.21757622857142858</v>
      </c>
      <c r="D109" s="2348">
        <f>(-0.163*(D108^2)-0.59*D108+7617)*(10^(-4))/D101</f>
        <v>0.21757622857142858</v>
      </c>
      <c r="E109" s="2348">
        <f>(-0.161*(E108^2)-7.509*E108+6533)*(10^(-4))/E101</f>
        <v>0.18620965714285714</v>
      </c>
      <c r="F109" s="2348">
        <f>(-0.161*(F108^2)-7.509*F108+6533)*(10^(-4))/F101</f>
        <v>0.18620965714285714</v>
      </c>
      <c r="G109" s="2348">
        <f>(-0.161*(G108^2)-7.509*G108+6533)*(10^(-4))/G101</f>
        <v>0.18620965714285714</v>
      </c>
      <c r="H109" s="2348">
        <f>(-0.161*(H108^2)-7.509*H108+6533)*(10^(-4))/H101</f>
        <v>0.18620965714285714</v>
      </c>
      <c r="I109" s="2348">
        <f>(-0.161*(I108^2)-7.509*I108+6533)*(10^(-4))/I101</f>
        <v>0.18620965714285714</v>
      </c>
      <c r="J109" s="2348">
        <f>(-0.214*(J108^2)-21.991*J108+4665)*(10^(-4))/J101</f>
        <v>0.13200462857142858</v>
      </c>
      <c r="K109" s="2348">
        <f>(-0.214*(K108^2)-21.991*K108+4665)*(10^(-4))/K101</f>
        <v>0.13200462857142858</v>
      </c>
      <c r="L109" s="2348">
        <f>(-0.214*(L108^2)-21.991*L108+4665)*(10^(-4))/L101</f>
        <v>0.13200462857142858</v>
      </c>
      <c r="M109" s="2348">
        <f>(-0.214*(M108^2)-21.991*M108+4665)*(10^(-4))/M101</f>
        <v>0.13200462857142858</v>
      </c>
      <c r="N109" s="2348">
        <f>(-0.214*(N108^2)-21.991*N108+4665)*(10^(-4))/N101</f>
        <v>0.13200462857142858</v>
      </c>
    </row>
    <row r="110" spans="1:14">
      <c r="A110" s="3267" t="s">
        <v>2799</v>
      </c>
      <c r="B110" s="3267"/>
      <c r="C110" s="3267"/>
      <c r="D110" s="3267"/>
      <c r="E110" s="3267"/>
      <c r="F110" s="3267"/>
      <c r="G110" s="3267"/>
      <c r="H110" s="3267"/>
      <c r="I110" s="3267"/>
      <c r="J110" s="3267"/>
      <c r="K110" s="2351"/>
      <c r="L110" s="2351"/>
      <c r="M110" s="2351"/>
      <c r="N110" s="2351"/>
    </row>
    <row r="112" spans="1:14" ht="13.5" thickBot="1"/>
    <row r="113" spans="1:13" ht="25.5" thickBot="1">
      <c r="A113" s="842" t="s">
        <v>2800</v>
      </c>
      <c r="B113" s="1196">
        <f>G3</f>
        <v>3.5</v>
      </c>
      <c r="C113" s="843" t="s">
        <v>2801</v>
      </c>
      <c r="D113" s="844">
        <f>SUMPRODUCT((A115:A118=F113)*(B114:M114=H113)*B115:M118)</f>
        <v>0.90059999999999996</v>
      </c>
      <c r="E113" s="2187" t="s">
        <v>2635</v>
      </c>
      <c r="F113" s="2353" t="str">
        <f>E2</f>
        <v>商业</v>
      </c>
      <c r="G113" s="2187" t="s">
        <v>2636</v>
      </c>
      <c r="H113" s="2353" t="str">
        <f>G2</f>
        <v>二级</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4">I115</f>
        <v>0.63480000000000003</v>
      </c>
      <c r="K115" s="849">
        <f t="shared" si="34"/>
        <v>0.63480000000000003</v>
      </c>
      <c r="L115" s="849">
        <f t="shared" si="34"/>
        <v>0.63480000000000003</v>
      </c>
      <c r="M115" s="850">
        <f t="shared" si="34"/>
        <v>0.63480000000000003</v>
      </c>
    </row>
    <row r="116" spans="1:13">
      <c r="A116" s="848" t="s">
        <v>2700</v>
      </c>
      <c r="B116" s="849">
        <f>ROUND(0.949-0.012*B113,4)</f>
        <v>0.90700000000000003</v>
      </c>
      <c r="C116" s="849">
        <f>B116</f>
        <v>0.90700000000000003</v>
      </c>
      <c r="D116" s="849">
        <f>ROUND(0.8567-0.013*B113,4)</f>
        <v>0.81120000000000003</v>
      </c>
      <c r="E116" s="849">
        <f t="shared" ref="E116:H117" si="35">D116</f>
        <v>0.81120000000000003</v>
      </c>
      <c r="F116" s="849">
        <f t="shared" si="35"/>
        <v>0.81120000000000003</v>
      </c>
      <c r="G116" s="849">
        <f t="shared" si="35"/>
        <v>0.81120000000000003</v>
      </c>
      <c r="H116" s="849">
        <f t="shared" si="35"/>
        <v>0.81120000000000003</v>
      </c>
      <c r="I116" s="849">
        <f>ROUND(0.7694-0.014*B113,4)</f>
        <v>0.72040000000000004</v>
      </c>
      <c r="J116" s="849">
        <f t="shared" si="34"/>
        <v>0.72040000000000004</v>
      </c>
      <c r="K116" s="849">
        <f t="shared" si="34"/>
        <v>0.72040000000000004</v>
      </c>
      <c r="L116" s="849">
        <f t="shared" si="34"/>
        <v>0.72040000000000004</v>
      </c>
      <c r="M116" s="850">
        <f t="shared" si="34"/>
        <v>0.72040000000000004</v>
      </c>
    </row>
    <row r="117" spans="1:13">
      <c r="A117" s="848" t="s">
        <v>2701</v>
      </c>
      <c r="B117" s="849">
        <f>ROUND(0.8808-0.006*B113,4)</f>
        <v>0.85980000000000001</v>
      </c>
      <c r="C117" s="849">
        <f>B117</f>
        <v>0.85980000000000001</v>
      </c>
      <c r="D117" s="849">
        <f>ROUND(0.8748-0.008*B113,4)</f>
        <v>0.8468</v>
      </c>
      <c r="E117" s="849">
        <f t="shared" si="35"/>
        <v>0.8468</v>
      </c>
      <c r="F117" s="849">
        <f t="shared" si="35"/>
        <v>0.8468</v>
      </c>
      <c r="G117" s="849">
        <f t="shared" si="35"/>
        <v>0.8468</v>
      </c>
      <c r="H117" s="849">
        <f t="shared" si="35"/>
        <v>0.8468</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2702</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4"/>
        <v>0.51910000000000001</v>
      </c>
      <c r="K118" s="851">
        <f t="shared" si="34"/>
        <v>0.51910000000000001</v>
      </c>
      <c r="L118" s="851">
        <f t="shared" si="34"/>
        <v>0.51910000000000001</v>
      </c>
      <c r="M118" s="852">
        <f t="shared" si="34"/>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4" sqref="J43:J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3124</v>
      </c>
      <c r="D1" s="1545" t="s">
        <v>70</v>
      </c>
      <c r="E1" s="1546" t="s">
        <v>1352</v>
      </c>
      <c r="F1" s="1192">
        <f ca="1">J53</f>
        <v>26.33</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5074</v>
      </c>
      <c r="C2" s="1570" t="s">
        <v>1481</v>
      </c>
      <c r="D2" s="1570"/>
      <c r="E2" s="1571"/>
      <c r="F2" s="1572"/>
      <c r="G2" s="2934"/>
      <c r="H2" s="2923"/>
      <c r="I2" s="2923"/>
      <c r="J2" s="2923"/>
      <c r="K2" s="2924"/>
      <c r="L2" s="2923"/>
      <c r="M2" s="2923"/>
    </row>
    <row r="3" spans="1:37" ht="18" customHeight="1" thickBot="1">
      <c r="A3" s="1573" t="s">
        <v>1482</v>
      </c>
      <c r="B3" s="1574">
        <f ca="1">IF(ISERROR(B2*10000/F43),0,ROUND(B2*10000/F43,0))</f>
        <v>32355</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355</v>
      </c>
      <c r="D5" s="1547" t="s">
        <v>1367</v>
      </c>
      <c r="E5" s="1202"/>
      <c r="F5" s="1203"/>
      <c r="G5" s="1567"/>
      <c r="H5" s="305">
        <v>1</v>
      </c>
      <c r="I5" s="306" t="s">
        <v>1366</v>
      </c>
      <c r="J5" s="1201">
        <f ca="1">J6+J10+J12</f>
        <v>0</v>
      </c>
      <c r="K5" s="1547" t="s">
        <v>1367</v>
      </c>
      <c r="L5" s="1202"/>
      <c r="M5" s="1203"/>
    </row>
    <row r="6" spans="1:37" ht="18" customHeight="1">
      <c r="A6" s="1200" t="s">
        <v>1003</v>
      </c>
      <c r="B6" s="3282" t="s">
        <v>1368</v>
      </c>
      <c r="C6" s="1205">
        <f ca="1">ROUND(F6*F8*F7*(1-F9)/10000,0)</f>
        <v>355</v>
      </c>
      <c r="D6" s="160" t="s">
        <v>2850</v>
      </c>
      <c r="E6" s="308" t="s">
        <v>1370</v>
      </c>
      <c r="F6" s="309">
        <f ca="1">INDIRECT("'数据-取费表'!u"&amp;$G$1)</f>
        <v>355.2</v>
      </c>
      <c r="G6" s="1567"/>
      <c r="H6" s="1200" t="s">
        <v>1003</v>
      </c>
      <c r="I6" s="3282" t="s">
        <v>1368</v>
      </c>
      <c r="J6" s="307">
        <f ca="1">ROUND(M6*M8*M7*(1-M9)/10000,0)</f>
        <v>0</v>
      </c>
      <c r="K6" s="160" t="s">
        <v>2849</v>
      </c>
      <c r="L6" s="308" t="s">
        <v>1370</v>
      </c>
      <c r="M6" s="309">
        <f ca="1">INDIRECT("'数据-取费表'!z"&amp;$G$1)</f>
        <v>0</v>
      </c>
    </row>
    <row r="7" spans="1:37" ht="18" customHeight="1">
      <c r="A7" s="1204"/>
      <c r="B7" s="3283"/>
      <c r="C7" s="1206"/>
      <c r="D7" s="313"/>
      <c r="E7" s="1207" t="s">
        <v>1371</v>
      </c>
      <c r="F7" s="309">
        <f ca="1">IF(INDIRECT("'数据-取费表'!ah"&amp;$G$1)="",INDIRECT("'数据-取费表'!k"&amp;$G$1),INDIRECT("'数据-取费表'!ah"&amp;$G$1))</f>
        <v>10000</v>
      </c>
      <c r="G7" s="1567"/>
      <c r="H7" s="310"/>
      <c r="I7" s="3283"/>
      <c r="J7" s="312"/>
      <c r="K7" s="313"/>
      <c r="L7" s="308" t="s">
        <v>1371</v>
      </c>
      <c r="M7" s="309">
        <f ca="1">F7</f>
        <v>10000</v>
      </c>
    </row>
    <row r="8" spans="1:37" ht="18" customHeight="1">
      <c r="A8" s="310"/>
      <c r="B8" s="3283"/>
      <c r="C8" s="312"/>
      <c r="D8" s="313"/>
      <c r="E8" s="308" t="s">
        <v>1372</v>
      </c>
      <c r="F8" s="309">
        <f ca="1">INDIRECT("'数据-取费表'!ai"&amp;$G$1)</f>
        <v>1</v>
      </c>
      <c r="G8" s="1567"/>
      <c r="H8" s="310"/>
      <c r="I8" s="3283"/>
      <c r="J8" s="312"/>
      <c r="K8" s="313"/>
      <c r="L8" s="308" t="s">
        <v>1372</v>
      </c>
      <c r="M8" s="309">
        <f ca="1">INDIRECT("'数据-取费表'!ai"&amp;$G$1)</f>
        <v>1</v>
      </c>
    </row>
    <row r="9" spans="1:37" ht="18" customHeight="1">
      <c r="A9" s="310"/>
      <c r="B9" s="3284"/>
      <c r="C9" s="312"/>
      <c r="D9" s="313"/>
      <c r="E9" s="308" t="s">
        <v>1373</v>
      </c>
      <c r="F9" s="318">
        <f ca="1">INDIRECT("'数据-取费表'!w"&amp;$G$1)</f>
        <v>0</v>
      </c>
      <c r="G9" s="1567"/>
      <c r="H9" s="310"/>
      <c r="I9" s="3284"/>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t="s">
        <v>3125</v>
      </c>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1418</v>
      </c>
      <c r="D13" s="1240" t="s">
        <v>1380</v>
      </c>
      <c r="E13" s="1240" t="s">
        <v>1381</v>
      </c>
      <c r="F13" s="1241">
        <f ca="1">INDIRECT("'数据-取费表'!y"&amp;$G$1)</f>
        <v>0.8</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1255</v>
      </c>
      <c r="D14" s="1528" t="s">
        <v>1383</v>
      </c>
      <c r="E14" s="1525"/>
      <c r="F14" s="325"/>
      <c r="G14" s="1567"/>
      <c r="H14" s="1112" t="s">
        <v>1003</v>
      </c>
      <c r="I14" s="308" t="s">
        <v>1384</v>
      </c>
      <c r="J14" s="24">
        <f ca="1">C29</f>
        <v>1772</v>
      </c>
      <c r="K14" s="15"/>
      <c r="L14" s="915"/>
      <c r="M14" s="916"/>
    </row>
    <row r="15" spans="1:37" s="1580" customFormat="1" ht="18" customHeight="1" thickBot="1">
      <c r="A15" s="1112" t="s">
        <v>1004</v>
      </c>
      <c r="B15" s="308" t="s">
        <v>1385</v>
      </c>
      <c r="C15" s="24">
        <f ca="1">ROUND(C14*F15,0)</f>
        <v>38</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42</v>
      </c>
      <c r="K16" s="1246" t="s">
        <v>1390</v>
      </c>
      <c r="L16" s="1247"/>
      <c r="M16" s="1203"/>
    </row>
    <row r="17" spans="1:37" s="1580" customFormat="1" ht="18" customHeight="1">
      <c r="A17" s="1112" t="s">
        <v>1355</v>
      </c>
      <c r="B17" s="308" t="s">
        <v>1391</v>
      </c>
      <c r="C17" s="24">
        <f ca="1">ROUND(F17*(F43+INDIRECT("'数据-取费表'!S"&amp;$G$1))/10000,0)</f>
        <v>31</v>
      </c>
      <c r="D17" s="308" t="s">
        <v>1392</v>
      </c>
      <c r="E17" s="308" t="s">
        <v>1393</v>
      </c>
      <c r="F17" s="26">
        <f>'数据-取费表'!B35</f>
        <v>200</v>
      </c>
      <c r="G17" s="1579"/>
      <c r="H17" s="1112" t="s">
        <v>1003</v>
      </c>
      <c r="I17" s="308" t="s">
        <v>1394</v>
      </c>
      <c r="J17" s="2533">
        <f ca="1">ROUND(IF(AND(项目基本情况!B11="自然人",项目基本情况!B10="北京市"),J6*M17/(1+'数据-取费表'!C42),J18+J19+J20),0)</f>
        <v>15</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19</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1343</v>
      </c>
      <c r="D19" s="136" t="s">
        <v>1401</v>
      </c>
      <c r="E19" s="1543"/>
      <c r="F19" s="26"/>
      <c r="G19" s="1567"/>
      <c r="H19" s="1112" t="s">
        <v>1004</v>
      </c>
      <c r="I19" s="308" t="s">
        <v>1402</v>
      </c>
      <c r="J19" s="24">
        <f ca="1">IF(K19="按租金收入计税",ROUND(J6*M19/(1+'数据-取费表'!C42),2),ROUND(C29*M19*0.7,2))</f>
        <v>14.88</v>
      </c>
      <c r="K19" s="1553" t="s">
        <v>1403</v>
      </c>
      <c r="L19" s="308" t="s">
        <v>1387</v>
      </c>
      <c r="M19" s="328">
        <f>IF(K19="按租金收入计税",'数据-取费表'!B51,'数据-取费表'!B50)</f>
        <v>1.2E-2</v>
      </c>
    </row>
    <row r="20" spans="1:37" s="1580" customFormat="1" ht="18" customHeight="1">
      <c r="A20" s="1112" t="s">
        <v>1007</v>
      </c>
      <c r="B20" s="308" t="s">
        <v>1404</v>
      </c>
      <c r="C20" s="24">
        <f ca="1">ROUND(C19*F20,0)</f>
        <v>27</v>
      </c>
      <c r="D20" s="329" t="s">
        <v>1405</v>
      </c>
      <c r="E20" s="308" t="s">
        <v>1387</v>
      </c>
      <c r="F20" s="328">
        <f>'数据-取费表'!B37</f>
        <v>0.02</v>
      </c>
      <c r="G20" s="1579"/>
      <c r="H20" s="1112" t="s">
        <v>1354</v>
      </c>
      <c r="I20" s="160" t="s">
        <v>1406</v>
      </c>
      <c r="J20" s="25">
        <f ca="1">ROUND(M20*M21/10000,2)</f>
        <v>0</v>
      </c>
      <c r="K20" s="330" t="s">
        <v>1407</v>
      </c>
      <c r="L20" s="308" t="s">
        <v>1408</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26.6</v>
      </c>
      <c r="K22" s="1527" t="s">
        <v>1415</v>
      </c>
      <c r="L22" s="308" t="s">
        <v>1387</v>
      </c>
      <c r="M22" s="334">
        <f ca="1">INDIRECT("'数据-取费表'!Ak"&amp;$G$1)</f>
        <v>1.4999999999999999E-2</v>
      </c>
    </row>
    <row r="23" spans="1:37" s="1580" customFormat="1" ht="18" customHeight="1">
      <c r="A23" s="1112" t="s">
        <v>1002</v>
      </c>
      <c r="B23" s="308" t="s">
        <v>1416</v>
      </c>
      <c r="C23" s="24">
        <f ca="1">IF('数据-取费表'!B22&lt;=1,ROUND(C19*F24*F23/2,0)+ROUND(C20*F24*F23/2,0),ROUND(C19*(POWER((1+F24),F23/2)-1),0)+ROUND(C20*(POWER((1+F24),F23/2)-1),0))</f>
        <v>59</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-42</v>
      </c>
      <c r="K25" s="1254" t="s">
        <v>1429</v>
      </c>
      <c r="L25" s="1255"/>
      <c r="M25" s="1256"/>
    </row>
    <row r="26" spans="1:37">
      <c r="A26" s="1112" t="s">
        <v>1002</v>
      </c>
      <c r="B26" s="308" t="s">
        <v>1430</v>
      </c>
      <c r="C26" s="24">
        <f ca="1">ROUND((C19+C20)*F26,0)</f>
        <v>206</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2"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1772</v>
      </c>
      <c r="D29" s="1251"/>
      <c r="E29" s="1249"/>
      <c r="F29" s="1252"/>
      <c r="G29" s="1579"/>
      <c r="H29" s="340" t="s">
        <v>1001</v>
      </c>
      <c r="I29" s="341" t="s">
        <v>1444</v>
      </c>
      <c r="J29" s="342">
        <f ca="1">ROUND(J26/(1+F40)^F41,0)</f>
        <v>0</v>
      </c>
      <c r="K29" s="343" t="s">
        <v>1445</v>
      </c>
      <c r="L29" s="344"/>
      <c r="M29" s="345">
        <f ca="1">INDIRECT("'数据-取费表'!k"&amp;$G$1)</f>
        <v>1568.25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68</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34</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2" t="s">
        <v>1002</v>
      </c>
      <c r="B32" s="308" t="s">
        <v>1398</v>
      </c>
      <c r="C32" s="24">
        <f ca="1">IF(项目基本情况!B11="自然人","——",ROUND(C6*F32/(1+'数据-取费表'!C42),2))</f>
        <v>18.93</v>
      </c>
      <c r="D32" s="1527" t="s">
        <v>1399</v>
      </c>
      <c r="E32" s="308" t="s">
        <v>1387</v>
      </c>
      <c r="F32" s="337">
        <f>'数据-取费表'!B41</f>
        <v>5.6000000000000001E-2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IF(项目基本情况!B11="自然人","——",IF(D33="按租金收入计税",ROUND(C6*F33/(1+'数据-取费表'!C42),2),IF(D33="按房产原值计税",ROUND(C29*F33*0.7,2),INDIRECT("'数据-取费表'!Aj"&amp;$G$1))))</f>
        <v>14.88</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0</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26.6</v>
      </c>
      <c r="D36" s="1527" t="s">
        <v>1447</v>
      </c>
      <c r="E36" s="308" t="s">
        <v>1387</v>
      </c>
      <c r="F36" s="334">
        <f ca="1">INDIRECT("'数据-取费表'!Ak"&amp;$G$1)</f>
        <v>1.4999999999999999E-2</v>
      </c>
      <c r="G36" s="1567"/>
      <c r="H36" s="2928"/>
      <c r="I36" s="1581"/>
      <c r="J36" s="1582"/>
      <c r="K36" s="2769"/>
      <c r="L36" s="2928"/>
      <c r="M36" s="2928"/>
    </row>
    <row r="37" spans="1:18" ht="18" customHeight="1">
      <c r="A37" s="1112" t="s">
        <v>1043</v>
      </c>
      <c r="B37" s="308" t="s">
        <v>1418</v>
      </c>
      <c r="C37" s="24">
        <f ca="1">ROUND(C13*F37,1)</f>
        <v>2.1</v>
      </c>
      <c r="D37" s="1527" t="s">
        <v>1419</v>
      </c>
      <c r="E37" s="308" t="s">
        <v>1420</v>
      </c>
      <c r="F37" s="336">
        <f ca="1">INDIRECT("'数据-取费表'!Al"&amp;$G$1)</f>
        <v>1.5E-3</v>
      </c>
      <c r="G37" s="1567"/>
      <c r="H37" s="2928"/>
      <c r="I37" s="1581"/>
      <c r="J37" s="1582"/>
      <c r="K37" s="2769"/>
      <c r="L37" s="2928"/>
      <c r="M37" s="2928"/>
    </row>
    <row r="38" spans="1:18" ht="18" customHeight="1" thickBot="1">
      <c r="A38" s="1248" t="s">
        <v>1358</v>
      </c>
      <c r="B38" s="1249" t="s">
        <v>1404</v>
      </c>
      <c r="C38" s="1250">
        <f ca="1">ROUND(C5*F38,1)</f>
        <v>5.3</v>
      </c>
      <c r="D38" s="1251" t="s">
        <v>1424</v>
      </c>
      <c r="E38" s="1249" t="s">
        <v>1420</v>
      </c>
      <c r="F38" s="1245">
        <f ca="1">INDIRECT("'数据-取费表'!Am"&amp;$G$1)</f>
        <v>1.4999999999999999E-2</v>
      </c>
      <c r="G38" s="1567"/>
      <c r="H38" s="2928"/>
      <c r="I38" s="1581"/>
      <c r="J38" s="1582"/>
      <c r="K38" s="2932"/>
      <c r="L38" s="2928"/>
      <c r="M38" s="2928"/>
    </row>
    <row r="39" spans="1:18" ht="24.6" customHeight="1" thickTop="1">
      <c r="A39" s="1238" t="s">
        <v>999</v>
      </c>
      <c r="B39" s="1253" t="s">
        <v>1448</v>
      </c>
      <c r="C39" s="316">
        <f ca="1">C5-C30</f>
        <v>287</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5074</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26.33</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ROUND(C40*10000/F43,0)</f>
        <v>32355</v>
      </c>
      <c r="D43" s="343" t="s">
        <v>1453</v>
      </c>
      <c r="E43" s="344" t="s">
        <v>1454</v>
      </c>
      <c r="F43" s="345">
        <f ca="1">INDIRECT("'数据-取费表'!k"&amp;$G$1)</f>
        <v>1568.25</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-5649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1"/>
      <c r="I47" s="1597" t="s">
        <v>1491</v>
      </c>
      <c r="J47" s="1598" t="s">
        <v>3126</v>
      </c>
      <c r="K47" s="1599" t="s">
        <v>1492</v>
      </c>
      <c r="L47" s="1600">
        <f ca="1">INDIRECT("'数据-取费表'!d"&amp;$G$1)</f>
        <v>40</v>
      </c>
      <c r="M47" s="1563" t="str">
        <f>IF(ISNUMBER(FIND("住宅",C1)),"住宅","非住宅")</f>
        <v>非住宅</v>
      </c>
      <c r="O47" s="1601" t="s">
        <v>1008</v>
      </c>
      <c r="P47" s="1602" t="s">
        <v>1493</v>
      </c>
      <c r="Q47" s="1603">
        <f ca="1">C40+J29</f>
        <v>5074</v>
      </c>
      <c r="R47" s="1603" t="s">
        <v>1494</v>
      </c>
    </row>
    <row r="48" spans="1:18" s="1567" customFormat="1" ht="28.5" thickBot="1">
      <c r="A48" s="1269" t="s">
        <v>1103</v>
      </c>
      <c r="B48" s="306" t="s">
        <v>1366</v>
      </c>
      <c r="C48" s="1542">
        <f ca="1">C49+C53+C55</f>
        <v>0</v>
      </c>
      <c r="D48" s="1271"/>
      <c r="E48" s="1272"/>
      <c r="F48" s="1092"/>
      <c r="G48" s="731"/>
      <c r="H48" s="732"/>
      <c r="I48" s="1604" t="s">
        <v>1495</v>
      </c>
      <c r="J48" s="1605" t="s">
        <v>3127</v>
      </c>
      <c r="K48" s="1606" t="s">
        <v>1496</v>
      </c>
      <c r="L48" s="1607">
        <f ca="1">INDIRECT("'数据-取费表'!f"&amp;$G$1)</f>
        <v>26.33</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2851</v>
      </c>
      <c r="E49" s="1555" t="s">
        <v>1456</v>
      </c>
      <c r="F49" s="1190"/>
      <c r="G49" s="1608"/>
      <c r="H49" s="732"/>
      <c r="I49" s="1604" t="s">
        <v>1499</v>
      </c>
      <c r="J49" s="1609">
        <v>2009</v>
      </c>
      <c r="K49" s="1606" t="s">
        <v>1500</v>
      </c>
      <c r="L49" s="1610"/>
      <c r="O49" s="1611" t="s">
        <v>1010</v>
      </c>
      <c r="P49" s="1602" t="s">
        <v>1501</v>
      </c>
      <c r="Q49" s="1603">
        <f ca="1">C29</f>
        <v>1772</v>
      </c>
      <c r="R49" s="1603" t="s">
        <v>1494</v>
      </c>
    </row>
    <row r="50" spans="1:18" s="1567" customFormat="1" ht="13.5" thickBot="1">
      <c r="A50" s="1106"/>
      <c r="B50" s="1109"/>
      <c r="C50" s="1277"/>
      <c r="D50" s="1083"/>
      <c r="E50" s="1186" t="s">
        <v>1371</v>
      </c>
      <c r="F50" s="1187">
        <f ca="1">F7</f>
        <v>10000</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9">
        <f ca="1">F8</f>
        <v>1</v>
      </c>
      <c r="I51" s="1615" t="s">
        <v>1505</v>
      </c>
      <c r="J51" s="1616">
        <f>IF(J49="",J50,J49+J50-YEAR('数据-取费表'!B2))</f>
        <v>48</v>
      </c>
      <c r="K51" s="1617" t="s">
        <v>1506</v>
      </c>
      <c r="L51" s="1618">
        <f ca="1">ROUND(-PV(INDIRECT("'数据-取费表'!h"&amp;$G$1),J51,(C39-C13*C76),0),0)</f>
        <v>2795</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26.33</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26.33</v>
      </c>
      <c r="K53" s="3280" t="s">
        <v>1513</v>
      </c>
      <c r="L53" s="3281"/>
      <c r="O53" s="1601" t="s">
        <v>1014</v>
      </c>
      <c r="P53" s="1602" t="s">
        <v>1514</v>
      </c>
      <c r="Q53" s="1603">
        <f ca="1">Q47+Q48</f>
        <v>5074</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1418</v>
      </c>
      <c r="D56" s="1630"/>
      <c r="E56" s="1631"/>
      <c r="F56" s="1623"/>
      <c r="I56" s="1632" t="s">
        <v>1519</v>
      </c>
      <c r="J56" s="1633" t="s">
        <v>3085</v>
      </c>
      <c r="K56" s="1604" t="s">
        <v>1520</v>
      </c>
      <c r="L56" s="1607" t="str">
        <f ca="1">IF(L48&lt;J51,"——",L48-J53)</f>
        <v>——</v>
      </c>
      <c r="O56" s="1601" t="s">
        <v>1008</v>
      </c>
      <c r="P56" s="1602" t="s">
        <v>1493</v>
      </c>
      <c r="Q56" s="1603">
        <f ca="1">C40+J29</f>
        <v>5074</v>
      </c>
      <c r="R56" s="1603" t="s">
        <v>1494</v>
      </c>
    </row>
    <row r="57" spans="1:18" s="1567" customFormat="1" ht="24.75" thickBot="1">
      <c r="A57" s="1634"/>
      <c r="B57" s="1080" t="s">
        <v>1443</v>
      </c>
      <c r="C57" s="244">
        <f ca="1">C29</f>
        <v>1772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8" t="s">
        <v>1389</v>
      </c>
      <c r="C58" s="322">
        <f ca="1">ROUND(C59+C64+C65+C66,0)</f>
        <v>44</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15</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14.88</v>
      </c>
      <c r="D61" s="1553" t="s">
        <v>1403</v>
      </c>
      <c r="E61" s="1080" t="s">
        <v>1459</v>
      </c>
      <c r="F61" s="328">
        <f t="shared" si="0"/>
        <v>1.2E-2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0</v>
      </c>
      <c r="I62" s="1645" t="s">
        <v>1535</v>
      </c>
      <c r="J62" s="1646" t="s">
        <v>1536</v>
      </c>
      <c r="K62" s="1646" t="s">
        <v>1537</v>
      </c>
      <c r="L62" s="1646" t="s">
        <v>1538</v>
      </c>
      <c r="M62" s="1647" t="s">
        <v>1539</v>
      </c>
      <c r="O62" s="1601" t="s">
        <v>1014</v>
      </c>
      <c r="P62" s="1602" t="s">
        <v>1540</v>
      </c>
      <c r="Q62" s="1603">
        <f ca="1">Q56+Q57</f>
        <v>5074</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26.6</v>
      </c>
      <c r="D64" s="1094" t="s">
        <v>1467</v>
      </c>
      <c r="E64" s="1080"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2.1</v>
      </c>
      <c r="D65" s="1094" t="s">
        <v>1419</v>
      </c>
      <c r="E65" s="1080" t="s">
        <v>1420</v>
      </c>
      <c r="F65" s="336">
        <f t="shared" ca="1" si="0"/>
        <v>1.5E-3</v>
      </c>
      <c r="I65" s="1645" t="s">
        <v>1544</v>
      </c>
      <c r="J65" s="1646">
        <v>40</v>
      </c>
      <c r="K65" s="1646">
        <v>30</v>
      </c>
      <c r="L65" s="1646">
        <v>50</v>
      </c>
      <c r="M65" s="1648">
        <v>0.02</v>
      </c>
      <c r="O65" s="1601" t="s">
        <v>1008</v>
      </c>
      <c r="P65" s="1602" t="s">
        <v>1545</v>
      </c>
      <c r="Q65" s="1603">
        <f ca="1">C40+J29</f>
        <v>5074</v>
      </c>
      <c r="R65" s="1603" t="s">
        <v>1494</v>
      </c>
    </row>
    <row r="66" spans="1:18" s="1567" customFormat="1" ht="16.5" thickBot="1">
      <c r="A66" s="1112" t="s">
        <v>1469</v>
      </c>
      <c r="B66" s="1080" t="s">
        <v>1404</v>
      </c>
      <c r="C66" s="24">
        <f ca="1">ROUND(C48*F66,1)</f>
        <v>0</v>
      </c>
      <c r="D66" s="1094" t="s">
        <v>1470</v>
      </c>
      <c r="E66" s="1080" t="s">
        <v>1387</v>
      </c>
      <c r="F66" s="318">
        <f t="shared" ca="1" si="0"/>
        <v>1.4999999999999999E-2</v>
      </c>
      <c r="O66" s="1601" t="s">
        <v>1009</v>
      </c>
      <c r="P66" s="1602" t="s">
        <v>1523</v>
      </c>
      <c r="Q66" s="1603">
        <f ca="1">L60</f>
        <v>0</v>
      </c>
      <c r="R66" s="1603" t="s">
        <v>1546</v>
      </c>
    </row>
    <row r="67" spans="1:18" s="1567" customFormat="1" ht="16.5" thickBot="1">
      <c r="A67" s="1087" t="s">
        <v>999</v>
      </c>
      <c r="B67" s="1097" t="s">
        <v>1428</v>
      </c>
      <c r="C67" s="322">
        <f ca="1">C48-C58</f>
        <v>-44</v>
      </c>
      <c r="D67" s="1093" t="s">
        <v>1429</v>
      </c>
      <c r="E67" s="1098"/>
      <c r="F67" s="1099"/>
      <c r="O67" s="1611" t="s">
        <v>1010</v>
      </c>
      <c r="P67" s="1602" t="s">
        <v>1527</v>
      </c>
      <c r="Q67" s="1649">
        <f ca="1">L51</f>
        <v>2795</v>
      </c>
      <c r="R67" s="1603" t="s">
        <v>1547</v>
      </c>
    </row>
    <row r="68" spans="1:18" s="1567" customFormat="1" ht="16.5" thickBot="1">
      <c r="A68" s="1077" t="s">
        <v>1000</v>
      </c>
      <c r="B68" s="1078" t="s">
        <v>1450</v>
      </c>
      <c r="C68" s="307">
        <f ca="1">ROUND(C67*(1-((1+F70)/(1+F68))^F69)/(F68-F70),0)</f>
        <v>-575</v>
      </c>
      <c r="D68" s="1095" t="s">
        <v>1434</v>
      </c>
      <c r="E68" s="1080" t="s">
        <v>1435</v>
      </c>
      <c r="F68" s="318">
        <f ca="1">F40</f>
        <v>0.06</v>
      </c>
      <c r="O68" s="1611" t="s">
        <v>1011</v>
      </c>
      <c r="P68" s="1650" t="s">
        <v>1548</v>
      </c>
      <c r="Q68" s="1603">
        <f ca="1">ROUND(Q69-Q70*Q71,0)</f>
        <v>166</v>
      </c>
      <c r="R68" s="1603" t="s">
        <v>1019</v>
      </c>
    </row>
    <row r="69" spans="1:18" s="1567" customFormat="1" ht="13.5" thickBot="1">
      <c r="A69" s="1081"/>
      <c r="B69" s="1082"/>
      <c r="C69" s="312"/>
      <c r="D69" s="1100" t="s">
        <v>1438</v>
      </c>
      <c r="E69" s="1080" t="s">
        <v>1439</v>
      </c>
      <c r="F69" s="339">
        <f ca="1">F41</f>
        <v>26.33</v>
      </c>
      <c r="O69" s="1611" t="s">
        <v>1016</v>
      </c>
      <c r="P69" s="1650" t="s">
        <v>1549</v>
      </c>
      <c r="Q69" s="1603">
        <f ca="1">C39</f>
        <v>287</v>
      </c>
      <c r="R69" s="1603" t="s">
        <v>1494</v>
      </c>
    </row>
    <row r="70" spans="1:18" s="1567" customFormat="1" ht="13.5" thickBot="1">
      <c r="A70" s="1084"/>
      <c r="B70" s="1085"/>
      <c r="C70" s="316"/>
      <c r="D70" s="1096"/>
      <c r="E70" s="1080" t="s">
        <v>1442</v>
      </c>
      <c r="F70" s="1184"/>
      <c r="O70" s="1611" t="s">
        <v>1017</v>
      </c>
      <c r="P70" s="1650" t="s">
        <v>1550</v>
      </c>
      <c r="Q70" s="1603">
        <f ca="1">C13</f>
        <v>1418</v>
      </c>
      <c r="R70" s="1603" t="s">
        <v>1494</v>
      </c>
    </row>
    <row r="71" spans="1:18" s="1567" customFormat="1" ht="13.5" thickBot="1">
      <c r="A71" s="1101" t="s">
        <v>1001</v>
      </c>
      <c r="B71" s="1102" t="s">
        <v>1452</v>
      </c>
      <c r="C71" s="342">
        <f ca="1">ROUND(C68*10000/F71,0)</f>
        <v>-3667</v>
      </c>
      <c r="D71" s="1103" t="s">
        <v>1453</v>
      </c>
      <c r="E71" s="1104" t="s">
        <v>1454</v>
      </c>
      <c r="F71" s="345">
        <f ca="1">F43</f>
        <v>1568.25</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121</v>
      </c>
      <c r="D75" s="1567"/>
      <c r="E75" s="1567"/>
      <c r="F75" s="1567"/>
      <c r="K75" s="1585"/>
      <c r="L75" s="1567"/>
      <c r="O75" s="1601" t="s">
        <v>1014</v>
      </c>
      <c r="P75" s="1602" t="s">
        <v>1514</v>
      </c>
      <c r="Q75" s="1603">
        <f ca="1">Q65+Q66</f>
        <v>5074</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0.57800000000000007</v>
      </c>
    </row>
    <row r="80" spans="1:18">
      <c r="B80" s="346" t="s">
        <v>1476</v>
      </c>
      <c r="C80" s="280">
        <f ca="1">ROUND(C75/C39,3)</f>
        <v>0.42199999999999999</v>
      </c>
    </row>
    <row r="81" spans="2:3">
      <c r="B81" s="276" t="s">
        <v>1477</v>
      </c>
      <c r="C81" s="244"/>
    </row>
    <row r="82" spans="2:3">
      <c r="B82" s="279" t="s">
        <v>1478</v>
      </c>
      <c r="C82" s="281">
        <f ca="1">1-C83</f>
        <v>0.72099999999999997</v>
      </c>
    </row>
    <row r="83" spans="2:3">
      <c r="B83" s="279" t="s">
        <v>1479</v>
      </c>
      <c r="C83" s="280">
        <f ca="1">ROUND(C13/C40,3)</f>
        <v>0.27900000000000003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0</v>
      </c>
      <c r="D5" s="1547" t="s">
        <v>1566</v>
      </c>
      <c r="E5" s="1202"/>
      <c r="F5" s="1203"/>
      <c r="G5" s="1567"/>
      <c r="H5" s="305">
        <v>1</v>
      </c>
      <c r="I5" s="306" t="s">
        <v>1565</v>
      </c>
      <c r="J5" s="1201">
        <f ca="1">J6+J10+J12</f>
        <v>0</v>
      </c>
      <c r="K5" s="1547" t="s">
        <v>1566</v>
      </c>
      <c r="L5" s="1202"/>
      <c r="M5" s="1203"/>
    </row>
    <row r="6" spans="1:37" ht="18" customHeight="1">
      <c r="A6" s="1200" t="s">
        <v>1003</v>
      </c>
      <c r="B6" s="3282" t="s">
        <v>1368</v>
      </c>
      <c r="C6" s="1205">
        <f ca="1">ROUND(F6*F8*F7*(1-F9),0)</f>
        <v>0</v>
      </c>
      <c r="D6" s="160" t="s">
        <v>2847</v>
      </c>
      <c r="E6" s="308" t="s">
        <v>1370</v>
      </c>
      <c r="F6" s="309">
        <f ca="1">INDIRECT("'数据-取费表'!u"&amp;$G$1)</f>
        <v>0</v>
      </c>
      <c r="G6" s="1567"/>
      <c r="H6" s="1200" t="s">
        <v>1003</v>
      </c>
      <c r="I6" s="3282" t="s">
        <v>1368</v>
      </c>
      <c r="J6" s="307">
        <f ca="1">ROUND(M6*M8*M7*(1-M9),0)</f>
        <v>0</v>
      </c>
      <c r="K6" s="1559" t="s">
        <v>2848</v>
      </c>
      <c r="L6" s="308" t="s">
        <v>1370</v>
      </c>
      <c r="M6" s="309">
        <f ca="1">INDIRECT("'数据-取费表'!z"&amp;$G$1)</f>
        <v>0</v>
      </c>
    </row>
    <row r="7" spans="1:37" ht="18" customHeight="1">
      <c r="A7" s="1204"/>
      <c r="B7" s="3283"/>
      <c r="C7" s="1206"/>
      <c r="D7" s="313"/>
      <c r="E7" s="1207" t="s">
        <v>1371</v>
      </c>
      <c r="F7" s="309">
        <f ca="1">IF(INDIRECT("'数据-取费表'!ah"&amp;$G$1)="",INDIRECT("'数据-取费表'!k"&amp;$G$1),INDIRECT("'数据-取费表'!ah"&amp;$G$1))</f>
        <v>0</v>
      </c>
      <c r="G7" s="1567"/>
      <c r="H7" s="310"/>
      <c r="I7" s="3283"/>
      <c r="J7" s="312"/>
      <c r="K7" s="313"/>
      <c r="L7" s="308" t="s">
        <v>1371</v>
      </c>
      <c r="M7" s="309">
        <f ca="1">F7</f>
        <v>0</v>
      </c>
    </row>
    <row r="8" spans="1:37" ht="18" customHeight="1">
      <c r="A8" s="310"/>
      <c r="B8" s="3283"/>
      <c r="C8" s="312"/>
      <c r="D8" s="313"/>
      <c r="E8" s="308" t="s">
        <v>1372</v>
      </c>
      <c r="F8" s="309">
        <f ca="1">INDIRECT("'数据-取费表'!ai"&amp;$G$1)</f>
        <v>0</v>
      </c>
      <c r="G8" s="1567"/>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7"/>
      <c r="H9" s="310"/>
      <c r="I9" s="3284"/>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ROUND(F17*(F43+INDIRECT("'数据-取费表'!S"&amp;$G$1)),0)</f>
        <v>0</v>
      </c>
      <c r="D17" s="308" t="s">
        <v>1392</v>
      </c>
      <c r="E17" s="308" t="s">
        <v>1393</v>
      </c>
      <c r="F17" s="26">
        <f>'数据-取费表'!B35</f>
        <v>200</v>
      </c>
      <c r="G17" s="1579"/>
      <c r="H17" s="1112"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ROUND(M20*M21,0)</f>
        <v>0</v>
      </c>
      <c r="K20" s="330" t="s">
        <v>1407</v>
      </c>
      <c r="L20" s="308" t="s">
        <v>1408</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2"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f>
        <v>0</v>
      </c>
      <c r="D34" s="330" t="s">
        <v>1407</v>
      </c>
      <c r="E34" s="308" t="s">
        <v>1408</v>
      </c>
      <c r="F34" s="331">
        <f>'数据-取费表'!B52</f>
        <v>0</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2"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0</v>
      </c>
      <c r="K53" s="3280" t="s">
        <v>1513</v>
      </c>
      <c r="L53" s="3281"/>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0</v>
      </c>
      <c r="D59" s="1093" t="s">
        <v>1395</v>
      </c>
      <c r="E59" s="1094"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2" t="e">
        <f ca="1">ROUND(C68/F71,0)</f>
        <v>#DIV/0!</v>
      </c>
      <c r="D71" s="1103" t="s">
        <v>1453</v>
      </c>
      <c r="E71" s="1104"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5074</v>
      </c>
      <c r="C2" s="2057" t="s">
        <v>2340</v>
      </c>
      <c r="D2" s="2058" t="s">
        <v>2341</v>
      </c>
      <c r="E2" s="2832">
        <f>SUM(E6:E13)</f>
        <v>1568.25</v>
      </c>
      <c r="F2" s="2935"/>
      <c r="G2" s="1673"/>
      <c r="H2" s="1673"/>
      <c r="I2" s="1673"/>
      <c r="J2" s="1673"/>
      <c r="K2" s="1673"/>
      <c r="L2" s="1673"/>
      <c r="M2" s="1673"/>
      <c r="N2" s="1673"/>
      <c r="O2" s="1673"/>
      <c r="P2" s="1673"/>
      <c r="Q2" s="1673"/>
      <c r="R2" s="1673"/>
      <c r="S2" s="1673"/>
    </row>
    <row r="3" spans="1:22" ht="15.75">
      <c r="A3" s="2055" t="s">
        <v>1360</v>
      </c>
      <c r="B3" s="2826">
        <f ca="1">ROUND(B2*10000/E2,0)</f>
        <v>32355</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285" t="s">
        <v>2343</v>
      </c>
      <c r="C5" s="3286"/>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5074</v>
      </c>
      <c r="C6" s="2057" t="s">
        <v>2340</v>
      </c>
      <c r="D6" s="2937"/>
      <c r="E6" s="2831">
        <f>IF(OR(A6=0,F6="否"),0,'数据-取费表'!K6+'数据-取费表'!S6)</f>
        <v>1568.25</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2" sqref="C42"/>
    </sheetView>
  </sheetViews>
  <sheetFormatPr defaultRowHeight="13.5"/>
  <cols>
    <col min="1" max="1" width="10.5" customWidth="1"/>
    <col min="2" max="2" width="12.875" customWidth="1"/>
    <col min="3" max="3" width="8.75" customWidth="1"/>
  </cols>
  <sheetData>
    <row r="1" spans="1:9" ht="14.25">
      <c r="A1" s="3303" t="s">
        <v>1044</v>
      </c>
      <c r="B1" s="3304"/>
      <c r="C1" s="3305"/>
      <c r="D1" s="3306">
        <f>SUM(I10,I15,I20,I21,I23)</f>
        <v>592</v>
      </c>
      <c r="E1" s="3306"/>
      <c r="F1" s="3306"/>
      <c r="G1" s="3306"/>
      <c r="H1" s="3306"/>
      <c r="I1" s="3307"/>
    </row>
    <row r="2" spans="1:9">
      <c r="A2" s="3293" t="s">
        <v>1045</v>
      </c>
      <c r="B2" s="3294" t="s">
        <v>1046</v>
      </c>
      <c r="C2" s="3294"/>
      <c r="D2" s="1210" t="s">
        <v>1047</v>
      </c>
      <c r="E2" s="1210" t="s">
        <v>1048</v>
      </c>
      <c r="F2" s="1210" t="s">
        <v>1049</v>
      </c>
      <c r="G2" s="1210" t="s">
        <v>1050</v>
      </c>
      <c r="H2" s="1210" t="s">
        <v>1051</v>
      </c>
      <c r="I2" s="1211" t="s">
        <v>1052</v>
      </c>
    </row>
    <row r="3" spans="1:9">
      <c r="A3" s="3293"/>
      <c r="B3" s="3294" t="s">
        <v>1053</v>
      </c>
      <c r="C3" s="3294"/>
      <c r="D3" s="1212">
        <v>45</v>
      </c>
      <c r="E3" s="1210">
        <v>500</v>
      </c>
      <c r="F3" s="1213">
        <v>1</v>
      </c>
      <c r="G3" s="1213">
        <v>0.6</v>
      </c>
      <c r="H3" s="1214">
        <v>365</v>
      </c>
      <c r="I3" s="1215">
        <f>ROUND(D3*E3*F3*G3*H3/10000,0)</f>
        <v>493</v>
      </c>
    </row>
    <row r="4" spans="1:9">
      <c r="A4" s="3293"/>
      <c r="B4" s="3294" t="s">
        <v>1054</v>
      </c>
      <c r="C4" s="3294"/>
      <c r="D4" s="1212"/>
      <c r="E4" s="1210"/>
      <c r="F4" s="1213"/>
      <c r="G4" s="1213"/>
      <c r="H4" s="1214"/>
      <c r="I4" s="1215">
        <f t="shared" ref="I4:I9" si="0">ROUND(D4*E4*F4*G4*H4/10000,0)</f>
        <v>0</v>
      </c>
    </row>
    <row r="5" spans="1:9">
      <c r="A5" s="3293"/>
      <c r="B5" s="3294" t="s">
        <v>1055</v>
      </c>
      <c r="C5" s="3294"/>
      <c r="D5" s="1212"/>
      <c r="E5" s="1210"/>
      <c r="F5" s="1213"/>
      <c r="G5" s="1213"/>
      <c r="H5" s="1214"/>
      <c r="I5" s="1215">
        <f t="shared" si="0"/>
        <v>0</v>
      </c>
    </row>
    <row r="6" spans="1:9">
      <c r="A6" s="3293"/>
      <c r="B6" s="3294" t="s">
        <v>1056</v>
      </c>
      <c r="C6" s="3294"/>
      <c r="D6" s="1212"/>
      <c r="E6" s="1210"/>
      <c r="F6" s="1213"/>
      <c r="G6" s="1213"/>
      <c r="H6" s="1214"/>
      <c r="I6" s="1215">
        <f t="shared" si="0"/>
        <v>0</v>
      </c>
    </row>
    <row r="7" spans="1:9">
      <c r="A7" s="3293"/>
      <c r="B7" s="3294" t="s">
        <v>1057</v>
      </c>
      <c r="C7" s="3294"/>
      <c r="D7" s="1212"/>
      <c r="E7" s="1210"/>
      <c r="F7" s="1213"/>
      <c r="G7" s="1213"/>
      <c r="H7" s="1214"/>
      <c r="I7" s="1215">
        <f t="shared" si="0"/>
        <v>0</v>
      </c>
    </row>
    <row r="8" spans="1:9">
      <c r="A8" s="3293"/>
      <c r="B8" s="3294" t="s">
        <v>1058</v>
      </c>
      <c r="C8" s="3294"/>
      <c r="D8" s="1212"/>
      <c r="E8" s="1210"/>
      <c r="F8" s="1213"/>
      <c r="G8" s="1213"/>
      <c r="H8" s="1214"/>
      <c r="I8" s="1215">
        <f t="shared" si="0"/>
        <v>0</v>
      </c>
    </row>
    <row r="9" spans="1:9">
      <c r="A9" s="3293"/>
      <c r="B9" s="3294" t="s">
        <v>1059</v>
      </c>
      <c r="C9" s="3294"/>
      <c r="D9" s="1212"/>
      <c r="E9" s="1210"/>
      <c r="F9" s="1213"/>
      <c r="G9" s="1213"/>
      <c r="H9" s="1214"/>
      <c r="I9" s="1215">
        <f t="shared" si="0"/>
        <v>0</v>
      </c>
    </row>
    <row r="10" spans="1:9">
      <c r="A10" s="3293"/>
      <c r="B10" s="3295" t="s">
        <v>1060</v>
      </c>
      <c r="C10" s="3295"/>
      <c r="D10" s="1216"/>
      <c r="E10" s="1216" t="e">
        <f>ROUND(D1*10000/D10/H9,0)</f>
        <v>#DIV/0!</v>
      </c>
      <c r="F10" s="1217"/>
      <c r="G10" s="1217"/>
      <c r="H10" s="1218"/>
      <c r="I10" s="1219">
        <f>SUM(I3:I9)</f>
        <v>493</v>
      </c>
    </row>
    <row r="11" spans="1:9" ht="14.25">
      <c r="A11" s="3293" t="s">
        <v>1061</v>
      </c>
      <c r="B11" s="3294" t="s">
        <v>1062</v>
      </c>
      <c r="C11" s="3294"/>
      <c r="D11" s="1212" t="s">
        <v>1063</v>
      </c>
      <c r="E11" s="1212" t="s">
        <v>1064</v>
      </c>
      <c r="F11" s="1213" t="s">
        <v>1065</v>
      </c>
      <c r="G11" s="1213" t="s">
        <v>1051</v>
      </c>
      <c r="H11" s="1220" t="s">
        <v>1066</v>
      </c>
      <c r="I11" s="1211" t="s">
        <v>1052</v>
      </c>
    </row>
    <row r="12" spans="1:9">
      <c r="A12" s="3293"/>
      <c r="B12" s="3294" t="s">
        <v>1067</v>
      </c>
      <c r="C12" s="3294"/>
      <c r="D12" s="1212"/>
      <c r="E12" s="1212"/>
      <c r="F12" s="1213"/>
      <c r="G12" s="1214"/>
      <c r="H12" s="1221"/>
      <c r="I12" s="1211">
        <f>ROUND(D12*E12*F12*G12/10000,0)</f>
        <v>0</v>
      </c>
    </row>
    <row r="13" spans="1:9">
      <c r="A13" s="3293"/>
      <c r="B13" s="3294" t="s">
        <v>1068</v>
      </c>
      <c r="C13" s="3294"/>
      <c r="D13" s="1212"/>
      <c r="E13" s="1212"/>
      <c r="F13" s="1213"/>
      <c r="G13" s="1214"/>
      <c r="H13" s="1221"/>
      <c r="I13" s="1211">
        <f>ROUND(D13*E13*F13*G13/10000,0)</f>
        <v>0</v>
      </c>
    </row>
    <row r="14" spans="1:9">
      <c r="A14" s="3293"/>
      <c r="B14" s="3294" t="s">
        <v>1069</v>
      </c>
      <c r="C14" s="3294"/>
      <c r="D14" s="1212"/>
      <c r="E14" s="1212"/>
      <c r="F14" s="1213"/>
      <c r="G14" s="1214"/>
      <c r="H14" s="1221"/>
      <c r="I14" s="1211">
        <f>ROUND(D14*E14*F14*G14/10000,0)</f>
        <v>0</v>
      </c>
    </row>
    <row r="15" spans="1:9">
      <c r="A15" s="3293"/>
      <c r="B15" s="3295" t="s">
        <v>1060</v>
      </c>
      <c r="C15" s="3295"/>
      <c r="D15" s="1216"/>
      <c r="E15" s="1216">
        <f>SUM(E12:E14)</f>
        <v>0</v>
      </c>
      <c r="F15" s="1217"/>
      <c r="G15" s="1214"/>
      <c r="H15" s="1221"/>
      <c r="I15" s="1222">
        <f>SUM(I12:I14)</f>
        <v>0</v>
      </c>
    </row>
    <row r="16" spans="1:9" ht="24">
      <c r="A16" s="3293" t="s">
        <v>1070</v>
      </c>
      <c r="B16" s="3294" t="s">
        <v>1071</v>
      </c>
      <c r="C16" s="3294"/>
      <c r="D16" s="1212" t="s">
        <v>1047</v>
      </c>
      <c r="E16" s="1223" t="s">
        <v>1072</v>
      </c>
      <c r="F16" s="1213" t="s">
        <v>1073</v>
      </c>
      <c r="G16" s="1214" t="s">
        <v>1051</v>
      </c>
      <c r="H16" s="1220" t="s">
        <v>1066</v>
      </c>
      <c r="I16" s="1211" t="s">
        <v>1052</v>
      </c>
    </row>
    <row r="17" spans="1:9" ht="14.25">
      <c r="A17" s="3293"/>
      <c r="B17" s="3294" t="s">
        <v>1074</v>
      </c>
      <c r="C17" s="3294"/>
      <c r="D17" s="1212"/>
      <c r="E17" s="1212"/>
      <c r="F17" s="1213"/>
      <c r="G17" s="1214"/>
      <c r="H17" s="1224"/>
      <c r="I17" s="1225">
        <f>ROUND(D17*E17*F17*G17/10000,0)</f>
        <v>0</v>
      </c>
    </row>
    <row r="18" spans="1:9" ht="14.25">
      <c r="A18" s="3293"/>
      <c r="B18" s="3294" t="s">
        <v>1075</v>
      </c>
      <c r="C18" s="3294"/>
      <c r="D18" s="1212"/>
      <c r="E18" s="1212"/>
      <c r="F18" s="1213"/>
      <c r="G18" s="1214"/>
      <c r="H18" s="1224"/>
      <c r="I18" s="1225">
        <f>ROUND(D18*E18*F18*G18/10000,0)</f>
        <v>0</v>
      </c>
    </row>
    <row r="19" spans="1:9" ht="14.25">
      <c r="A19" s="3293"/>
      <c r="B19" s="3294" t="s">
        <v>1076</v>
      </c>
      <c r="C19" s="3294"/>
      <c r="D19" s="1212"/>
      <c r="E19" s="1212"/>
      <c r="F19" s="1213"/>
      <c r="G19" s="1214"/>
      <c r="H19" s="1224"/>
      <c r="I19" s="1225">
        <f>ROUND(D19*E19*F19*G19/10000,0)</f>
        <v>0</v>
      </c>
    </row>
    <row r="20" spans="1:9">
      <c r="A20" s="3293"/>
      <c r="B20" s="3295" t="s">
        <v>1060</v>
      </c>
      <c r="C20" s="3295"/>
      <c r="D20" s="1216">
        <f>SUM(D17:D19)</f>
        <v>0</v>
      </c>
      <c r="E20" s="1216"/>
      <c r="F20" s="1217"/>
      <c r="G20" s="1214"/>
      <c r="H20" s="1221"/>
      <c r="I20" s="1222">
        <f>SUM(I17:I19)</f>
        <v>0</v>
      </c>
    </row>
    <row r="21" spans="1:9">
      <c r="A21" s="3293" t="s">
        <v>1077</v>
      </c>
      <c r="B21" s="3296"/>
      <c r="C21" s="3296"/>
      <c r="D21" s="3296"/>
      <c r="E21" s="3296"/>
      <c r="F21" s="3296"/>
      <c r="G21" s="3296"/>
      <c r="H21" s="1501">
        <v>0.2</v>
      </c>
      <c r="I21" s="1219">
        <f>ROUND(I10*H21,0)</f>
        <v>99</v>
      </c>
    </row>
    <row r="22" spans="1:9" ht="14.25">
      <c r="A22" s="3297" t="s">
        <v>1078</v>
      </c>
      <c r="B22" s="3298"/>
      <c r="C22" s="3299"/>
      <c r="D22" s="1226" t="s">
        <v>1079</v>
      </c>
      <c r="E22" s="1226" t="s">
        <v>1080</v>
      </c>
      <c r="F22" s="1227" t="s">
        <v>1081</v>
      </c>
      <c r="G22" s="1227" t="s">
        <v>1082</v>
      </c>
      <c r="H22" s="1220" t="s">
        <v>1083</v>
      </c>
      <c r="I22" s="1211" t="s">
        <v>1084</v>
      </c>
    </row>
    <row r="23" spans="1:9" ht="14.25" thickBot="1">
      <c r="A23" s="3300"/>
      <c r="B23" s="3301"/>
      <c r="C23" s="3302"/>
      <c r="D23" s="1228"/>
      <c r="E23" s="1228"/>
      <c r="F23" s="1228"/>
      <c r="G23" s="1229"/>
      <c r="H23" s="1230"/>
      <c r="I23" s="1231">
        <f>ROUND(E23*D23*F23*(1-G23)/10000,0)</f>
        <v>0</v>
      </c>
    </row>
    <row r="26" spans="1:9">
      <c r="A26" s="1232" t="s">
        <v>1085</v>
      </c>
      <c r="B26" s="1232"/>
      <c r="C26" s="1232"/>
      <c r="D26" s="1232"/>
      <c r="E26" s="3290">
        <f>C27-C30-C31-C32</f>
        <v>355.2</v>
      </c>
      <c r="F26" s="3290"/>
      <c r="G26" s="3290"/>
      <c r="H26" s="1498" t="s">
        <v>1306</v>
      </c>
    </row>
    <row r="27" spans="1:9">
      <c r="A27" s="1233">
        <v>1</v>
      </c>
      <c r="B27" s="1234" t="s">
        <v>1086</v>
      </c>
      <c r="C27" s="1234">
        <f>D1</f>
        <v>592</v>
      </c>
      <c r="D27" s="1234"/>
      <c r="E27" s="3291"/>
      <c r="F27" s="3291"/>
      <c r="G27" s="3291"/>
    </row>
    <row r="28" spans="1:9">
      <c r="A28" s="1235" t="s">
        <v>1087</v>
      </c>
      <c r="B28" s="1234" t="s">
        <v>1088</v>
      </c>
      <c r="C28" s="1234"/>
      <c r="D28" s="1234"/>
      <c r="E28" s="3291"/>
      <c r="F28" s="3291"/>
      <c r="G28" s="3291"/>
    </row>
    <row r="29" spans="1:9">
      <c r="A29" s="1235" t="s">
        <v>1089</v>
      </c>
      <c r="B29" s="1234" t="s">
        <v>1090</v>
      </c>
      <c r="C29" s="1234"/>
      <c r="D29" s="1234"/>
      <c r="E29" s="1234" t="s">
        <v>1091</v>
      </c>
      <c r="F29" s="1234"/>
      <c r="G29" s="1234"/>
    </row>
    <row r="30" spans="1:9">
      <c r="A30" s="1233">
        <v>2</v>
      </c>
      <c r="B30" s="1234" t="s">
        <v>1092</v>
      </c>
      <c r="C30" s="1234">
        <f>C27*D30</f>
        <v>118.4</v>
      </c>
      <c r="D30" s="1236">
        <v>0.2</v>
      </c>
      <c r="E30" s="1234" t="s">
        <v>1093</v>
      </c>
      <c r="F30" s="1234"/>
      <c r="G30" s="1234"/>
    </row>
    <row r="31" spans="1:9">
      <c r="A31" s="1233">
        <v>3</v>
      </c>
      <c r="B31" s="1234" t="s">
        <v>1094</v>
      </c>
      <c r="C31" s="1234">
        <f>C27*D31</f>
        <v>88.8</v>
      </c>
      <c r="D31" s="1236">
        <v>0.15</v>
      </c>
      <c r="E31" s="1234" t="s">
        <v>1095</v>
      </c>
      <c r="F31" s="1234"/>
      <c r="G31" s="1234"/>
    </row>
    <row r="32" spans="1:9">
      <c r="A32" s="1233">
        <v>4</v>
      </c>
      <c r="B32" s="1234" t="s">
        <v>1096</v>
      </c>
      <c r="C32" s="1234">
        <f>C27*D32</f>
        <v>29.6</v>
      </c>
      <c r="D32" s="1236">
        <v>0.05</v>
      </c>
      <c r="E32" s="3292"/>
      <c r="F32" s="3292"/>
      <c r="G32" s="3292"/>
    </row>
    <row r="33" spans="1:7" hidden="1">
      <c r="A33" s="3287" t="s">
        <v>1097</v>
      </c>
      <c r="B33" s="3288"/>
      <c r="C33" s="3288"/>
      <c r="D33" s="3289"/>
      <c r="E33" s="3290"/>
      <c r="F33" s="3290"/>
      <c r="G33" s="3290"/>
    </row>
    <row r="34" spans="1:7" hidden="1">
      <c r="A34" s="1237">
        <v>1</v>
      </c>
      <c r="B34" s="1234" t="s">
        <v>1098</v>
      </c>
      <c r="C34" s="1234"/>
      <c r="D34" s="1234"/>
      <c r="E34" s="3291"/>
      <c r="F34" s="3291"/>
      <c r="G34" s="3291"/>
    </row>
    <row r="35" spans="1:7" hidden="1">
      <c r="A35" s="1237">
        <v>2</v>
      </c>
      <c r="B35" s="1234" t="s">
        <v>1099</v>
      </c>
      <c r="C35" s="1234"/>
      <c r="D35" s="1234"/>
      <c r="E35" s="3291"/>
      <c r="F35" s="3291"/>
      <c r="G35" s="3291"/>
    </row>
    <row r="36" spans="1:7" hidden="1">
      <c r="A36" s="1237">
        <v>3</v>
      </c>
      <c r="B36" s="1234" t="s">
        <v>1100</v>
      </c>
      <c r="C36" s="1234"/>
      <c r="D36" s="1234"/>
      <c r="E36" s="3291"/>
      <c r="F36" s="3291"/>
      <c r="G36" s="3291"/>
    </row>
    <row r="37" spans="1:7" hidden="1">
      <c r="A37" s="1237">
        <v>4</v>
      </c>
      <c r="B37" s="1234" t="s">
        <v>1101</v>
      </c>
      <c r="C37" s="1234"/>
      <c r="D37" s="1234"/>
      <c r="E37" s="3291"/>
      <c r="F37" s="3291"/>
      <c r="G37" s="3291"/>
    </row>
    <row r="38" spans="1:7" hidden="1">
      <c r="A38" s="3287" t="s">
        <v>1102</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37" sqref="M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1568.25</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26" t="s">
        <v>2357</v>
      </c>
      <c r="D4" s="3327"/>
      <c r="E4" s="3328" t="s">
        <v>2358</v>
      </c>
      <c r="F4" s="3329"/>
      <c r="G4" s="3326" t="s">
        <v>2359</v>
      </c>
      <c r="H4" s="3327"/>
      <c r="I4" s="3326" t="s">
        <v>2360</v>
      </c>
      <c r="J4" s="3327"/>
      <c r="K4" s="2074" t="s">
        <v>2361</v>
      </c>
      <c r="L4" s="2943"/>
      <c r="M4" s="2944"/>
      <c r="N4" s="2944"/>
      <c r="O4" s="2944"/>
      <c r="P4" s="3330" t="s">
        <v>2362</v>
      </c>
      <c r="Q4" s="3331"/>
      <c r="R4" s="3336" t="s">
        <v>2358</v>
      </c>
      <c r="S4" s="3337"/>
      <c r="T4" s="3336" t="s">
        <v>2359</v>
      </c>
      <c r="U4" s="3337"/>
      <c r="V4" s="3342" t="s">
        <v>2360</v>
      </c>
      <c r="W4" s="3342"/>
      <c r="X4" s="1538"/>
      <c r="Y4" s="3336" t="s">
        <v>2362</v>
      </c>
      <c r="Z4" s="3337"/>
      <c r="AA4" s="3323" t="s">
        <v>2358</v>
      </c>
      <c r="AB4" s="3323" t="s">
        <v>2359</v>
      </c>
      <c r="AC4" s="3323" t="s">
        <v>2360</v>
      </c>
    </row>
    <row r="5" spans="1:29" ht="15">
      <c r="A5" s="364"/>
      <c r="B5" s="365"/>
      <c r="C5" s="3345" t="s">
        <v>2363</v>
      </c>
      <c r="D5" s="3346"/>
      <c r="E5" s="3352" t="s">
        <v>2364</v>
      </c>
      <c r="F5" s="3353"/>
      <c r="G5" s="3345" t="s">
        <v>2365</v>
      </c>
      <c r="H5" s="3346"/>
      <c r="I5" s="3345" t="s">
        <v>2366</v>
      </c>
      <c r="J5" s="3346"/>
      <c r="K5" s="2075"/>
      <c r="L5" s="2943"/>
      <c r="M5" s="2944"/>
      <c r="N5" s="2944"/>
      <c r="O5" s="2944"/>
      <c r="P5" s="3332"/>
      <c r="Q5" s="3333"/>
      <c r="R5" s="3338"/>
      <c r="S5" s="3339"/>
      <c r="T5" s="3338"/>
      <c r="U5" s="3339"/>
      <c r="V5" s="3342"/>
      <c r="W5" s="3342"/>
      <c r="X5" s="1538"/>
      <c r="Y5" s="3338"/>
      <c r="Z5" s="3339"/>
      <c r="AA5" s="3324"/>
      <c r="AB5" s="3324"/>
      <c r="AC5" s="3324"/>
    </row>
    <row r="6" spans="1:29" ht="15.75" thickBot="1">
      <c r="A6" s="366"/>
      <c r="B6" s="367"/>
      <c r="C6" s="3343" t="s">
        <v>2367</v>
      </c>
      <c r="D6" s="3344"/>
      <c r="E6" s="3350" t="s">
        <v>2367</v>
      </c>
      <c r="F6" s="3351"/>
      <c r="G6" s="3343" t="s">
        <v>2367</v>
      </c>
      <c r="H6" s="3344"/>
      <c r="I6" s="3343" t="s">
        <v>2367</v>
      </c>
      <c r="J6" s="3344"/>
      <c r="K6" s="2075" t="s">
        <v>2368</v>
      </c>
      <c r="L6" s="2943"/>
      <c r="M6" s="2944"/>
      <c r="N6" s="2944"/>
      <c r="O6" s="2944"/>
      <c r="P6" s="3334"/>
      <c r="Q6" s="3335"/>
      <c r="R6" s="3338"/>
      <c r="S6" s="3339"/>
      <c r="T6" s="3340"/>
      <c r="U6" s="3341"/>
      <c r="V6" s="3342"/>
      <c r="W6" s="3342"/>
      <c r="X6" s="1538"/>
      <c r="Y6" s="3340"/>
      <c r="Z6" s="3341"/>
      <c r="AA6" s="3325"/>
      <c r="AB6" s="3325"/>
      <c r="AC6" s="3325"/>
    </row>
    <row r="7" spans="1:29" s="113" customFormat="1" ht="15.75" thickBot="1">
      <c r="A7" s="368" t="s">
        <v>2369</v>
      </c>
      <c r="B7" s="369"/>
      <c r="C7" s="370">
        <f>'数据-取费表'!B2</f>
        <v>44328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47" t="s">
        <v>2370</v>
      </c>
      <c r="Q7" s="3349"/>
      <c r="R7" s="710" t="s">
        <v>23</v>
      </c>
      <c r="S7" s="711">
        <f t="shared" ref="S7:S15" si="0">F7</f>
        <v>0</v>
      </c>
      <c r="T7" s="710" t="s">
        <v>23</v>
      </c>
      <c r="U7" s="711">
        <f t="shared" ref="U7:U15" si="1">H7</f>
        <v>0</v>
      </c>
      <c r="V7" s="710" t="s">
        <v>23</v>
      </c>
      <c r="W7" s="711">
        <f t="shared" ref="W7:W15" si="2">J7</f>
        <v>0</v>
      </c>
      <c r="X7" s="712"/>
      <c r="Y7" s="3347" t="s">
        <v>2370</v>
      </c>
      <c r="Z7" s="3348"/>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47" t="s">
        <v>2373</v>
      </c>
      <c r="Q8" s="3348"/>
      <c r="R8" s="710" t="s">
        <v>23</v>
      </c>
      <c r="S8" s="711">
        <f t="shared" si="0"/>
        <v>0</v>
      </c>
      <c r="T8" s="710" t="s">
        <v>23</v>
      </c>
      <c r="U8" s="711">
        <f t="shared" si="1"/>
        <v>0</v>
      </c>
      <c r="V8" s="710" t="s">
        <v>23</v>
      </c>
      <c r="W8" s="711">
        <f t="shared" si="2"/>
        <v>0</v>
      </c>
      <c r="X8" s="712"/>
      <c r="Y8" s="3347" t="s">
        <v>2373</v>
      </c>
      <c r="Z8" s="334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22"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2"/>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2"/>
      <c r="Q11" s="1526" t="str">
        <f t="shared" si="6"/>
        <v>容积率</v>
      </c>
      <c r="R11" s="710" t="s">
        <v>21</v>
      </c>
      <c r="S11" s="711" t="e">
        <f t="shared" si="0"/>
        <v>#N/A</v>
      </c>
      <c r="T11" s="710" t="s">
        <v>21</v>
      </c>
      <c r="U11" s="711" t="e">
        <f t="shared" si="1"/>
        <v>#N/A</v>
      </c>
      <c r="V11" s="710" t="s">
        <v>21</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22"/>
      <c r="Q12" s="1526">
        <f t="shared" si="6"/>
        <v>111</v>
      </c>
      <c r="R12" s="710" t="s">
        <v>21</v>
      </c>
      <c r="S12" s="711">
        <f t="shared" si="0"/>
        <v>100</v>
      </c>
      <c r="T12" s="710" t="s">
        <v>21</v>
      </c>
      <c r="U12" s="711">
        <f t="shared" si="1"/>
        <v>100</v>
      </c>
      <c r="V12" s="710" t="s">
        <v>21</v>
      </c>
      <c r="W12" s="711">
        <f t="shared" si="2"/>
        <v>100</v>
      </c>
      <c r="X12" s="712"/>
      <c r="Y12" s="315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22"/>
      <c r="Q13" s="1526">
        <f t="shared" si="6"/>
        <v>111</v>
      </c>
      <c r="R13" s="710" t="s">
        <v>21</v>
      </c>
      <c r="S13" s="711">
        <f t="shared" si="0"/>
        <v>100</v>
      </c>
      <c r="T13" s="710" t="s">
        <v>21</v>
      </c>
      <c r="U13" s="711">
        <f t="shared" si="1"/>
        <v>100</v>
      </c>
      <c r="V13" s="710" t="s">
        <v>21</v>
      </c>
      <c r="W13" s="711">
        <f t="shared" si="2"/>
        <v>100</v>
      </c>
      <c r="X13" s="712"/>
      <c r="Y13" s="3155"/>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22"/>
      <c r="Q14" s="1526">
        <f t="shared" si="6"/>
        <v>111</v>
      </c>
      <c r="R14" s="710" t="s">
        <v>21</v>
      </c>
      <c r="S14" s="711">
        <f t="shared" si="0"/>
        <v>100</v>
      </c>
      <c r="T14" s="710" t="s">
        <v>21</v>
      </c>
      <c r="U14" s="711">
        <f t="shared" si="1"/>
        <v>100</v>
      </c>
      <c r="V14" s="710" t="s">
        <v>21</v>
      </c>
      <c r="W14" s="711">
        <f t="shared" si="2"/>
        <v>100</v>
      </c>
      <c r="X14" s="712"/>
      <c r="Y14" s="3155"/>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0" t="s">
        <v>2381</v>
      </c>
      <c r="Q15" s="1535" t="str">
        <f t="shared" si="6"/>
        <v>居住社区成熟度</v>
      </c>
      <c r="R15" s="714" t="s">
        <v>21</v>
      </c>
      <c r="S15" s="715">
        <f t="shared" si="0"/>
        <v>100</v>
      </c>
      <c r="T15" s="714" t="s">
        <v>21</v>
      </c>
      <c r="U15" s="715">
        <f t="shared" si="1"/>
        <v>100</v>
      </c>
      <c r="V15" s="714" t="s">
        <v>21</v>
      </c>
      <c r="W15" s="715">
        <f t="shared" si="2"/>
        <v>100</v>
      </c>
      <c r="X15" s="1538"/>
      <c r="Y15" s="3313"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21"/>
      <c r="Q16" s="1535"/>
      <c r="R16" s="714"/>
      <c r="S16" s="715"/>
      <c r="T16" s="714"/>
      <c r="U16" s="715"/>
      <c r="V16" s="714"/>
      <c r="W16" s="715"/>
      <c r="X16" s="1538"/>
      <c r="Y16" s="3314"/>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1"/>
      <c r="Q17" s="1535" t="str">
        <f>B17</f>
        <v>交通便捷度</v>
      </c>
      <c r="R17" s="714" t="s">
        <v>21</v>
      </c>
      <c r="S17" s="715">
        <f>F17</f>
        <v>100</v>
      </c>
      <c r="T17" s="714" t="s">
        <v>21</v>
      </c>
      <c r="U17" s="715">
        <f>H17</f>
        <v>100</v>
      </c>
      <c r="V17" s="714" t="s">
        <v>21</v>
      </c>
      <c r="W17" s="715">
        <f>J17</f>
        <v>100</v>
      </c>
      <c r="X17" s="1538"/>
      <c r="Y17" s="3314"/>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21"/>
      <c r="Q18" s="1535"/>
      <c r="R18" s="714"/>
      <c r="S18" s="715"/>
      <c r="T18" s="714"/>
      <c r="U18" s="715"/>
      <c r="V18" s="714"/>
      <c r="W18" s="715"/>
      <c r="X18" s="1538"/>
      <c r="Y18" s="3314"/>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1"/>
      <c r="Q19" s="1535" t="str">
        <f>B19</f>
        <v>公共配套设施</v>
      </c>
      <c r="R19" s="714" t="s">
        <v>21</v>
      </c>
      <c r="S19" s="715">
        <f>F19</f>
        <v>100</v>
      </c>
      <c r="T19" s="714" t="s">
        <v>21</v>
      </c>
      <c r="U19" s="715">
        <f>H19</f>
        <v>100</v>
      </c>
      <c r="V19" s="714" t="s">
        <v>21</v>
      </c>
      <c r="W19" s="715">
        <f>J19</f>
        <v>100</v>
      </c>
      <c r="X19" s="1538"/>
      <c r="Y19" s="3314"/>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21"/>
      <c r="Q20" s="1535"/>
      <c r="R20" s="714"/>
      <c r="S20" s="715"/>
      <c r="T20" s="714"/>
      <c r="U20" s="715"/>
      <c r="V20" s="714"/>
      <c r="W20" s="715"/>
      <c r="X20" s="1538"/>
      <c r="Y20" s="3314"/>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1"/>
      <c r="Q21" s="1535" t="str">
        <f>B21</f>
        <v>基础设施水平</v>
      </c>
      <c r="R21" s="714" t="s">
        <v>17</v>
      </c>
      <c r="S21" s="715">
        <f>F21</f>
        <v>100</v>
      </c>
      <c r="T21" s="714" t="s">
        <v>17</v>
      </c>
      <c r="U21" s="715">
        <f>H21</f>
        <v>100</v>
      </c>
      <c r="V21" s="714" t="s">
        <v>17</v>
      </c>
      <c r="W21" s="715">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21"/>
      <c r="Q22" s="1535"/>
      <c r="R22" s="714"/>
      <c r="S22" s="715"/>
      <c r="T22" s="714"/>
      <c r="U22" s="715"/>
      <c r="V22" s="714"/>
      <c r="W22" s="715"/>
      <c r="X22" s="1538"/>
      <c r="Y22" s="3314"/>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1"/>
      <c r="Q23" s="1535" t="str">
        <f>B23</f>
        <v>自然及人文环境</v>
      </c>
      <c r="R23" s="714" t="s">
        <v>21</v>
      </c>
      <c r="S23" s="715">
        <f>F23</f>
        <v>100</v>
      </c>
      <c r="T23" s="714" t="s">
        <v>21</v>
      </c>
      <c r="U23" s="715">
        <f>H23</f>
        <v>100</v>
      </c>
      <c r="V23" s="714" t="s">
        <v>21</v>
      </c>
      <c r="W23" s="715">
        <f>J23</f>
        <v>100</v>
      </c>
      <c r="X23" s="1538"/>
      <c r="Y23" s="3314"/>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21"/>
      <c r="Q24" s="1535"/>
      <c r="R24" s="714"/>
      <c r="S24" s="715"/>
      <c r="T24" s="714"/>
      <c r="U24" s="715"/>
      <c r="V24" s="714"/>
      <c r="W24" s="715"/>
      <c r="X24" s="1538"/>
      <c r="Y24" s="3314"/>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21"/>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4"/>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21"/>
      <c r="Q26" s="1535" t="str">
        <f t="shared" si="11"/>
        <v>朝向</v>
      </c>
      <c r="R26" s="714" t="s">
        <v>21</v>
      </c>
      <c r="S26" s="715">
        <f t="shared" si="12"/>
        <v>100</v>
      </c>
      <c r="T26" s="714" t="s">
        <v>21</v>
      </c>
      <c r="U26" s="715">
        <f t="shared" si="13"/>
        <v>100</v>
      </c>
      <c r="V26" s="714" t="s">
        <v>21</v>
      </c>
      <c r="W26" s="715">
        <f t="shared" si="14"/>
        <v>100</v>
      </c>
      <c r="X26" s="1538"/>
      <c r="Y26" s="3314"/>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21"/>
      <c r="Q27" s="1526">
        <f t="shared" si="11"/>
        <v>111</v>
      </c>
      <c r="R27" s="710" t="s">
        <v>21</v>
      </c>
      <c r="S27" s="711">
        <f t="shared" si="12"/>
        <v>100</v>
      </c>
      <c r="T27" s="710" t="s">
        <v>21</v>
      </c>
      <c r="U27" s="711">
        <f t="shared" si="13"/>
        <v>100</v>
      </c>
      <c r="V27" s="710" t="s">
        <v>21</v>
      </c>
      <c r="W27" s="711">
        <f t="shared" si="14"/>
        <v>100</v>
      </c>
      <c r="X27" s="712"/>
      <c r="Y27" s="3314"/>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21"/>
      <c r="Q28" s="1535">
        <f t="shared" si="11"/>
        <v>111</v>
      </c>
      <c r="R28" s="714" t="s">
        <v>21</v>
      </c>
      <c r="S28" s="715">
        <f t="shared" si="12"/>
        <v>100</v>
      </c>
      <c r="T28" s="714" t="s">
        <v>21</v>
      </c>
      <c r="U28" s="715">
        <f t="shared" si="13"/>
        <v>100</v>
      </c>
      <c r="V28" s="714" t="s">
        <v>21</v>
      </c>
      <c r="W28" s="715">
        <f t="shared" si="14"/>
        <v>100</v>
      </c>
      <c r="X28" s="1538"/>
      <c r="Y28" s="3314"/>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21"/>
      <c r="Q29" s="1535">
        <f t="shared" si="11"/>
        <v>111</v>
      </c>
      <c r="R29" s="714" t="s">
        <v>21</v>
      </c>
      <c r="S29" s="715">
        <f t="shared" si="12"/>
        <v>100</v>
      </c>
      <c r="T29" s="714" t="s">
        <v>21</v>
      </c>
      <c r="U29" s="715">
        <f t="shared" si="13"/>
        <v>100</v>
      </c>
      <c r="V29" s="714" t="s">
        <v>21</v>
      </c>
      <c r="W29" s="715">
        <f t="shared" si="14"/>
        <v>100</v>
      </c>
      <c r="X29" s="1538"/>
      <c r="Y29" s="3314"/>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21"/>
      <c r="Q30" s="1535">
        <f t="shared" si="11"/>
        <v>111</v>
      </c>
      <c r="R30" s="714" t="s">
        <v>21</v>
      </c>
      <c r="S30" s="715">
        <f t="shared" si="12"/>
        <v>100</v>
      </c>
      <c r="T30" s="714" t="s">
        <v>21</v>
      </c>
      <c r="U30" s="715">
        <f t="shared" si="13"/>
        <v>100</v>
      </c>
      <c r="V30" s="714" t="s">
        <v>21</v>
      </c>
      <c r="W30" s="715">
        <f t="shared" si="14"/>
        <v>100</v>
      </c>
      <c r="X30" s="1538"/>
      <c r="Y30" s="3314"/>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21"/>
      <c r="Q31" s="1535">
        <f t="shared" si="11"/>
        <v>111</v>
      </c>
      <c r="R31" s="714" t="s">
        <v>21</v>
      </c>
      <c r="S31" s="715">
        <f t="shared" si="12"/>
        <v>100</v>
      </c>
      <c r="T31" s="714" t="s">
        <v>21</v>
      </c>
      <c r="U31" s="715">
        <f t="shared" si="13"/>
        <v>100</v>
      </c>
      <c r="V31" s="714" t="s">
        <v>21</v>
      </c>
      <c r="W31" s="715">
        <f t="shared" si="14"/>
        <v>100</v>
      </c>
      <c r="X31" s="1538"/>
      <c r="Y31" s="3314"/>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15" t="s">
        <v>2386</v>
      </c>
      <c r="Q32" s="1535" t="str">
        <f t="shared" si="11"/>
        <v>建筑类型</v>
      </c>
      <c r="R32" s="714" t="s">
        <v>21</v>
      </c>
      <c r="S32" s="715">
        <f t="shared" si="12"/>
        <v>100</v>
      </c>
      <c r="T32" s="714" t="s">
        <v>21</v>
      </c>
      <c r="U32" s="715">
        <f t="shared" si="13"/>
        <v>100</v>
      </c>
      <c r="V32" s="714" t="s">
        <v>21</v>
      </c>
      <c r="W32" s="715">
        <f t="shared" si="14"/>
        <v>100</v>
      </c>
      <c r="X32" s="1538"/>
      <c r="Y32" s="3318"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16"/>
      <c r="Q33" s="716" t="str">
        <f t="shared" si="11"/>
        <v>项目建筑规模</v>
      </c>
      <c r="R33" s="717" t="s">
        <v>21</v>
      </c>
      <c r="S33" s="718" t="e">
        <f t="shared" si="12"/>
        <v>#N/A</v>
      </c>
      <c r="T33" s="717" t="s">
        <v>21</v>
      </c>
      <c r="U33" s="718" t="e">
        <f t="shared" si="13"/>
        <v>#N/A</v>
      </c>
      <c r="V33" s="717" t="s">
        <v>21</v>
      </c>
      <c r="W33" s="718" t="e">
        <f t="shared" si="14"/>
        <v>#N/A</v>
      </c>
      <c r="X33" s="719"/>
      <c r="Y33" s="3318"/>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16"/>
      <c r="Q34" s="1535" t="str">
        <f t="shared" si="11"/>
        <v>建筑结构</v>
      </c>
      <c r="R34" s="714" t="s">
        <v>21</v>
      </c>
      <c r="S34" s="715">
        <f t="shared" si="12"/>
        <v>100</v>
      </c>
      <c r="T34" s="714" t="s">
        <v>21</v>
      </c>
      <c r="U34" s="715">
        <f t="shared" si="13"/>
        <v>100</v>
      </c>
      <c r="V34" s="714" t="s">
        <v>21</v>
      </c>
      <c r="W34" s="715">
        <f t="shared" si="14"/>
        <v>100</v>
      </c>
      <c r="X34" s="1538"/>
      <c r="Y34" s="3318"/>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16"/>
      <c r="Q35" s="1535" t="str">
        <f t="shared" si="11"/>
        <v>建筑品质</v>
      </c>
      <c r="R35" s="714" t="s">
        <v>21</v>
      </c>
      <c r="S35" s="715">
        <f t="shared" si="12"/>
        <v>100</v>
      </c>
      <c r="T35" s="714" t="s">
        <v>21</v>
      </c>
      <c r="U35" s="715">
        <f t="shared" si="13"/>
        <v>100</v>
      </c>
      <c r="V35" s="714" t="s">
        <v>21</v>
      </c>
      <c r="W35" s="715">
        <f t="shared" si="14"/>
        <v>100</v>
      </c>
      <c r="X35" s="1538"/>
      <c r="Y35" s="3318"/>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16"/>
      <c r="Q36" s="1535" t="str">
        <f t="shared" si="11"/>
        <v>公共部分装修</v>
      </c>
      <c r="R36" s="714" t="s">
        <v>21</v>
      </c>
      <c r="S36" s="715">
        <f t="shared" si="12"/>
        <v>100</v>
      </c>
      <c r="T36" s="714" t="s">
        <v>21</v>
      </c>
      <c r="U36" s="715">
        <f t="shared" si="13"/>
        <v>100</v>
      </c>
      <c r="V36" s="714" t="s">
        <v>21</v>
      </c>
      <c r="W36" s="715">
        <f t="shared" si="14"/>
        <v>100</v>
      </c>
      <c r="X36" s="1538"/>
      <c r="Y36" s="3318"/>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6"/>
      <c r="Q37" s="1526" t="str">
        <f t="shared" si="11"/>
        <v>成新度</v>
      </c>
      <c r="R37" s="710" t="s">
        <v>21</v>
      </c>
      <c r="S37" s="711" t="e">
        <f t="shared" si="12"/>
        <v>#N/A</v>
      </c>
      <c r="T37" s="710" t="s">
        <v>21</v>
      </c>
      <c r="U37" s="711" t="e">
        <f t="shared" si="13"/>
        <v>#N/A</v>
      </c>
      <c r="V37" s="710" t="s">
        <v>21</v>
      </c>
      <c r="W37" s="711" t="e">
        <f t="shared" si="14"/>
        <v>#N/A</v>
      </c>
      <c r="X37" s="712"/>
      <c r="Y37" s="3318"/>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16" t="s">
        <v>2386</v>
      </c>
      <c r="Q38" s="1535" t="str">
        <f t="shared" si="11"/>
        <v>物业管理</v>
      </c>
      <c r="R38" s="714" t="s">
        <v>21</v>
      </c>
      <c r="S38" s="715">
        <f t="shared" si="12"/>
        <v>100</v>
      </c>
      <c r="T38" s="714" t="s">
        <v>21</v>
      </c>
      <c r="U38" s="715">
        <f t="shared" si="13"/>
        <v>100</v>
      </c>
      <c r="V38" s="714" t="s">
        <v>21</v>
      </c>
      <c r="W38" s="715">
        <f t="shared" si="14"/>
        <v>100</v>
      </c>
      <c r="X38" s="1538"/>
      <c r="Y38" s="3318"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16"/>
      <c r="Q39" s="1535" t="str">
        <f t="shared" si="11"/>
        <v>市政基础设施</v>
      </c>
      <c r="R39" s="714" t="s">
        <v>21</v>
      </c>
      <c r="S39" s="715">
        <f t="shared" si="12"/>
        <v>100</v>
      </c>
      <c r="T39" s="714" t="s">
        <v>21</v>
      </c>
      <c r="U39" s="715">
        <f t="shared" si="13"/>
        <v>100</v>
      </c>
      <c r="V39" s="714" t="s">
        <v>21</v>
      </c>
      <c r="W39" s="715">
        <f t="shared" si="14"/>
        <v>100</v>
      </c>
      <c r="X39" s="1538"/>
      <c r="Y39" s="3318"/>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16"/>
      <c r="Q40" s="1535" t="str">
        <f t="shared" si="11"/>
        <v>房型</v>
      </c>
      <c r="R40" s="714" t="s">
        <v>21</v>
      </c>
      <c r="S40" s="715">
        <f t="shared" si="12"/>
        <v>100</v>
      </c>
      <c r="T40" s="714" t="s">
        <v>21</v>
      </c>
      <c r="U40" s="715">
        <f t="shared" si="13"/>
        <v>100</v>
      </c>
      <c r="V40" s="714" t="s">
        <v>21</v>
      </c>
      <c r="W40" s="715">
        <f t="shared" si="14"/>
        <v>100</v>
      </c>
      <c r="X40" s="1538"/>
      <c r="Y40" s="3318"/>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16"/>
      <c r="Q41" s="716" t="str">
        <f t="shared" si="11"/>
        <v>单套/主力户型建筑面积</v>
      </c>
      <c r="R41" s="717" t="s">
        <v>21</v>
      </c>
      <c r="S41" s="718">
        <f t="shared" si="12"/>
        <v>100</v>
      </c>
      <c r="T41" s="717" t="s">
        <v>21</v>
      </c>
      <c r="U41" s="718">
        <f t="shared" si="13"/>
        <v>100</v>
      </c>
      <c r="V41" s="717" t="s">
        <v>21</v>
      </c>
      <c r="W41" s="718">
        <f t="shared" si="14"/>
        <v>100</v>
      </c>
      <c r="X41" s="719"/>
      <c r="Y41" s="3318"/>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16"/>
      <c r="Q42" s="1535" t="str">
        <f t="shared" si="11"/>
        <v>内部装修</v>
      </c>
      <c r="R42" s="714" t="s">
        <v>21</v>
      </c>
      <c r="S42" s="715">
        <f t="shared" si="12"/>
        <v>100</v>
      </c>
      <c r="T42" s="714" t="s">
        <v>21</v>
      </c>
      <c r="U42" s="715">
        <f t="shared" si="13"/>
        <v>100</v>
      </c>
      <c r="V42" s="714" t="s">
        <v>21</v>
      </c>
      <c r="W42" s="715">
        <f t="shared" si="14"/>
        <v>100</v>
      </c>
      <c r="X42" s="1538"/>
      <c r="Y42" s="3318"/>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16"/>
      <c r="Q43" s="1535" t="str">
        <f t="shared" si="11"/>
        <v>内部装修维护情况</v>
      </c>
      <c r="R43" s="714" t="s">
        <v>21</v>
      </c>
      <c r="S43" s="715">
        <f t="shared" si="12"/>
        <v>100</v>
      </c>
      <c r="T43" s="714" t="s">
        <v>21</v>
      </c>
      <c r="U43" s="715">
        <f t="shared" si="13"/>
        <v>100</v>
      </c>
      <c r="V43" s="714" t="s">
        <v>21</v>
      </c>
      <c r="W43" s="715">
        <f t="shared" si="14"/>
        <v>100</v>
      </c>
      <c r="X43" s="1538"/>
      <c r="Y43" s="3318"/>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16"/>
      <c r="Q44" s="1526">
        <f t="shared" si="11"/>
        <v>111</v>
      </c>
      <c r="R44" s="710" t="s">
        <v>21</v>
      </c>
      <c r="S44" s="711">
        <f t="shared" si="12"/>
        <v>100</v>
      </c>
      <c r="T44" s="710" t="s">
        <v>21</v>
      </c>
      <c r="U44" s="711">
        <f t="shared" si="13"/>
        <v>100</v>
      </c>
      <c r="V44" s="710" t="s">
        <v>21</v>
      </c>
      <c r="W44" s="711">
        <f t="shared" si="14"/>
        <v>100</v>
      </c>
      <c r="X44" s="712"/>
      <c r="Y44" s="3318"/>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16"/>
      <c r="Q45" s="1535">
        <f t="shared" si="11"/>
        <v>111</v>
      </c>
      <c r="R45" s="714" t="s">
        <v>21</v>
      </c>
      <c r="S45" s="715">
        <f t="shared" si="12"/>
        <v>100</v>
      </c>
      <c r="T45" s="714" t="s">
        <v>21</v>
      </c>
      <c r="U45" s="715">
        <f t="shared" si="13"/>
        <v>100</v>
      </c>
      <c r="V45" s="714" t="s">
        <v>21</v>
      </c>
      <c r="W45" s="715">
        <f t="shared" si="14"/>
        <v>100</v>
      </c>
      <c r="X45" s="1538"/>
      <c r="Y45" s="3318"/>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17"/>
      <c r="Q46" s="1535">
        <f t="shared" si="11"/>
        <v>111</v>
      </c>
      <c r="R46" s="714" t="s">
        <v>20</v>
      </c>
      <c r="S46" s="715">
        <f t="shared" si="12"/>
        <v>100</v>
      </c>
      <c r="T46" s="714" t="s">
        <v>20</v>
      </c>
      <c r="U46" s="715">
        <f t="shared" si="13"/>
        <v>100</v>
      </c>
      <c r="V46" s="714" t="s">
        <v>20</v>
      </c>
      <c r="W46" s="715">
        <f t="shared" si="14"/>
        <v>100</v>
      </c>
      <c r="X46" s="1538"/>
      <c r="Y46" s="3319"/>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11" t="str">
        <f>A47</f>
        <v>成交单价（元/平方米）</v>
      </c>
      <c r="Q47" s="3311"/>
      <c r="R47" s="3312">
        <f>E47</f>
        <v>0</v>
      </c>
      <c r="S47" s="3312"/>
      <c r="T47" s="3312">
        <f>G47</f>
        <v>0</v>
      </c>
      <c r="U47" s="3312"/>
      <c r="V47" s="3312">
        <f>I47</f>
        <v>0</v>
      </c>
      <c r="W47" s="3312"/>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1"/>
      <c r="L57" s="1072"/>
      <c r="M57" s="1070"/>
      <c r="N57" s="1070"/>
      <c r="O57" s="1070"/>
      <c r="P57" s="2103"/>
      <c r="Q57" s="461"/>
    </row>
    <row r="58" spans="1:29" s="465" customFormat="1" ht="15">
      <c r="A58" s="462" t="s">
        <v>2405</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2"/>
      <c r="O61" s="1062"/>
      <c r="P61" s="2106"/>
      <c r="Q61" s="461"/>
    </row>
    <row r="62" spans="1:29" s="113" customFormat="1" ht="15.75" thickBot="1">
      <c r="A62" s="478"/>
      <c r="B62" s="467"/>
      <c r="C62" s="468">
        <v>100</v>
      </c>
      <c r="D62" s="469"/>
      <c r="E62" s="469"/>
      <c r="F62" s="469"/>
      <c r="G62" s="469"/>
      <c r="H62" s="469"/>
      <c r="I62" s="469"/>
      <c r="J62" s="469"/>
      <c r="K62" s="469"/>
      <c r="L62" s="469"/>
      <c r="M62" s="471"/>
      <c r="N62" s="1062"/>
      <c r="O62" s="1062"/>
      <c r="P62" s="2105"/>
      <c r="Q62" s="461"/>
    </row>
    <row r="63" spans="1:29">
      <c r="A63" s="484" t="s">
        <v>2409</v>
      </c>
      <c r="B63" s="485" t="s">
        <v>2375</v>
      </c>
      <c r="C63" s="486">
        <f>C9</f>
        <v>0</v>
      </c>
      <c r="D63" s="487"/>
      <c r="E63" s="487"/>
      <c r="F63" s="487"/>
      <c r="G63" s="487"/>
      <c r="H63" s="487"/>
      <c r="I63" s="487"/>
      <c r="J63" s="487"/>
      <c r="K63" s="488"/>
      <c r="L63" s="489"/>
      <c r="M63" s="490"/>
      <c r="N63" s="1063"/>
      <c r="O63" s="1063"/>
      <c r="P63" s="2107"/>
      <c r="Q63" s="461"/>
    </row>
    <row r="64" spans="1:29" ht="15.75" thickBot="1">
      <c r="A64" s="491"/>
      <c r="B64" s="492"/>
      <c r="C64" s="493">
        <v>100</v>
      </c>
      <c r="D64" s="493"/>
      <c r="E64" s="493"/>
      <c r="F64" s="493"/>
      <c r="G64" s="493"/>
      <c r="H64" s="493"/>
      <c r="I64" s="493"/>
      <c r="J64" s="493"/>
      <c r="K64" s="493"/>
      <c r="L64" s="493"/>
      <c r="M64" s="494"/>
      <c r="N64" s="1064"/>
      <c r="O64" s="1064"/>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7"/>
      <c r="Q67" s="461"/>
    </row>
    <row r="68" spans="1:17" ht="15">
      <c r="A68" s="491"/>
      <c r="B68" s="505"/>
      <c r="C68" s="506"/>
      <c r="D68" s="506"/>
      <c r="E68" s="506"/>
      <c r="F68" s="506"/>
      <c r="G68" s="506"/>
      <c r="H68" s="506"/>
      <c r="I68" s="506"/>
      <c r="J68" s="506"/>
      <c r="K68" s="507"/>
      <c r="L68" s="508"/>
      <c r="M68" s="509"/>
      <c r="N68" s="1063"/>
      <c r="O68" s="1063"/>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7"/>
      <c r="Q69" s="461"/>
    </row>
    <row r="70" spans="1:17" s="430" customFormat="1" ht="15.75" thickTop="1">
      <c r="A70" s="510"/>
      <c r="B70" s="495">
        <f>B12</f>
        <v>111</v>
      </c>
      <c r="C70" s="511"/>
      <c r="D70" s="511"/>
      <c r="E70" s="511"/>
      <c r="F70" s="511"/>
      <c r="G70" s="511"/>
      <c r="H70" s="512"/>
      <c r="I70" s="512"/>
      <c r="J70" s="512"/>
      <c r="K70" s="512"/>
      <c r="L70" s="513"/>
      <c r="M70" s="514"/>
      <c r="N70" s="1065"/>
      <c r="O70" s="1065"/>
      <c r="P70" s="2108"/>
      <c r="Q70" s="516"/>
    </row>
    <row r="71" spans="1:17" s="430" customFormat="1" ht="15.75" thickBot="1">
      <c r="A71" s="510"/>
      <c r="B71" s="500"/>
      <c r="C71" s="517"/>
      <c r="D71" s="493"/>
      <c r="E71" s="493"/>
      <c r="F71" s="493"/>
      <c r="G71" s="493"/>
      <c r="H71" s="493"/>
      <c r="I71" s="493"/>
      <c r="J71" s="493"/>
      <c r="K71" s="493"/>
      <c r="L71" s="493"/>
      <c r="M71" s="494"/>
      <c r="N71" s="1064"/>
      <c r="O71" s="1064"/>
      <c r="P71" s="2108"/>
      <c r="Q71" s="516"/>
    </row>
    <row r="72" spans="1:17" s="430" customFormat="1" ht="15.75" thickTop="1">
      <c r="A72" s="510"/>
      <c r="B72" s="495">
        <f>B13</f>
        <v>111</v>
      </c>
      <c r="C72" s="511"/>
      <c r="D72" s="511"/>
      <c r="E72" s="511"/>
      <c r="F72" s="511"/>
      <c r="G72" s="511"/>
      <c r="H72" s="512"/>
      <c r="I72" s="512"/>
      <c r="J72" s="512"/>
      <c r="K72" s="512"/>
      <c r="L72" s="513"/>
      <c r="M72" s="514"/>
      <c r="N72" s="1065"/>
      <c r="O72" s="1065"/>
      <c r="P72" s="2109"/>
      <c r="Q72" s="518"/>
    </row>
    <row r="73" spans="1:17" s="430" customFormat="1" ht="15.75" thickBot="1">
      <c r="A73" s="510"/>
      <c r="B73" s="500"/>
      <c r="C73" s="517"/>
      <c r="D73" s="517"/>
      <c r="E73" s="517"/>
      <c r="F73" s="517"/>
      <c r="G73" s="517"/>
      <c r="H73" s="519"/>
      <c r="I73" s="519"/>
      <c r="J73" s="519"/>
      <c r="K73" s="519"/>
      <c r="L73" s="519"/>
      <c r="M73" s="520"/>
      <c r="N73" s="1065"/>
      <c r="O73" s="1065"/>
      <c r="P73" s="2108"/>
      <c r="Q73" s="516"/>
    </row>
    <row r="74" spans="1:17" s="430" customFormat="1" ht="15.75" thickTop="1">
      <c r="A74" s="510"/>
      <c r="B74" s="503">
        <f>B14</f>
        <v>111</v>
      </c>
      <c r="C74" s="511"/>
      <c r="D74" s="511"/>
      <c r="E74" s="511"/>
      <c r="F74" s="511"/>
      <c r="G74" s="480"/>
      <c r="H74" s="521"/>
      <c r="I74" s="521"/>
      <c r="J74" s="521"/>
      <c r="K74" s="521"/>
      <c r="L74" s="522"/>
      <c r="M74" s="523"/>
      <c r="N74" s="1065"/>
      <c r="O74" s="1065"/>
      <c r="P74" s="2110"/>
      <c r="Q74" s="516"/>
    </row>
    <row r="75" spans="1:17" s="430" customFormat="1" ht="15.75" thickBot="1">
      <c r="A75" s="525"/>
      <c r="B75" s="526"/>
      <c r="C75" s="527"/>
      <c r="D75" s="527"/>
      <c r="E75" s="527"/>
      <c r="F75" s="527"/>
      <c r="G75" s="527"/>
      <c r="H75" s="528"/>
      <c r="I75" s="528"/>
      <c r="J75" s="528"/>
      <c r="K75" s="528"/>
      <c r="L75" s="528"/>
      <c r="M75" s="529"/>
      <c r="N75" s="1065"/>
      <c r="O75" s="1065"/>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7"/>
      <c r="Q85" s="461"/>
    </row>
    <row r="86" spans="1:17" s="113" customFormat="1" ht="15.75" thickTop="1">
      <c r="A86" s="536"/>
      <c r="B86" s="495" t="s">
        <v>2431</v>
      </c>
      <c r="C86" s="511"/>
      <c r="D86" s="511"/>
      <c r="E86" s="511"/>
      <c r="F86" s="511"/>
      <c r="G86" s="511"/>
      <c r="H86" s="511"/>
      <c r="I86" s="511"/>
      <c r="J86" s="511"/>
      <c r="K86" s="511"/>
      <c r="L86" s="537"/>
      <c r="M86" s="538"/>
      <c r="N86" s="1062"/>
      <c r="O86" s="1062"/>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7"/>
      <c r="Q87" s="461"/>
    </row>
    <row r="88" spans="1:17" s="113" customFormat="1" ht="15.75" thickTop="1">
      <c r="A88" s="536"/>
      <c r="B88" s="495" t="s">
        <v>2432</v>
      </c>
      <c r="C88" s="511"/>
      <c r="D88" s="511"/>
      <c r="E88" s="511"/>
      <c r="F88" s="2112"/>
      <c r="G88" s="511"/>
      <c r="H88" s="511"/>
      <c r="I88" s="511"/>
      <c r="J88" s="511"/>
      <c r="K88" s="511"/>
      <c r="L88" s="511"/>
      <c r="M88" s="538"/>
      <c r="N88" s="1062"/>
      <c r="O88" s="1062"/>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7"/>
      <c r="Q89" s="461"/>
    </row>
    <row r="90" spans="1:17" s="430" customFormat="1" ht="15.75" thickTop="1">
      <c r="A90" s="510"/>
      <c r="B90" s="495">
        <f>B27</f>
        <v>111</v>
      </c>
      <c r="C90" s="511"/>
      <c r="D90" s="511"/>
      <c r="E90" s="511"/>
      <c r="F90" s="511"/>
      <c r="G90" s="511"/>
      <c r="H90" s="512"/>
      <c r="I90" s="512"/>
      <c r="J90" s="512"/>
      <c r="K90" s="512"/>
      <c r="L90" s="513"/>
      <c r="M90" s="514"/>
      <c r="N90" s="1065"/>
      <c r="O90" s="1065"/>
      <c r="P90" s="2108"/>
      <c r="Q90" s="516"/>
    </row>
    <row r="91" spans="1:17" s="430" customFormat="1" ht="15.75" thickBot="1">
      <c r="A91" s="510"/>
      <c r="B91" s="500"/>
      <c r="C91" s="517"/>
      <c r="D91" s="517"/>
      <c r="E91" s="517"/>
      <c r="F91" s="517"/>
      <c r="G91" s="517"/>
      <c r="H91" s="519"/>
      <c r="I91" s="519"/>
      <c r="J91" s="519"/>
      <c r="K91" s="519"/>
      <c r="L91" s="519"/>
      <c r="M91" s="520"/>
      <c r="N91" s="1065"/>
      <c r="O91" s="1065"/>
      <c r="P91" s="2108"/>
      <c r="Q91" s="516"/>
    </row>
    <row r="92" spans="1:17" ht="15.75" thickTop="1">
      <c r="A92" s="491"/>
      <c r="B92" s="495">
        <f>B28</f>
        <v>111</v>
      </c>
      <c r="C92" s="511"/>
      <c r="D92" s="511"/>
      <c r="E92" s="511"/>
      <c r="F92" s="511"/>
      <c r="G92" s="540"/>
      <c r="H92" s="540"/>
      <c r="I92" s="540"/>
      <c r="J92" s="540"/>
      <c r="K92" s="541"/>
      <c r="L92" s="542"/>
      <c r="M92" s="543"/>
      <c r="N92" s="1063"/>
      <c r="O92" s="1063"/>
      <c r="P92" s="2107"/>
      <c r="Q92" s="461"/>
    </row>
    <row r="93" spans="1:17" ht="15.75" thickBot="1">
      <c r="A93" s="491"/>
      <c r="B93" s="500"/>
      <c r="C93" s="517"/>
      <c r="D93" s="493"/>
      <c r="E93" s="493"/>
      <c r="F93" s="493"/>
      <c r="G93" s="493"/>
      <c r="H93" s="493"/>
      <c r="I93" s="493"/>
      <c r="J93" s="493"/>
      <c r="K93" s="493"/>
      <c r="L93" s="493"/>
      <c r="M93" s="494"/>
      <c r="N93" s="1064"/>
      <c r="O93" s="1064"/>
      <c r="P93" s="2107"/>
      <c r="Q93" s="461"/>
    </row>
    <row r="94" spans="1:17" ht="15.75" thickTop="1">
      <c r="A94" s="491"/>
      <c r="B94" s="495">
        <f>B29</f>
        <v>111</v>
      </c>
      <c r="C94" s="511"/>
      <c r="D94" s="511"/>
      <c r="E94" s="511"/>
      <c r="F94" s="511"/>
      <c r="G94" s="540"/>
      <c r="H94" s="540"/>
      <c r="I94" s="540"/>
      <c r="J94" s="540"/>
      <c r="K94" s="541"/>
      <c r="L94" s="542"/>
      <c r="M94" s="543"/>
      <c r="N94" s="1063"/>
      <c r="O94" s="1063"/>
      <c r="P94" s="2107"/>
      <c r="Q94" s="461"/>
    </row>
    <row r="95" spans="1:17" ht="15.75" thickBot="1">
      <c r="A95" s="491"/>
      <c r="B95" s="500"/>
      <c r="C95" s="517"/>
      <c r="D95" s="517"/>
      <c r="E95" s="517"/>
      <c r="F95" s="517"/>
      <c r="G95" s="493"/>
      <c r="H95" s="493"/>
      <c r="I95" s="493"/>
      <c r="J95" s="493"/>
      <c r="K95" s="493"/>
      <c r="L95" s="493"/>
      <c r="M95" s="494"/>
      <c r="N95" s="1064"/>
      <c r="O95" s="1064"/>
      <c r="P95" s="2107"/>
      <c r="Q95" s="461"/>
    </row>
    <row r="96" spans="1:17" ht="15.75" thickTop="1">
      <c r="A96" s="491"/>
      <c r="B96" s="495">
        <f>B30</f>
        <v>111</v>
      </c>
      <c r="C96" s="511"/>
      <c r="D96" s="511"/>
      <c r="E96" s="511"/>
      <c r="F96" s="511"/>
      <c r="G96" s="540"/>
      <c r="H96" s="540"/>
      <c r="I96" s="540"/>
      <c r="J96" s="540"/>
      <c r="K96" s="541"/>
      <c r="L96" s="542"/>
      <c r="M96" s="543"/>
      <c r="N96" s="1063"/>
      <c r="O96" s="1063"/>
      <c r="P96" s="2107"/>
      <c r="Q96" s="461"/>
    </row>
    <row r="97" spans="1:17" ht="15.75" thickBot="1">
      <c r="A97" s="491"/>
      <c r="B97" s="500"/>
      <c r="C97" s="527"/>
      <c r="D97" s="527"/>
      <c r="E97" s="527"/>
      <c r="F97" s="527"/>
      <c r="G97" s="493"/>
      <c r="H97" s="493"/>
      <c r="I97" s="493"/>
      <c r="J97" s="493"/>
      <c r="K97" s="493"/>
      <c r="L97" s="493"/>
      <c r="M97" s="494"/>
      <c r="N97" s="1064"/>
      <c r="O97" s="1064"/>
      <c r="P97" s="2107"/>
      <c r="Q97" s="461"/>
    </row>
    <row r="98" spans="1:17" ht="15.75" thickTop="1">
      <c r="A98" s="491"/>
      <c r="B98" s="503">
        <f>B31</f>
        <v>111</v>
      </c>
      <c r="C98" s="544"/>
      <c r="D98" s="544"/>
      <c r="E98" s="544"/>
      <c r="F98" s="544"/>
      <c r="G98" s="544"/>
      <c r="H98" s="544"/>
      <c r="I98" s="544"/>
      <c r="J98" s="544"/>
      <c r="K98" s="545"/>
      <c r="L98" s="546"/>
      <c r="M98" s="547"/>
      <c r="N98" s="1063"/>
      <c r="O98" s="1063"/>
      <c r="P98" s="2107"/>
      <c r="Q98" s="461"/>
    </row>
    <row r="99" spans="1:17" ht="15.75" thickBot="1">
      <c r="A99" s="2113"/>
      <c r="B99" s="526"/>
      <c r="C99" s="548"/>
      <c r="D99" s="548"/>
      <c r="E99" s="548"/>
      <c r="F99" s="548"/>
      <c r="G99" s="548"/>
      <c r="H99" s="548"/>
      <c r="I99" s="548"/>
      <c r="J99" s="548"/>
      <c r="K99" s="548"/>
      <c r="L99" s="548"/>
      <c r="M99" s="549"/>
      <c r="N99" s="1064"/>
      <c r="O99" s="1064"/>
      <c r="P99" s="2107"/>
      <c r="Q99" s="461"/>
    </row>
    <row r="100" spans="1:17">
      <c r="A100" s="484" t="s">
        <v>2384</v>
      </c>
      <c r="B100" s="485" t="s">
        <v>2433</v>
      </c>
      <c r="C100" s="487"/>
      <c r="D100" s="487"/>
      <c r="E100" s="487"/>
      <c r="F100" s="487"/>
      <c r="G100" s="487"/>
      <c r="H100" s="487"/>
      <c r="I100" s="487"/>
      <c r="J100" s="487"/>
      <c r="K100" s="488"/>
      <c r="L100" s="489"/>
      <c r="M100" s="490"/>
      <c r="N100" s="1063"/>
      <c r="O100" s="1063"/>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7"/>
      <c r="Q102" s="461"/>
    </row>
    <row r="103" spans="1:17" s="430" customFormat="1">
      <c r="A103" s="550"/>
      <c r="B103" s="551"/>
      <c r="C103" s="552"/>
      <c r="D103" s="552"/>
      <c r="E103" s="552"/>
      <c r="F103" s="552"/>
      <c r="G103" s="552"/>
      <c r="H103" s="552"/>
      <c r="I103" s="552"/>
      <c r="J103" s="553"/>
      <c r="K103" s="553"/>
      <c r="L103" s="554"/>
      <c r="M103" s="555"/>
      <c r="N103" s="1065"/>
      <c r="O103" s="1065"/>
      <c r="P103" s="210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8"/>
      <c r="Q104" s="516"/>
    </row>
    <row r="105" spans="1:17" ht="15" thickTop="1">
      <c r="A105" s="556"/>
      <c r="B105" s="495" t="s">
        <v>2435</v>
      </c>
      <c r="C105" s="511"/>
      <c r="D105" s="511"/>
      <c r="E105" s="540"/>
      <c r="F105" s="540"/>
      <c r="G105" s="540"/>
      <c r="H105" s="540"/>
      <c r="I105" s="540"/>
      <c r="J105" s="540"/>
      <c r="K105" s="541"/>
      <c r="L105" s="542"/>
      <c r="M105" s="543"/>
      <c r="N105" s="1063"/>
      <c r="O105" s="1063"/>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7"/>
      <c r="Q106" s="461"/>
    </row>
    <row r="107" spans="1:17" ht="15" thickTop="1">
      <c r="A107" s="556"/>
      <c r="B107" s="495" t="s">
        <v>2436</v>
      </c>
      <c r="C107" s="540"/>
      <c r="D107" s="540"/>
      <c r="E107" s="540"/>
      <c r="F107" s="540"/>
      <c r="G107" s="540"/>
      <c r="H107" s="540"/>
      <c r="I107" s="540"/>
      <c r="J107" s="540"/>
      <c r="K107" s="541"/>
      <c r="L107" s="542"/>
      <c r="M107" s="543"/>
      <c r="N107" s="1063"/>
      <c r="O107" s="1063"/>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7"/>
      <c r="Q108" s="461"/>
    </row>
    <row r="109" spans="1:17" ht="15" thickTop="1">
      <c r="A109" s="556"/>
      <c r="B109" s="495" t="s">
        <v>2437</v>
      </c>
      <c r="C109" s="511"/>
      <c r="D109" s="511"/>
      <c r="E109" s="511"/>
      <c r="F109" s="540"/>
      <c r="G109" s="540"/>
      <c r="H109" s="540"/>
      <c r="I109" s="540"/>
      <c r="J109" s="540"/>
      <c r="K109" s="541"/>
      <c r="L109" s="542"/>
      <c r="M109" s="543"/>
      <c r="N109" s="1063"/>
      <c r="O109" s="1063"/>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8"/>
      <c r="Q113" s="516"/>
    </row>
    <row r="114" spans="1:17" ht="15" thickTop="1">
      <c r="A114" s="556"/>
      <c r="B114" s="495" t="s">
        <v>2438</v>
      </c>
      <c r="C114" s="511"/>
      <c r="D114" s="511"/>
      <c r="E114" s="540"/>
      <c r="F114" s="540"/>
      <c r="G114" s="540"/>
      <c r="H114" s="540"/>
      <c r="I114" s="540"/>
      <c r="J114" s="540"/>
      <c r="K114" s="541"/>
      <c r="L114" s="542"/>
      <c r="M114" s="543"/>
      <c r="N114" s="1063"/>
      <c r="O114" s="1063"/>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7"/>
      <c r="Q115" s="461"/>
    </row>
    <row r="116" spans="1:17" ht="15" thickTop="1">
      <c r="A116" s="556"/>
      <c r="B116" s="495" t="s">
        <v>2439</v>
      </c>
      <c r="C116" s="511"/>
      <c r="D116" s="511"/>
      <c r="E116" s="511"/>
      <c r="F116" s="511"/>
      <c r="G116" s="511"/>
      <c r="H116" s="540"/>
      <c r="I116" s="540"/>
      <c r="J116" s="540"/>
      <c r="K116" s="541"/>
      <c r="L116" s="542"/>
      <c r="M116" s="543"/>
      <c r="N116" s="1063"/>
      <c r="O116" s="1063"/>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7"/>
      <c r="Q117" s="461"/>
    </row>
    <row r="118" spans="1:17" ht="15" thickTop="1">
      <c r="A118" s="556"/>
      <c r="B118" s="495" t="s">
        <v>2440</v>
      </c>
      <c r="C118" s="540"/>
      <c r="D118" s="540"/>
      <c r="E118" s="540"/>
      <c r="F118" s="540"/>
      <c r="G118" s="540"/>
      <c r="H118" s="540"/>
      <c r="I118" s="540"/>
      <c r="J118" s="540"/>
      <c r="K118" s="541"/>
      <c r="L118" s="542"/>
      <c r="M118" s="543"/>
      <c r="N118" s="1063"/>
      <c r="O118" s="1063"/>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7"/>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8"/>
      <c r="Q121" s="516"/>
    </row>
    <row r="122" spans="1:17" ht="15" thickTop="1">
      <c r="A122" s="556"/>
      <c r="B122" s="495" t="s">
        <v>2441</v>
      </c>
      <c r="C122" s="511"/>
      <c r="D122" s="511"/>
      <c r="E122" s="511"/>
      <c r="F122" s="540"/>
      <c r="G122" s="540"/>
      <c r="H122" s="540"/>
      <c r="I122" s="540"/>
      <c r="J122" s="540"/>
      <c r="K122" s="541"/>
      <c r="L122" s="542"/>
      <c r="M122" s="543"/>
      <c r="N122" s="1063"/>
      <c r="O122" s="1063"/>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8"/>
      <c r="Q127" s="516"/>
    </row>
    <row r="128" spans="1:17" ht="15" thickTop="1">
      <c r="A128" s="556"/>
      <c r="B128" s="495">
        <f>B45</f>
        <v>111</v>
      </c>
      <c r="C128" s="511"/>
      <c r="D128" s="511"/>
      <c r="E128" s="511"/>
      <c r="F128" s="511"/>
      <c r="G128" s="540"/>
      <c r="H128" s="540"/>
      <c r="I128" s="540"/>
      <c r="J128" s="540"/>
      <c r="K128" s="541"/>
      <c r="L128" s="542"/>
      <c r="M128" s="543"/>
      <c r="N128" s="1063"/>
      <c r="O128" s="1063"/>
      <c r="P128" s="2107"/>
      <c r="Q128" s="461"/>
    </row>
    <row r="129" spans="1:17" ht="15.75" thickBot="1">
      <c r="A129" s="491"/>
      <c r="B129" s="500"/>
      <c r="C129" s="517"/>
      <c r="D129" s="517"/>
      <c r="E129" s="517"/>
      <c r="F129" s="517"/>
      <c r="G129" s="493"/>
      <c r="H129" s="493"/>
      <c r="I129" s="493"/>
      <c r="J129" s="493"/>
      <c r="K129" s="493"/>
      <c r="L129" s="493"/>
      <c r="M129" s="494"/>
      <c r="N129" s="1064"/>
      <c r="O129" s="1064"/>
      <c r="P129" s="2107"/>
      <c r="Q129" s="461"/>
    </row>
    <row r="130" spans="1:17" ht="15" thickTop="1">
      <c r="A130" s="556"/>
      <c r="B130" s="503">
        <f>B46</f>
        <v>111</v>
      </c>
      <c r="C130" s="511"/>
      <c r="D130" s="511"/>
      <c r="E130" s="511"/>
      <c r="F130" s="511"/>
      <c r="G130" s="544"/>
      <c r="H130" s="544"/>
      <c r="I130" s="544"/>
      <c r="J130" s="544"/>
      <c r="K130" s="480"/>
      <c r="L130" s="481"/>
      <c r="M130" s="547"/>
      <c r="N130" s="1063"/>
      <c r="O130" s="1063"/>
      <c r="P130" s="2107"/>
      <c r="Q130" s="461"/>
    </row>
    <row r="131" spans="1:17" ht="15.75" thickBot="1">
      <c r="A131" s="2113"/>
      <c r="B131" s="526"/>
      <c r="C131" s="527"/>
      <c r="D131" s="527"/>
      <c r="E131" s="527"/>
      <c r="F131" s="527"/>
      <c r="G131" s="548"/>
      <c r="H131" s="548"/>
      <c r="I131" s="548"/>
      <c r="J131" s="548"/>
      <c r="K131" s="548"/>
      <c r="L131" s="548"/>
      <c r="M131" s="549"/>
      <c r="N131" s="1064"/>
      <c r="O131" s="1064"/>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7">
        <f>ROUNDUP((J139-1)/2,0)</f>
        <v>10</v>
      </c>
      <c r="K140" s="1008">
        <v>100</v>
      </c>
    </row>
    <row r="141" spans="1:17" ht="15">
      <c r="B141" s="1003">
        <v>4</v>
      </c>
      <c r="C141" s="1004">
        <v>102</v>
      </c>
      <c r="D141" s="1004"/>
      <c r="E141" s="1005"/>
      <c r="F141" s="1006">
        <v>101.5</v>
      </c>
      <c r="G141" s="1004"/>
      <c r="H141" s="1007"/>
      <c r="I141" s="2127" t="s">
        <v>2455</v>
      </c>
      <c r="J141" s="277">
        <v>1</v>
      </c>
      <c r="K141" s="1009">
        <f>ROUND(100+(J141-J140)*K139*100,1)</f>
        <v>96.4</v>
      </c>
    </row>
    <row r="142" spans="1:17" ht="15">
      <c r="B142" s="1003">
        <v>3</v>
      </c>
      <c r="C142" s="1004">
        <v>103</v>
      </c>
      <c r="D142" s="1004"/>
      <c r="E142" s="1005"/>
      <c r="F142" s="1006">
        <v>101</v>
      </c>
      <c r="G142" s="1004"/>
      <c r="H142" s="1007"/>
      <c r="I142" s="2127" t="s">
        <v>2456</v>
      </c>
      <c r="J142" s="277">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8" customFormat="1" ht="28.5" customHeight="1" thickBot="1">
      <c r="A3" s="209" t="s">
        <v>2150</v>
      </c>
      <c r="B3" s="566" t="e">
        <f ca="1">IF(C2="——",C49,ROUND(B2*10000/D3,0))</f>
        <v>#DIV/0!</v>
      </c>
      <c r="C3" s="360" t="s">
        <v>2465</v>
      </c>
      <c r="D3" s="359">
        <f>IF(D1="",'数据-汇总表'!E3,SUMIF('数据-汇总表'!$C19:$C33,D1,'数据-汇总表'!$E19:$E33))</f>
        <v>1568.25</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1" t="s">
        <v>2466</v>
      </c>
      <c r="B4" s="362"/>
      <c r="C4" s="3326" t="s">
        <v>2467</v>
      </c>
      <c r="D4" s="3327"/>
      <c r="E4" s="3328" t="s">
        <v>2468</v>
      </c>
      <c r="F4" s="3329"/>
      <c r="G4" s="3326" t="s">
        <v>2469</v>
      </c>
      <c r="H4" s="3327"/>
      <c r="I4" s="3326" t="s">
        <v>2470</v>
      </c>
      <c r="J4" s="3327"/>
      <c r="K4" s="567" t="s">
        <v>2471</v>
      </c>
      <c r="L4" s="2943"/>
      <c r="M4" s="2944"/>
      <c r="N4" s="2944"/>
      <c r="O4" s="2944"/>
      <c r="P4" s="3330" t="s">
        <v>2472</v>
      </c>
      <c r="Q4" s="3331"/>
      <c r="R4" s="3336" t="s">
        <v>2468</v>
      </c>
      <c r="S4" s="3337"/>
      <c r="T4" s="3336" t="s">
        <v>2469</v>
      </c>
      <c r="U4" s="3337"/>
      <c r="V4" s="3342" t="s">
        <v>2470</v>
      </c>
      <c r="W4" s="3342"/>
      <c r="X4" s="1538"/>
      <c r="Y4" s="3336" t="s">
        <v>2472</v>
      </c>
      <c r="Z4" s="3337"/>
      <c r="AA4" s="3323" t="s">
        <v>2468</v>
      </c>
      <c r="AB4" s="3342" t="s">
        <v>2469</v>
      </c>
      <c r="AC4" s="3323" t="s">
        <v>2470</v>
      </c>
    </row>
    <row r="5" spans="1:29" ht="15">
      <c r="A5" s="364"/>
      <c r="B5" s="365"/>
      <c r="C5" s="3345" t="s">
        <v>2363</v>
      </c>
      <c r="D5" s="3346"/>
      <c r="E5" s="3352" t="s">
        <v>2364</v>
      </c>
      <c r="F5" s="3353"/>
      <c r="G5" s="3345" t="s">
        <v>2365</v>
      </c>
      <c r="H5" s="3346"/>
      <c r="I5" s="3345" t="s">
        <v>2366</v>
      </c>
      <c r="J5" s="3346"/>
      <c r="K5" s="567"/>
      <c r="L5" s="2943"/>
      <c r="M5" s="2944"/>
      <c r="N5" s="2944"/>
      <c r="O5" s="2944"/>
      <c r="P5" s="3332"/>
      <c r="Q5" s="3333"/>
      <c r="R5" s="3338"/>
      <c r="S5" s="3339"/>
      <c r="T5" s="3338"/>
      <c r="U5" s="3339"/>
      <c r="V5" s="3342"/>
      <c r="W5" s="3342"/>
      <c r="X5" s="1538"/>
      <c r="Y5" s="3338"/>
      <c r="Z5" s="3339"/>
      <c r="AA5" s="3324"/>
      <c r="AB5" s="3342"/>
      <c r="AC5" s="3324"/>
    </row>
    <row r="6" spans="1:29" ht="15.75" thickBot="1">
      <c r="A6" s="366"/>
      <c r="B6" s="367"/>
      <c r="C6" s="3343" t="s">
        <v>2367</v>
      </c>
      <c r="D6" s="3344"/>
      <c r="E6" s="3350" t="s">
        <v>2367</v>
      </c>
      <c r="F6" s="3351"/>
      <c r="G6" s="3343" t="s">
        <v>2367</v>
      </c>
      <c r="H6" s="3344"/>
      <c r="I6" s="3343" t="s">
        <v>2367</v>
      </c>
      <c r="J6" s="3344"/>
      <c r="K6" s="567" t="s">
        <v>2368</v>
      </c>
      <c r="L6" s="2943"/>
      <c r="M6" s="2944"/>
      <c r="N6" s="2944"/>
      <c r="O6" s="2944"/>
      <c r="P6" s="3334"/>
      <c r="Q6" s="3335"/>
      <c r="R6" s="3338"/>
      <c r="S6" s="3339"/>
      <c r="T6" s="3340"/>
      <c r="U6" s="3341"/>
      <c r="V6" s="3342"/>
      <c r="W6" s="3342"/>
      <c r="X6" s="1538"/>
      <c r="Y6" s="3340"/>
      <c r="Z6" s="3341"/>
      <c r="AA6" s="3325"/>
      <c r="AB6" s="3342"/>
      <c r="AC6" s="3325"/>
    </row>
    <row r="7" spans="1:29" s="113" customFormat="1" ht="15.75" thickBot="1">
      <c r="A7" s="368" t="s">
        <v>2369</v>
      </c>
      <c r="B7" s="369"/>
      <c r="C7" s="370">
        <f>'数据-取费表'!B2</f>
        <v>44328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47" t="s">
        <v>2370</v>
      </c>
      <c r="Q7" s="3349"/>
      <c r="R7" s="710" t="s">
        <v>17</v>
      </c>
      <c r="S7" s="711">
        <f t="shared" ref="S7:S15" si="0">F7</f>
        <v>0</v>
      </c>
      <c r="T7" s="710" t="s">
        <v>17</v>
      </c>
      <c r="U7" s="711">
        <f t="shared" ref="U7:U15" si="1">H7</f>
        <v>0</v>
      </c>
      <c r="V7" s="710" t="s">
        <v>17</v>
      </c>
      <c r="W7" s="711">
        <f t="shared" ref="W7:W15" si="2">J7</f>
        <v>0</v>
      </c>
      <c r="X7" s="712"/>
      <c r="Y7" s="3347" t="s">
        <v>2370</v>
      </c>
      <c r="Z7" s="334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47" t="s">
        <v>2373</v>
      </c>
      <c r="Q8" s="3348"/>
      <c r="R8" s="710" t="s">
        <v>17</v>
      </c>
      <c r="S8" s="711">
        <f t="shared" si="0"/>
        <v>0</v>
      </c>
      <c r="T8" s="710" t="s">
        <v>17</v>
      </c>
      <c r="U8" s="711">
        <f t="shared" si="1"/>
        <v>0</v>
      </c>
      <c r="V8" s="710" t="s">
        <v>17</v>
      </c>
      <c r="W8" s="711">
        <f t="shared" si="2"/>
        <v>0</v>
      </c>
      <c r="X8" s="712"/>
      <c r="Y8" s="3347" t="s">
        <v>2373</v>
      </c>
      <c r="Z8" s="334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2"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2"/>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2"/>
      <c r="Q11" s="1526"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2"/>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2"/>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2"/>
      <c r="Q14" s="1526">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20" t="s">
        <v>2381</v>
      </c>
      <c r="Q15" s="1535" t="str">
        <f t="shared" si="6"/>
        <v>商业繁华度</v>
      </c>
      <c r="R15" s="714" t="s">
        <v>17</v>
      </c>
      <c r="S15" s="715">
        <f t="shared" si="0"/>
        <v>100</v>
      </c>
      <c r="T15" s="714" t="s">
        <v>17</v>
      </c>
      <c r="U15" s="715">
        <f t="shared" si="1"/>
        <v>100</v>
      </c>
      <c r="V15" s="714" t="s">
        <v>17</v>
      </c>
      <c r="W15" s="715">
        <f t="shared" si="2"/>
        <v>100</v>
      </c>
      <c r="X15" s="1538"/>
      <c r="Y15" s="3313"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21"/>
      <c r="Q16" s="1535"/>
      <c r="R16" s="714"/>
      <c r="S16" s="715"/>
      <c r="T16" s="714"/>
      <c r="U16" s="715"/>
      <c r="V16" s="714"/>
      <c r="W16" s="715"/>
      <c r="X16" s="1538"/>
      <c r="Y16" s="3314"/>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21"/>
      <c r="Q17" s="1535" t="str">
        <f>B17</f>
        <v>交通便捷度</v>
      </c>
      <c r="R17" s="714" t="s">
        <v>17</v>
      </c>
      <c r="S17" s="715">
        <f>F17</f>
        <v>100</v>
      </c>
      <c r="T17" s="714" t="s">
        <v>17</v>
      </c>
      <c r="U17" s="715">
        <f>H17</f>
        <v>100</v>
      </c>
      <c r="V17" s="714" t="s">
        <v>17</v>
      </c>
      <c r="W17" s="715">
        <f>J17</f>
        <v>100</v>
      </c>
      <c r="X17" s="1538"/>
      <c r="Y17" s="331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21"/>
      <c r="Q18" s="1535"/>
      <c r="R18" s="714"/>
      <c r="S18" s="715"/>
      <c r="T18" s="714"/>
      <c r="U18" s="715"/>
      <c r="V18" s="714"/>
      <c r="W18" s="715"/>
      <c r="X18" s="1538"/>
      <c r="Y18" s="3314"/>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21"/>
      <c r="Q19" s="1535" t="str">
        <f>B19</f>
        <v>公共配套设施</v>
      </c>
      <c r="R19" s="714" t="s">
        <v>17</v>
      </c>
      <c r="S19" s="715">
        <f>F19</f>
        <v>100</v>
      </c>
      <c r="T19" s="714" t="s">
        <v>17</v>
      </c>
      <c r="U19" s="715">
        <f>H19</f>
        <v>100</v>
      </c>
      <c r="V19" s="714" t="s">
        <v>17</v>
      </c>
      <c r="W19" s="715">
        <f>J19</f>
        <v>100</v>
      </c>
      <c r="X19" s="1538"/>
      <c r="Y19" s="331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21"/>
      <c r="Q20" s="1535"/>
      <c r="R20" s="714"/>
      <c r="S20" s="715"/>
      <c r="T20" s="714"/>
      <c r="U20" s="715"/>
      <c r="V20" s="714"/>
      <c r="W20" s="715"/>
      <c r="X20" s="1538"/>
      <c r="Y20" s="3314"/>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21"/>
      <c r="Q21" s="1535" t="str">
        <f>B21</f>
        <v>基础设施水平</v>
      </c>
      <c r="R21" s="714" t="s">
        <v>17</v>
      </c>
      <c r="S21" s="715">
        <f>F21</f>
        <v>100</v>
      </c>
      <c r="T21" s="714" t="s">
        <v>17</v>
      </c>
      <c r="U21" s="715">
        <f>H21</f>
        <v>100</v>
      </c>
      <c r="V21" s="714" t="s">
        <v>17</v>
      </c>
      <c r="W21" s="715">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21"/>
      <c r="Q22" s="1535"/>
      <c r="R22" s="714"/>
      <c r="S22" s="715"/>
      <c r="T22" s="714"/>
      <c r="U22" s="715"/>
      <c r="V22" s="714"/>
      <c r="W22" s="715"/>
      <c r="X22" s="1538"/>
      <c r="Y22" s="3314"/>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21"/>
      <c r="Q23" s="1535" t="str">
        <f>B23</f>
        <v>自然及人文环境</v>
      </c>
      <c r="R23" s="714" t="s">
        <v>17</v>
      </c>
      <c r="S23" s="715">
        <f>F23</f>
        <v>100</v>
      </c>
      <c r="T23" s="714" t="s">
        <v>17</v>
      </c>
      <c r="U23" s="715">
        <f>H23</f>
        <v>100</v>
      </c>
      <c r="V23" s="714" t="s">
        <v>17</v>
      </c>
      <c r="W23" s="715">
        <f>J23</f>
        <v>100</v>
      </c>
      <c r="X23" s="1538"/>
      <c r="Y23" s="3314"/>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21"/>
      <c r="Q24" s="1535"/>
      <c r="R24" s="714"/>
      <c r="S24" s="715"/>
      <c r="T24" s="714"/>
      <c r="U24" s="715"/>
      <c r="V24" s="714"/>
      <c r="W24" s="715"/>
      <c r="X24" s="1538"/>
      <c r="Y24" s="3314"/>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21"/>
      <c r="Q25" s="1535" t="str">
        <f t="shared" ref="Q25:Q46" si="11">B25</f>
        <v>临街状况</v>
      </c>
      <c r="R25" s="714" t="s">
        <v>17</v>
      </c>
      <c r="S25" s="715">
        <f>F25</f>
        <v>100</v>
      </c>
      <c r="T25" s="714" t="s">
        <v>17</v>
      </c>
      <c r="U25" s="715">
        <f>H25</f>
        <v>100</v>
      </c>
      <c r="V25" s="714" t="s">
        <v>17</v>
      </c>
      <c r="W25" s="715">
        <f>J25</f>
        <v>100</v>
      </c>
      <c r="X25" s="1538"/>
      <c r="Y25" s="3314"/>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21"/>
      <c r="Q26" s="1535" t="str">
        <f t="shared" si="11"/>
        <v>平面位置/可视性</v>
      </c>
      <c r="R26" s="714" t="s">
        <v>17</v>
      </c>
      <c r="S26" s="715">
        <f>F26</f>
        <v>100</v>
      </c>
      <c r="T26" s="714" t="s">
        <v>17</v>
      </c>
      <c r="U26" s="715">
        <f>H26</f>
        <v>100</v>
      </c>
      <c r="V26" s="714" t="s">
        <v>17</v>
      </c>
      <c r="W26" s="715">
        <f>J26</f>
        <v>100</v>
      </c>
      <c r="X26" s="1538"/>
      <c r="Y26" s="3314"/>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21"/>
      <c r="Q27" s="1526" t="str">
        <f t="shared" si="11"/>
        <v>人流量</v>
      </c>
      <c r="R27" s="710" t="s">
        <v>17</v>
      </c>
      <c r="S27" s="711">
        <f>F27</f>
        <v>100</v>
      </c>
      <c r="T27" s="710" t="s">
        <v>17</v>
      </c>
      <c r="U27" s="711">
        <f>H27</f>
        <v>100</v>
      </c>
      <c r="V27" s="710" t="s">
        <v>17</v>
      </c>
      <c r="W27" s="711">
        <f>J27</f>
        <v>100</v>
      </c>
      <c r="X27" s="712"/>
      <c r="Y27" s="3314"/>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21"/>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4"/>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1"/>
      <c r="Q29" s="1535">
        <f t="shared" si="11"/>
        <v>111</v>
      </c>
      <c r="R29" s="714" t="s">
        <v>17</v>
      </c>
      <c r="S29" s="715">
        <f t="shared" si="12"/>
        <v>100</v>
      </c>
      <c r="T29" s="714" t="s">
        <v>17</v>
      </c>
      <c r="U29" s="715">
        <f t="shared" si="13"/>
        <v>100</v>
      </c>
      <c r="V29" s="714" t="s">
        <v>17</v>
      </c>
      <c r="W29" s="715">
        <f t="shared" si="14"/>
        <v>100</v>
      </c>
      <c r="X29" s="1538"/>
      <c r="Y29" s="3314"/>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1"/>
      <c r="Q30" s="1535">
        <f t="shared" si="11"/>
        <v>111</v>
      </c>
      <c r="R30" s="714" t="s">
        <v>17</v>
      </c>
      <c r="S30" s="715">
        <f t="shared" si="12"/>
        <v>100</v>
      </c>
      <c r="T30" s="714" t="s">
        <v>17</v>
      </c>
      <c r="U30" s="715">
        <f t="shared" si="13"/>
        <v>100</v>
      </c>
      <c r="V30" s="714" t="s">
        <v>17</v>
      </c>
      <c r="W30" s="715">
        <f t="shared" si="14"/>
        <v>100</v>
      </c>
      <c r="X30" s="1538"/>
      <c r="Y30" s="3314"/>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1"/>
      <c r="Q31" s="1535">
        <f t="shared" si="11"/>
        <v>111</v>
      </c>
      <c r="R31" s="714" t="s">
        <v>17</v>
      </c>
      <c r="S31" s="715">
        <f t="shared" si="12"/>
        <v>100</v>
      </c>
      <c r="T31" s="714" t="s">
        <v>17</v>
      </c>
      <c r="U31" s="715">
        <f t="shared" si="13"/>
        <v>100</v>
      </c>
      <c r="V31" s="714" t="s">
        <v>17</v>
      </c>
      <c r="W31" s="715">
        <f t="shared" si="14"/>
        <v>100</v>
      </c>
      <c r="X31" s="1538"/>
      <c r="Y31" s="3314"/>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15" t="s">
        <v>2386</v>
      </c>
      <c r="Q32" s="1535" t="str">
        <f t="shared" si="11"/>
        <v>商业类型</v>
      </c>
      <c r="R32" s="714" t="s">
        <v>17</v>
      </c>
      <c r="S32" s="715">
        <f t="shared" si="12"/>
        <v>100</v>
      </c>
      <c r="T32" s="714" t="s">
        <v>17</v>
      </c>
      <c r="U32" s="715">
        <f t="shared" si="13"/>
        <v>100</v>
      </c>
      <c r="V32" s="714" t="s">
        <v>17</v>
      </c>
      <c r="W32" s="715">
        <f t="shared" si="14"/>
        <v>100</v>
      </c>
      <c r="X32" s="1538"/>
      <c r="Y32" s="3318"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16"/>
      <c r="Q33" s="716" t="str">
        <f t="shared" si="11"/>
        <v>项目建筑规模</v>
      </c>
      <c r="R33" s="717" t="s">
        <v>17</v>
      </c>
      <c r="S33" s="718" t="e">
        <f t="shared" si="12"/>
        <v>#N/A</v>
      </c>
      <c r="T33" s="717" t="s">
        <v>17</v>
      </c>
      <c r="U33" s="718" t="e">
        <f t="shared" si="13"/>
        <v>#N/A</v>
      </c>
      <c r="V33" s="717" t="s">
        <v>17</v>
      </c>
      <c r="W33" s="718" t="e">
        <f t="shared" si="14"/>
        <v>#N/A</v>
      </c>
      <c r="X33" s="719"/>
      <c r="Y33" s="3318"/>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16"/>
      <c r="Q34" s="1535" t="str">
        <f t="shared" si="11"/>
        <v>建筑结构</v>
      </c>
      <c r="R34" s="714" t="s">
        <v>17</v>
      </c>
      <c r="S34" s="715">
        <f t="shared" si="12"/>
        <v>100</v>
      </c>
      <c r="T34" s="714" t="s">
        <v>17</v>
      </c>
      <c r="U34" s="715">
        <f t="shared" si="13"/>
        <v>100</v>
      </c>
      <c r="V34" s="714" t="s">
        <v>17</v>
      </c>
      <c r="W34" s="715">
        <f t="shared" si="14"/>
        <v>100</v>
      </c>
      <c r="X34" s="1538"/>
      <c r="Y34" s="3318"/>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16"/>
      <c r="Q35" s="1535" t="str">
        <f t="shared" si="11"/>
        <v>公共部分装修</v>
      </c>
      <c r="R35" s="714" t="s">
        <v>17</v>
      </c>
      <c r="S35" s="715">
        <f t="shared" si="12"/>
        <v>100</v>
      </c>
      <c r="T35" s="714" t="s">
        <v>17</v>
      </c>
      <c r="U35" s="715">
        <f t="shared" si="13"/>
        <v>100</v>
      </c>
      <c r="V35" s="714" t="s">
        <v>17</v>
      </c>
      <c r="W35" s="715">
        <f t="shared" si="14"/>
        <v>100</v>
      </c>
      <c r="X35" s="1538"/>
      <c r="Y35" s="3318"/>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16"/>
      <c r="Q36" s="1535" t="str">
        <f t="shared" si="11"/>
        <v>成新度</v>
      </c>
      <c r="R36" s="714" t="s">
        <v>17</v>
      </c>
      <c r="S36" s="715" t="e">
        <f t="shared" si="12"/>
        <v>#N/A</v>
      </c>
      <c r="T36" s="714" t="s">
        <v>17</v>
      </c>
      <c r="U36" s="715" t="e">
        <f t="shared" si="13"/>
        <v>#N/A</v>
      </c>
      <c r="V36" s="714" t="s">
        <v>17</v>
      </c>
      <c r="W36" s="715" t="e">
        <f t="shared" si="14"/>
        <v>#N/A</v>
      </c>
      <c r="X36" s="1538"/>
      <c r="Y36" s="3318"/>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16"/>
      <c r="Q37" s="1526" t="str">
        <f t="shared" si="11"/>
        <v>市政基础设施</v>
      </c>
      <c r="R37" s="710" t="s">
        <v>17</v>
      </c>
      <c r="S37" s="711">
        <f t="shared" si="12"/>
        <v>100</v>
      </c>
      <c r="T37" s="710" t="s">
        <v>17</v>
      </c>
      <c r="U37" s="711">
        <f t="shared" si="13"/>
        <v>100</v>
      </c>
      <c r="V37" s="710" t="s">
        <v>17</v>
      </c>
      <c r="W37" s="711">
        <f t="shared" si="14"/>
        <v>100</v>
      </c>
      <c r="X37" s="712"/>
      <c r="Y37" s="3318"/>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16" t="s">
        <v>2386</v>
      </c>
      <c r="Q38" s="1535" t="str">
        <f t="shared" si="11"/>
        <v>业态</v>
      </c>
      <c r="R38" s="714" t="s">
        <v>17</v>
      </c>
      <c r="S38" s="715">
        <f t="shared" si="12"/>
        <v>100</v>
      </c>
      <c r="T38" s="714" t="s">
        <v>17</v>
      </c>
      <c r="U38" s="715">
        <f t="shared" si="13"/>
        <v>100</v>
      </c>
      <c r="V38" s="714" t="s">
        <v>17</v>
      </c>
      <c r="W38" s="715">
        <f t="shared" si="14"/>
        <v>100</v>
      </c>
      <c r="X38" s="1538"/>
      <c r="Y38" s="3318"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16"/>
      <c r="Q39" s="1535" t="str">
        <f t="shared" si="11"/>
        <v>层高</v>
      </c>
      <c r="R39" s="714" t="s">
        <v>17</v>
      </c>
      <c r="S39" s="715">
        <f t="shared" si="12"/>
        <v>100</v>
      </c>
      <c r="T39" s="714" t="s">
        <v>17</v>
      </c>
      <c r="U39" s="715">
        <f t="shared" si="13"/>
        <v>100</v>
      </c>
      <c r="V39" s="714" t="s">
        <v>17</v>
      </c>
      <c r="W39" s="715">
        <f t="shared" si="14"/>
        <v>100</v>
      </c>
      <c r="X39" s="1538"/>
      <c r="Y39" s="3318"/>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6"/>
      <c r="Q40" s="1535" t="str">
        <f t="shared" si="11"/>
        <v>单套建筑面积</v>
      </c>
      <c r="R40" s="714" t="s">
        <v>17</v>
      </c>
      <c r="S40" s="715">
        <f t="shared" si="12"/>
        <v>100</v>
      </c>
      <c r="T40" s="714" t="s">
        <v>17</v>
      </c>
      <c r="U40" s="715">
        <f t="shared" si="13"/>
        <v>100</v>
      </c>
      <c r="V40" s="714" t="s">
        <v>17</v>
      </c>
      <c r="W40" s="715">
        <f t="shared" si="14"/>
        <v>100</v>
      </c>
      <c r="X40" s="1538"/>
      <c r="Y40" s="3318"/>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6"/>
      <c r="Q41" s="716" t="str">
        <f t="shared" si="11"/>
        <v>进深比</v>
      </c>
      <c r="R41" s="717" t="s">
        <v>17</v>
      </c>
      <c r="S41" s="718">
        <f t="shared" si="12"/>
        <v>100</v>
      </c>
      <c r="T41" s="717" t="s">
        <v>17</v>
      </c>
      <c r="U41" s="718">
        <f t="shared" si="13"/>
        <v>100</v>
      </c>
      <c r="V41" s="717" t="s">
        <v>17</v>
      </c>
      <c r="W41" s="718">
        <f t="shared" si="14"/>
        <v>100</v>
      </c>
      <c r="X41" s="719"/>
      <c r="Y41" s="3318"/>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16"/>
      <c r="Q42" s="1535" t="str">
        <f t="shared" si="11"/>
        <v>内部装修</v>
      </c>
      <c r="R42" s="714" t="s">
        <v>17</v>
      </c>
      <c r="S42" s="715">
        <f t="shared" si="12"/>
        <v>100</v>
      </c>
      <c r="T42" s="714" t="s">
        <v>17</v>
      </c>
      <c r="U42" s="715">
        <f t="shared" si="13"/>
        <v>100</v>
      </c>
      <c r="V42" s="714" t="s">
        <v>17</v>
      </c>
      <c r="W42" s="715">
        <f t="shared" si="14"/>
        <v>100</v>
      </c>
      <c r="X42" s="1538"/>
      <c r="Y42" s="3318"/>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16"/>
      <c r="Q43" s="1535" t="str">
        <f t="shared" si="11"/>
        <v>内部装修维护情况</v>
      </c>
      <c r="R43" s="714" t="s">
        <v>17</v>
      </c>
      <c r="S43" s="715">
        <f t="shared" si="12"/>
        <v>100</v>
      </c>
      <c r="T43" s="714" t="s">
        <v>17</v>
      </c>
      <c r="U43" s="715">
        <f t="shared" si="13"/>
        <v>100</v>
      </c>
      <c r="V43" s="714" t="s">
        <v>17</v>
      </c>
      <c r="W43" s="715">
        <f t="shared" si="14"/>
        <v>100</v>
      </c>
      <c r="X43" s="1538"/>
      <c r="Y43" s="3318"/>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16"/>
      <c r="Q44" s="1526">
        <f t="shared" si="11"/>
        <v>111</v>
      </c>
      <c r="R44" s="710" t="s">
        <v>17</v>
      </c>
      <c r="S44" s="711">
        <f t="shared" si="12"/>
        <v>100</v>
      </c>
      <c r="T44" s="710" t="s">
        <v>17</v>
      </c>
      <c r="U44" s="711">
        <f t="shared" si="13"/>
        <v>100</v>
      </c>
      <c r="V44" s="710" t="s">
        <v>17</v>
      </c>
      <c r="W44" s="711">
        <f t="shared" si="14"/>
        <v>100</v>
      </c>
      <c r="X44" s="712"/>
      <c r="Y44" s="3318"/>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6"/>
      <c r="Q45" s="1535">
        <f t="shared" si="11"/>
        <v>111</v>
      </c>
      <c r="R45" s="714" t="s">
        <v>17</v>
      </c>
      <c r="S45" s="715">
        <f t="shared" si="12"/>
        <v>100</v>
      </c>
      <c r="T45" s="714" t="s">
        <v>17</v>
      </c>
      <c r="U45" s="715">
        <f t="shared" si="13"/>
        <v>100</v>
      </c>
      <c r="V45" s="714" t="s">
        <v>17</v>
      </c>
      <c r="W45" s="715">
        <f t="shared" si="14"/>
        <v>100</v>
      </c>
      <c r="X45" s="1538"/>
      <c r="Y45" s="3318"/>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17"/>
      <c r="Q46" s="1535">
        <f t="shared" si="11"/>
        <v>111</v>
      </c>
      <c r="R46" s="714" t="s">
        <v>17</v>
      </c>
      <c r="S46" s="715">
        <f t="shared" si="12"/>
        <v>100</v>
      </c>
      <c r="T46" s="714" t="s">
        <v>17</v>
      </c>
      <c r="U46" s="715">
        <f t="shared" si="13"/>
        <v>100</v>
      </c>
      <c r="V46" s="714" t="s">
        <v>17</v>
      </c>
      <c r="W46" s="715">
        <f t="shared" si="14"/>
        <v>100</v>
      </c>
      <c r="X46" s="1538"/>
      <c r="Y46" s="3319"/>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11" t="str">
        <f>A47</f>
        <v>成交单价（元/平方米）</v>
      </c>
      <c r="Q47" s="3311"/>
      <c r="R47" s="3342">
        <f>E47</f>
        <v>0</v>
      </c>
      <c r="S47" s="3342"/>
      <c r="T47" s="3342">
        <f>G47</f>
        <v>0</v>
      </c>
      <c r="U47" s="3342"/>
      <c r="V47" s="3342">
        <f>I47</f>
        <v>0</v>
      </c>
      <c r="W47" s="3342"/>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2"/>
      <c r="M57" s="1070"/>
      <c r="N57" s="1070"/>
      <c r="O57" s="1070"/>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估价对象为北京市房地产，为所有。根据《国有土地使用证》[]，估价对象（分摊）出让国有建设用地使用权面积为0平方米，建筑面积为1568.25平方米。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估价对象为北京市房地产,属开发建设的，该项目尚在开发建设中。根据《国有土地使用证》[]，估价对象（分摊）出让国有建设用地使用权面积为0平方米，规划建筑面积为1568.25平方米。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2021年5月12日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12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1568.25</v>
      </c>
      <c r="E3" s="2139"/>
      <c r="F3" s="1039"/>
      <c r="G3" s="1038"/>
      <c r="H3" s="1038"/>
      <c r="I3" s="1038"/>
      <c r="J3" s="1038"/>
      <c r="K3" s="1040"/>
      <c r="L3" s="2962"/>
      <c r="M3" s="2963"/>
      <c r="N3" s="2963"/>
      <c r="O3" s="2963"/>
      <c r="P3" s="708"/>
      <c r="Q3" s="708"/>
      <c r="R3" s="708"/>
      <c r="S3" s="708"/>
      <c r="T3" s="708"/>
      <c r="U3" s="708"/>
      <c r="V3" s="708"/>
      <c r="W3" s="708"/>
      <c r="X3" s="708"/>
      <c r="Y3" s="708"/>
      <c r="Z3" s="708"/>
      <c r="AA3" s="708"/>
      <c r="AB3" s="708"/>
      <c r="AC3" s="709"/>
    </row>
    <row r="4" spans="1:29" ht="15">
      <c r="A4" s="361" t="s">
        <v>2466</v>
      </c>
      <c r="B4" s="362"/>
      <c r="C4" s="3326" t="s">
        <v>2467</v>
      </c>
      <c r="D4" s="3327"/>
      <c r="E4" s="3328" t="s">
        <v>2468</v>
      </c>
      <c r="F4" s="3329"/>
      <c r="G4" s="3326" t="s">
        <v>2469</v>
      </c>
      <c r="H4" s="3327"/>
      <c r="I4" s="3326" t="s">
        <v>2470</v>
      </c>
      <c r="J4" s="3327"/>
      <c r="K4" s="567" t="s">
        <v>2471</v>
      </c>
      <c r="L4" s="2943"/>
      <c r="M4" s="2944"/>
      <c r="N4" s="2944"/>
      <c r="O4" s="2944"/>
      <c r="P4" s="3360" t="s">
        <v>2472</v>
      </c>
      <c r="Q4" s="3361"/>
      <c r="R4" s="3364" t="s">
        <v>2468</v>
      </c>
      <c r="S4" s="3365"/>
      <c r="T4" s="3364" t="s">
        <v>2469</v>
      </c>
      <c r="U4" s="3365"/>
      <c r="V4" s="3366" t="s">
        <v>2470</v>
      </c>
      <c r="W4" s="3366"/>
      <c r="X4" s="2143"/>
      <c r="Y4" s="3364" t="s">
        <v>2472</v>
      </c>
      <c r="Z4" s="3365"/>
      <c r="AA4" s="3368" t="s">
        <v>2468</v>
      </c>
      <c r="AB4" s="3368" t="s">
        <v>2469</v>
      </c>
      <c r="AC4" s="3357" t="s">
        <v>2470</v>
      </c>
    </row>
    <row r="5" spans="1:29" ht="15">
      <c r="A5" s="364"/>
      <c r="B5" s="365"/>
      <c r="C5" s="3345" t="s">
        <v>2363</v>
      </c>
      <c r="D5" s="3346"/>
      <c r="E5" s="3352" t="s">
        <v>2364</v>
      </c>
      <c r="F5" s="3353"/>
      <c r="G5" s="3345" t="s">
        <v>2365</v>
      </c>
      <c r="H5" s="3346"/>
      <c r="I5" s="3345" t="s">
        <v>2366</v>
      </c>
      <c r="J5" s="3346"/>
      <c r="K5" s="567"/>
      <c r="L5" s="2943"/>
      <c r="M5" s="2944"/>
      <c r="N5" s="2944"/>
      <c r="O5" s="2944"/>
      <c r="P5" s="3362"/>
      <c r="Q5" s="3333"/>
      <c r="R5" s="3338"/>
      <c r="S5" s="3339"/>
      <c r="T5" s="3338"/>
      <c r="U5" s="3339"/>
      <c r="V5" s="3342"/>
      <c r="W5" s="3342"/>
      <c r="X5" s="1538"/>
      <c r="Y5" s="3338"/>
      <c r="Z5" s="3339"/>
      <c r="AA5" s="3324"/>
      <c r="AB5" s="3324"/>
      <c r="AC5" s="3358"/>
    </row>
    <row r="6" spans="1:29" ht="15.75" thickBot="1">
      <c r="A6" s="366"/>
      <c r="B6" s="367"/>
      <c r="C6" s="3343" t="s">
        <v>2367</v>
      </c>
      <c r="D6" s="3344"/>
      <c r="E6" s="3350" t="s">
        <v>2367</v>
      </c>
      <c r="F6" s="3351"/>
      <c r="G6" s="3343" t="s">
        <v>2367</v>
      </c>
      <c r="H6" s="3344"/>
      <c r="I6" s="3343" t="s">
        <v>2367</v>
      </c>
      <c r="J6" s="3344"/>
      <c r="K6" s="567" t="s">
        <v>2368</v>
      </c>
      <c r="L6" s="2943"/>
      <c r="M6" s="2944"/>
      <c r="N6" s="2944"/>
      <c r="O6" s="2944"/>
      <c r="P6" s="3363"/>
      <c r="Q6" s="3335"/>
      <c r="R6" s="3338"/>
      <c r="S6" s="3339"/>
      <c r="T6" s="3340"/>
      <c r="U6" s="3341"/>
      <c r="V6" s="3342"/>
      <c r="W6" s="3342"/>
      <c r="X6" s="1538"/>
      <c r="Y6" s="3340"/>
      <c r="Z6" s="3341"/>
      <c r="AA6" s="3325"/>
      <c r="AB6" s="3325"/>
      <c r="AC6" s="3359"/>
    </row>
    <row r="7" spans="1:29" s="113" customFormat="1" ht="15.75" thickBot="1">
      <c r="A7" s="368" t="s">
        <v>2369</v>
      </c>
      <c r="B7" s="369"/>
      <c r="C7" s="370">
        <f>'数据-取费表'!B2</f>
        <v>44328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7" t="s">
        <v>2370</v>
      </c>
      <c r="Q7" s="3349"/>
      <c r="R7" s="710" t="s">
        <v>17</v>
      </c>
      <c r="S7" s="711">
        <f t="shared" ref="S7:S15" si="0">F7</f>
        <v>0</v>
      </c>
      <c r="T7" s="710" t="s">
        <v>17</v>
      </c>
      <c r="U7" s="711">
        <f t="shared" ref="U7:U15" si="1">H7</f>
        <v>0</v>
      </c>
      <c r="V7" s="710" t="s">
        <v>17</v>
      </c>
      <c r="W7" s="711">
        <f t="shared" ref="W7:W15" si="2">J7</f>
        <v>0</v>
      </c>
      <c r="X7" s="712"/>
      <c r="Y7" s="3347" t="s">
        <v>2370</v>
      </c>
      <c r="Z7" s="3348"/>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7" t="s">
        <v>2373</v>
      </c>
      <c r="Q8" s="3348"/>
      <c r="R8" s="710" t="s">
        <v>17</v>
      </c>
      <c r="S8" s="711">
        <f t="shared" si="0"/>
        <v>0</v>
      </c>
      <c r="T8" s="710" t="s">
        <v>17</v>
      </c>
      <c r="U8" s="711">
        <f t="shared" si="1"/>
        <v>0</v>
      </c>
      <c r="V8" s="710" t="s">
        <v>17</v>
      </c>
      <c r="W8" s="711">
        <f t="shared" si="2"/>
        <v>0</v>
      </c>
      <c r="X8" s="712"/>
      <c r="Y8" s="3347" t="s">
        <v>2373</v>
      </c>
      <c r="Z8" s="3348"/>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2"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2"/>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2"/>
      <c r="Q11" s="1526"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22"/>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22"/>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22"/>
      <c r="Q14" s="1526">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20" t="s">
        <v>2381</v>
      </c>
      <c r="Q15" s="1535" t="str">
        <f t="shared" si="6"/>
        <v>办公集聚程度</v>
      </c>
      <c r="R15" s="714" t="s">
        <v>17</v>
      </c>
      <c r="S15" s="715">
        <f t="shared" si="0"/>
        <v>100</v>
      </c>
      <c r="T15" s="714" t="s">
        <v>17</v>
      </c>
      <c r="U15" s="715">
        <f t="shared" si="1"/>
        <v>100</v>
      </c>
      <c r="V15" s="714" t="s">
        <v>17</v>
      </c>
      <c r="W15" s="715">
        <f t="shared" si="2"/>
        <v>100</v>
      </c>
      <c r="X15" s="1538"/>
      <c r="Y15" s="3313"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21"/>
      <c r="Q16" s="1535"/>
      <c r="R16" s="714"/>
      <c r="S16" s="715"/>
      <c r="T16" s="714"/>
      <c r="U16" s="715"/>
      <c r="V16" s="714"/>
      <c r="W16" s="715"/>
      <c r="X16" s="1538"/>
      <c r="Y16" s="3314"/>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21"/>
      <c r="Q17" s="1535" t="str">
        <f>B17</f>
        <v>交通便捷度</v>
      </c>
      <c r="R17" s="714" t="s">
        <v>17</v>
      </c>
      <c r="S17" s="715">
        <f>F17</f>
        <v>100</v>
      </c>
      <c r="T17" s="714" t="s">
        <v>17</v>
      </c>
      <c r="U17" s="715">
        <f>H17</f>
        <v>100</v>
      </c>
      <c r="V17" s="714" t="s">
        <v>17</v>
      </c>
      <c r="W17" s="715">
        <f>J17</f>
        <v>100</v>
      </c>
      <c r="X17" s="1538"/>
      <c r="Y17" s="3314"/>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21"/>
      <c r="Q18" s="1535"/>
      <c r="R18" s="714"/>
      <c r="S18" s="715"/>
      <c r="T18" s="714"/>
      <c r="U18" s="715"/>
      <c r="V18" s="714"/>
      <c r="W18" s="715"/>
      <c r="X18" s="1538"/>
      <c r="Y18" s="3314"/>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21"/>
      <c r="Q19" s="1535" t="str">
        <f>B19</f>
        <v>公共配套设施</v>
      </c>
      <c r="R19" s="714" t="s">
        <v>17</v>
      </c>
      <c r="S19" s="715">
        <f>F19</f>
        <v>100</v>
      </c>
      <c r="T19" s="714" t="s">
        <v>17</v>
      </c>
      <c r="U19" s="715">
        <f>H19</f>
        <v>100</v>
      </c>
      <c r="V19" s="714" t="s">
        <v>17</v>
      </c>
      <c r="W19" s="715">
        <f>J19</f>
        <v>100</v>
      </c>
      <c r="X19" s="1538"/>
      <c r="Y19" s="3314"/>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21"/>
      <c r="Q20" s="1535"/>
      <c r="R20" s="714"/>
      <c r="S20" s="715"/>
      <c r="T20" s="714"/>
      <c r="U20" s="715"/>
      <c r="V20" s="714"/>
      <c r="W20" s="715"/>
      <c r="X20" s="1538"/>
      <c r="Y20" s="3314"/>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21"/>
      <c r="Q21" s="1535" t="str">
        <f>B21</f>
        <v>基础设施水平</v>
      </c>
      <c r="R21" s="714" t="s">
        <v>17</v>
      </c>
      <c r="S21" s="715">
        <f>F21</f>
        <v>100</v>
      </c>
      <c r="T21" s="714" t="s">
        <v>17</v>
      </c>
      <c r="U21" s="715">
        <f>H21</f>
        <v>100</v>
      </c>
      <c r="V21" s="714" t="s">
        <v>17</v>
      </c>
      <c r="W21" s="715">
        <f>J21</f>
        <v>100</v>
      </c>
      <c r="X21" s="1538"/>
      <c r="Y21" s="3314"/>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21"/>
      <c r="Q22" s="1535"/>
      <c r="R22" s="714"/>
      <c r="S22" s="715"/>
      <c r="T22" s="714"/>
      <c r="U22" s="715"/>
      <c r="V22" s="714"/>
      <c r="W22" s="715"/>
      <c r="X22" s="1538"/>
      <c r="Y22" s="3314"/>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21"/>
      <c r="Q23" s="1535" t="str">
        <f>B23</f>
        <v>环境质量</v>
      </c>
      <c r="R23" s="714" t="s">
        <v>17</v>
      </c>
      <c r="S23" s="715">
        <f>F23</f>
        <v>100</v>
      </c>
      <c r="T23" s="714" t="s">
        <v>17</v>
      </c>
      <c r="U23" s="715">
        <f>H23</f>
        <v>100</v>
      </c>
      <c r="V23" s="714" t="s">
        <v>17</v>
      </c>
      <c r="W23" s="715">
        <f>J23</f>
        <v>100</v>
      </c>
      <c r="X23" s="1538"/>
      <c r="Y23" s="3314"/>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21"/>
      <c r="Q24" s="1535"/>
      <c r="R24" s="714"/>
      <c r="S24" s="715"/>
      <c r="T24" s="714"/>
      <c r="U24" s="715"/>
      <c r="V24" s="714"/>
      <c r="W24" s="715"/>
      <c r="X24" s="1538"/>
      <c r="Y24" s="3314"/>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21"/>
      <c r="Q25" s="1535" t="str">
        <f>B25</f>
        <v>毗邻道路的类型与等级</v>
      </c>
      <c r="R25" s="714" t="s">
        <v>17</v>
      </c>
      <c r="S25" s="715">
        <f>F25</f>
        <v>100</v>
      </c>
      <c r="T25" s="714" t="s">
        <v>17</v>
      </c>
      <c r="U25" s="715">
        <f>H25</f>
        <v>100</v>
      </c>
      <c r="V25" s="714" t="s">
        <v>17</v>
      </c>
      <c r="W25" s="715">
        <f>J25</f>
        <v>100</v>
      </c>
      <c r="X25" s="1538"/>
      <c r="Y25" s="3314"/>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21"/>
      <c r="Q26" s="1535"/>
      <c r="R26" s="714"/>
      <c r="S26" s="715"/>
      <c r="T26" s="714"/>
      <c r="U26" s="715"/>
      <c r="V26" s="714"/>
      <c r="W26" s="715"/>
      <c r="X26" s="1538"/>
      <c r="Y26" s="3314"/>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21"/>
      <c r="Q27" s="1535" t="str">
        <f t="shared" ref="Q27:Q47" si="11">B27</f>
        <v>楼层</v>
      </c>
      <c r="R27" s="714" t="s">
        <v>17</v>
      </c>
      <c r="S27" s="715">
        <f>F27</f>
        <v>100</v>
      </c>
      <c r="T27" s="714" t="s">
        <v>17</v>
      </c>
      <c r="U27" s="715">
        <f>H27</f>
        <v>100</v>
      </c>
      <c r="V27" s="714" t="s">
        <v>17</v>
      </c>
      <c r="W27" s="715">
        <f>J27</f>
        <v>100</v>
      </c>
      <c r="X27" s="1538"/>
      <c r="Y27" s="3314"/>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21"/>
      <c r="Q28" s="1526" t="str">
        <f t="shared" si="11"/>
        <v>朝向</v>
      </c>
      <c r="R28" s="710" t="s">
        <v>17</v>
      </c>
      <c r="S28" s="711">
        <f>F28</f>
        <v>100</v>
      </c>
      <c r="T28" s="710" t="s">
        <v>17</v>
      </c>
      <c r="U28" s="711">
        <f>H28</f>
        <v>100</v>
      </c>
      <c r="V28" s="710" t="s">
        <v>17</v>
      </c>
      <c r="W28" s="711">
        <f>J28</f>
        <v>100</v>
      </c>
      <c r="X28" s="712"/>
      <c r="Y28" s="3314"/>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21"/>
      <c r="Q29" s="1535">
        <f t="shared" si="11"/>
        <v>111</v>
      </c>
      <c r="R29" s="714" t="s">
        <v>17</v>
      </c>
      <c r="S29" s="715">
        <f t="shared" ref="S29:S47" si="12">F29</f>
        <v>100</v>
      </c>
      <c r="T29" s="714" t="s">
        <v>17</v>
      </c>
      <c r="U29" s="715">
        <f t="shared" ref="U29:U47" si="13">H29</f>
        <v>100</v>
      </c>
      <c r="V29" s="714" t="s">
        <v>17</v>
      </c>
      <c r="W29" s="715">
        <f t="shared" ref="W29:W47" si="14">J29</f>
        <v>100</v>
      </c>
      <c r="X29" s="1538"/>
      <c r="Y29" s="3314"/>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21"/>
      <c r="Q30" s="1535">
        <f t="shared" si="11"/>
        <v>111</v>
      </c>
      <c r="R30" s="714" t="s">
        <v>17</v>
      </c>
      <c r="S30" s="715">
        <f t="shared" si="12"/>
        <v>100</v>
      </c>
      <c r="T30" s="714" t="s">
        <v>17</v>
      </c>
      <c r="U30" s="715">
        <f t="shared" si="13"/>
        <v>100</v>
      </c>
      <c r="V30" s="714" t="s">
        <v>17</v>
      </c>
      <c r="W30" s="715">
        <f t="shared" si="14"/>
        <v>100</v>
      </c>
      <c r="X30" s="1538"/>
      <c r="Y30" s="3314"/>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21"/>
      <c r="Q31" s="1535">
        <f t="shared" si="11"/>
        <v>111</v>
      </c>
      <c r="R31" s="714" t="s">
        <v>17</v>
      </c>
      <c r="S31" s="715">
        <f t="shared" si="12"/>
        <v>100</v>
      </c>
      <c r="T31" s="714" t="s">
        <v>17</v>
      </c>
      <c r="U31" s="715">
        <f t="shared" si="13"/>
        <v>100</v>
      </c>
      <c r="V31" s="714" t="s">
        <v>17</v>
      </c>
      <c r="W31" s="715">
        <f t="shared" si="14"/>
        <v>100</v>
      </c>
      <c r="X31" s="1538"/>
      <c r="Y31" s="3314"/>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21"/>
      <c r="Q32" s="1535">
        <f t="shared" si="11"/>
        <v>111</v>
      </c>
      <c r="R32" s="714" t="s">
        <v>17</v>
      </c>
      <c r="S32" s="715">
        <f t="shared" si="12"/>
        <v>100</v>
      </c>
      <c r="T32" s="714" t="s">
        <v>17</v>
      </c>
      <c r="U32" s="715">
        <f t="shared" si="13"/>
        <v>100</v>
      </c>
      <c r="V32" s="714" t="s">
        <v>17</v>
      </c>
      <c r="W32" s="715">
        <f t="shared" si="14"/>
        <v>100</v>
      </c>
      <c r="X32" s="1538"/>
      <c r="Y32" s="3314"/>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15" t="s">
        <v>2386</v>
      </c>
      <c r="Q33" s="1535" t="str">
        <f t="shared" si="11"/>
        <v>建筑类型</v>
      </c>
      <c r="R33" s="714" t="s">
        <v>17</v>
      </c>
      <c r="S33" s="715">
        <f t="shared" si="12"/>
        <v>100</v>
      </c>
      <c r="T33" s="714" t="s">
        <v>17</v>
      </c>
      <c r="U33" s="715">
        <f t="shared" si="13"/>
        <v>100</v>
      </c>
      <c r="V33" s="714" t="s">
        <v>17</v>
      </c>
      <c r="W33" s="715">
        <f t="shared" si="14"/>
        <v>100</v>
      </c>
      <c r="X33" s="1538"/>
      <c r="Y33" s="3318"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16"/>
      <c r="Q34" s="716" t="str">
        <f t="shared" si="11"/>
        <v>项目建筑规模</v>
      </c>
      <c r="R34" s="717" t="s">
        <v>17</v>
      </c>
      <c r="S34" s="718" t="e">
        <f t="shared" si="12"/>
        <v>#N/A</v>
      </c>
      <c r="T34" s="717" t="s">
        <v>17</v>
      </c>
      <c r="U34" s="718" t="e">
        <f t="shared" si="13"/>
        <v>#N/A</v>
      </c>
      <c r="V34" s="717" t="s">
        <v>17</v>
      </c>
      <c r="W34" s="718" t="e">
        <f t="shared" si="14"/>
        <v>#N/A</v>
      </c>
      <c r="X34" s="719"/>
      <c r="Y34" s="3318"/>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16"/>
      <c r="Q35" s="1535" t="str">
        <f t="shared" si="11"/>
        <v>建筑结构</v>
      </c>
      <c r="R35" s="714" t="s">
        <v>17</v>
      </c>
      <c r="S35" s="715">
        <f t="shared" si="12"/>
        <v>100</v>
      </c>
      <c r="T35" s="714" t="s">
        <v>17</v>
      </c>
      <c r="U35" s="715">
        <f t="shared" si="13"/>
        <v>100</v>
      </c>
      <c r="V35" s="714" t="s">
        <v>17</v>
      </c>
      <c r="W35" s="715">
        <f t="shared" si="14"/>
        <v>100</v>
      </c>
      <c r="X35" s="1538"/>
      <c r="Y35" s="3318"/>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16"/>
      <c r="Q36" s="1535" t="str">
        <f t="shared" si="11"/>
        <v>公共部分装修</v>
      </c>
      <c r="R36" s="714" t="s">
        <v>17</v>
      </c>
      <c r="S36" s="715">
        <f t="shared" si="12"/>
        <v>100</v>
      </c>
      <c r="T36" s="714" t="s">
        <v>17</v>
      </c>
      <c r="U36" s="715">
        <f t="shared" si="13"/>
        <v>100</v>
      </c>
      <c r="V36" s="714" t="s">
        <v>17</v>
      </c>
      <c r="W36" s="715">
        <f t="shared" si="14"/>
        <v>100</v>
      </c>
      <c r="X36" s="1538"/>
      <c r="Y36" s="3318"/>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16"/>
      <c r="Q37" s="1535" t="str">
        <f t="shared" si="11"/>
        <v>成新度</v>
      </c>
      <c r="R37" s="714" t="s">
        <v>17</v>
      </c>
      <c r="S37" s="715" t="e">
        <f t="shared" si="12"/>
        <v>#N/A</v>
      </c>
      <c r="T37" s="714" t="s">
        <v>17</v>
      </c>
      <c r="U37" s="715" t="e">
        <f t="shared" si="13"/>
        <v>#N/A</v>
      </c>
      <c r="V37" s="714" t="s">
        <v>17</v>
      </c>
      <c r="W37" s="715" t="e">
        <f t="shared" si="14"/>
        <v>#N/A</v>
      </c>
      <c r="X37" s="1538"/>
      <c r="Y37" s="3318"/>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16"/>
      <c r="Q38" s="1526" t="str">
        <f t="shared" si="11"/>
        <v>写字楼等级</v>
      </c>
      <c r="R38" s="710" t="s">
        <v>17</v>
      </c>
      <c r="S38" s="711">
        <f t="shared" si="12"/>
        <v>100</v>
      </c>
      <c r="T38" s="710" t="s">
        <v>17</v>
      </c>
      <c r="U38" s="711">
        <f t="shared" si="13"/>
        <v>100</v>
      </c>
      <c r="V38" s="710" t="s">
        <v>17</v>
      </c>
      <c r="W38" s="711">
        <f t="shared" si="14"/>
        <v>100</v>
      </c>
      <c r="X38" s="712"/>
      <c r="Y38" s="3318"/>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16" t="s">
        <v>2386</v>
      </c>
      <c r="Q39" s="1535" t="str">
        <f t="shared" si="11"/>
        <v>物业管理</v>
      </c>
      <c r="R39" s="714" t="s">
        <v>17</v>
      </c>
      <c r="S39" s="715">
        <f t="shared" si="12"/>
        <v>100</v>
      </c>
      <c r="T39" s="714" t="s">
        <v>17</v>
      </c>
      <c r="U39" s="715">
        <f t="shared" si="13"/>
        <v>100</v>
      </c>
      <c r="V39" s="714" t="s">
        <v>17</v>
      </c>
      <c r="W39" s="715">
        <f t="shared" si="14"/>
        <v>100</v>
      </c>
      <c r="X39" s="1538"/>
      <c r="Y39" s="3318"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16"/>
      <c r="Q40" s="1535" t="str">
        <f t="shared" si="11"/>
        <v>市政基础设施</v>
      </c>
      <c r="R40" s="714" t="s">
        <v>17</v>
      </c>
      <c r="S40" s="715">
        <f t="shared" si="12"/>
        <v>100</v>
      </c>
      <c r="T40" s="714" t="s">
        <v>17</v>
      </c>
      <c r="U40" s="715">
        <f t="shared" si="13"/>
        <v>100</v>
      </c>
      <c r="V40" s="714" t="s">
        <v>17</v>
      </c>
      <c r="W40" s="715">
        <f t="shared" si="14"/>
        <v>100</v>
      </c>
      <c r="X40" s="1538"/>
      <c r="Y40" s="3318"/>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16"/>
      <c r="Q41" s="1535" t="str">
        <f t="shared" si="11"/>
        <v>层高</v>
      </c>
      <c r="R41" s="714" t="s">
        <v>17</v>
      </c>
      <c r="S41" s="715">
        <f t="shared" si="12"/>
        <v>100</v>
      </c>
      <c r="T41" s="714" t="s">
        <v>17</v>
      </c>
      <c r="U41" s="715">
        <f t="shared" si="13"/>
        <v>100</v>
      </c>
      <c r="V41" s="714" t="s">
        <v>17</v>
      </c>
      <c r="W41" s="715">
        <f t="shared" si="14"/>
        <v>100</v>
      </c>
      <c r="X41" s="1538"/>
      <c r="Y41" s="3318"/>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6"/>
      <c r="Q42" s="716" t="str">
        <f t="shared" si="11"/>
        <v>单套建筑面积</v>
      </c>
      <c r="R42" s="717" t="s">
        <v>17</v>
      </c>
      <c r="S42" s="718">
        <f t="shared" si="12"/>
        <v>100</v>
      </c>
      <c r="T42" s="717" t="s">
        <v>17</v>
      </c>
      <c r="U42" s="718">
        <f t="shared" si="13"/>
        <v>100</v>
      </c>
      <c r="V42" s="717" t="s">
        <v>17</v>
      </c>
      <c r="W42" s="718">
        <f t="shared" si="14"/>
        <v>100</v>
      </c>
      <c r="X42" s="719"/>
      <c r="Y42" s="3318"/>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16"/>
      <c r="Q43" s="1535" t="str">
        <f t="shared" si="11"/>
        <v>内部装修</v>
      </c>
      <c r="R43" s="714" t="s">
        <v>17</v>
      </c>
      <c r="S43" s="715">
        <f t="shared" si="12"/>
        <v>100</v>
      </c>
      <c r="T43" s="714" t="s">
        <v>17</v>
      </c>
      <c r="U43" s="715">
        <f t="shared" si="13"/>
        <v>100</v>
      </c>
      <c r="V43" s="714" t="s">
        <v>17</v>
      </c>
      <c r="W43" s="715">
        <f t="shared" si="14"/>
        <v>100</v>
      </c>
      <c r="X43" s="1538"/>
      <c r="Y43" s="3318"/>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16"/>
      <c r="Q44" s="1535" t="str">
        <f t="shared" si="11"/>
        <v>内部装修维护情况</v>
      </c>
      <c r="R44" s="714" t="s">
        <v>17</v>
      </c>
      <c r="S44" s="715">
        <f t="shared" si="12"/>
        <v>100</v>
      </c>
      <c r="T44" s="714" t="s">
        <v>17</v>
      </c>
      <c r="U44" s="715">
        <f t="shared" si="13"/>
        <v>100</v>
      </c>
      <c r="V44" s="714" t="s">
        <v>17</v>
      </c>
      <c r="W44" s="715">
        <f t="shared" si="14"/>
        <v>100</v>
      </c>
      <c r="X44" s="1538"/>
      <c r="Y44" s="3318"/>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6"/>
      <c r="Q45" s="1526">
        <f t="shared" si="11"/>
        <v>111</v>
      </c>
      <c r="R45" s="710" t="s">
        <v>17</v>
      </c>
      <c r="S45" s="711">
        <f t="shared" si="12"/>
        <v>100</v>
      </c>
      <c r="T45" s="710" t="s">
        <v>17</v>
      </c>
      <c r="U45" s="711">
        <f t="shared" si="13"/>
        <v>100</v>
      </c>
      <c r="V45" s="710" t="s">
        <v>17</v>
      </c>
      <c r="W45" s="711">
        <f t="shared" si="14"/>
        <v>100</v>
      </c>
      <c r="X45" s="712"/>
      <c r="Y45" s="3318"/>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6"/>
      <c r="Q46" s="1535">
        <f t="shared" si="11"/>
        <v>111</v>
      </c>
      <c r="R46" s="714" t="s">
        <v>17</v>
      </c>
      <c r="S46" s="715">
        <f t="shared" si="12"/>
        <v>100</v>
      </c>
      <c r="T46" s="714" t="s">
        <v>17</v>
      </c>
      <c r="U46" s="715">
        <f t="shared" si="13"/>
        <v>100</v>
      </c>
      <c r="V46" s="714" t="s">
        <v>17</v>
      </c>
      <c r="W46" s="715">
        <f t="shared" si="14"/>
        <v>100</v>
      </c>
      <c r="X46" s="1538"/>
      <c r="Y46" s="3318"/>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17"/>
      <c r="Q47" s="1535">
        <f t="shared" si="11"/>
        <v>111</v>
      </c>
      <c r="R47" s="714" t="s">
        <v>17</v>
      </c>
      <c r="S47" s="715">
        <f t="shared" si="12"/>
        <v>100</v>
      </c>
      <c r="T47" s="714" t="s">
        <v>17</v>
      </c>
      <c r="U47" s="715">
        <f t="shared" si="13"/>
        <v>100</v>
      </c>
      <c r="V47" s="714" t="s">
        <v>17</v>
      </c>
      <c r="W47" s="715">
        <f t="shared" si="14"/>
        <v>100</v>
      </c>
      <c r="X47" s="1538"/>
      <c r="Y47" s="3319"/>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22" t="str">
        <f>A48</f>
        <v>成交单价（元/平方米）</v>
      </c>
      <c r="Q48" s="3311"/>
      <c r="R48" s="3312">
        <f>E48</f>
        <v>0</v>
      </c>
      <c r="S48" s="3312"/>
      <c r="T48" s="3312">
        <f>G48</f>
        <v>0</v>
      </c>
      <c r="U48" s="3312"/>
      <c r="V48" s="3312">
        <f>I48</f>
        <v>0</v>
      </c>
      <c r="W48" s="3312"/>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22" t="str">
        <f>A49</f>
        <v>比较价值（元/平方米）</v>
      </c>
      <c r="Q49" s="3311"/>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2"/>
      <c r="M58" s="1070"/>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1568.25</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2466</v>
      </c>
      <c r="B4" s="362"/>
      <c r="C4" s="3326" t="s">
        <v>2467</v>
      </c>
      <c r="D4" s="3327"/>
      <c r="E4" s="3328" t="s">
        <v>2468</v>
      </c>
      <c r="F4" s="3329"/>
      <c r="G4" s="3326" t="s">
        <v>2469</v>
      </c>
      <c r="H4" s="3327"/>
      <c r="I4" s="3326" t="s">
        <v>2470</v>
      </c>
      <c r="J4" s="3327"/>
      <c r="K4" s="567" t="s">
        <v>2471</v>
      </c>
      <c r="L4" s="1043"/>
      <c r="M4" s="1044"/>
      <c r="N4" s="1044"/>
      <c r="O4" s="1044"/>
      <c r="P4" s="3330" t="s">
        <v>2472</v>
      </c>
      <c r="Q4" s="3331"/>
      <c r="R4" s="3336" t="s">
        <v>2468</v>
      </c>
      <c r="S4" s="3337"/>
      <c r="T4" s="3336" t="s">
        <v>2469</v>
      </c>
      <c r="U4" s="3337"/>
      <c r="V4" s="3342" t="s">
        <v>2470</v>
      </c>
      <c r="W4" s="3342"/>
      <c r="X4" s="1538"/>
      <c r="Y4" s="3336" t="s">
        <v>2472</v>
      </c>
      <c r="Z4" s="3337"/>
      <c r="AA4" s="3323" t="s">
        <v>2468</v>
      </c>
      <c r="AB4" s="3324" t="s">
        <v>2469</v>
      </c>
      <c r="AC4" s="3323" t="s">
        <v>2470</v>
      </c>
    </row>
    <row r="5" spans="1:29" ht="15">
      <c r="A5" s="364"/>
      <c r="B5" s="365"/>
      <c r="C5" s="3345" t="s">
        <v>2363</v>
      </c>
      <c r="D5" s="3346"/>
      <c r="E5" s="3352" t="s">
        <v>2364</v>
      </c>
      <c r="F5" s="3353"/>
      <c r="G5" s="3345" t="s">
        <v>2365</v>
      </c>
      <c r="H5" s="3346"/>
      <c r="I5" s="3345" t="s">
        <v>2366</v>
      </c>
      <c r="J5" s="3346"/>
      <c r="K5" s="567"/>
      <c r="L5" s="1043"/>
      <c r="M5" s="1044"/>
      <c r="N5" s="1044"/>
      <c r="O5" s="1044"/>
      <c r="P5" s="3332"/>
      <c r="Q5" s="3333"/>
      <c r="R5" s="3338"/>
      <c r="S5" s="3339"/>
      <c r="T5" s="3338"/>
      <c r="U5" s="3339"/>
      <c r="V5" s="3342"/>
      <c r="W5" s="3342"/>
      <c r="X5" s="1538"/>
      <c r="Y5" s="3338"/>
      <c r="Z5" s="3339"/>
      <c r="AA5" s="3324"/>
      <c r="AB5" s="3324"/>
      <c r="AC5" s="3324"/>
    </row>
    <row r="6" spans="1:29" ht="15.75" thickBot="1">
      <c r="A6" s="366"/>
      <c r="B6" s="367"/>
      <c r="C6" s="3343" t="s">
        <v>2367</v>
      </c>
      <c r="D6" s="3344"/>
      <c r="E6" s="3350" t="s">
        <v>2367</v>
      </c>
      <c r="F6" s="3351"/>
      <c r="G6" s="3343" t="s">
        <v>2367</v>
      </c>
      <c r="H6" s="3344"/>
      <c r="I6" s="3343" t="s">
        <v>2367</v>
      </c>
      <c r="J6" s="3344"/>
      <c r="K6" s="567" t="s">
        <v>2368</v>
      </c>
      <c r="L6" s="1043"/>
      <c r="M6" s="1044"/>
      <c r="N6" s="1044"/>
      <c r="O6" s="1044"/>
      <c r="P6" s="3334"/>
      <c r="Q6" s="3335"/>
      <c r="R6" s="3338"/>
      <c r="S6" s="3339"/>
      <c r="T6" s="3340"/>
      <c r="U6" s="3341"/>
      <c r="V6" s="3342"/>
      <c r="W6" s="3342"/>
      <c r="X6" s="1538"/>
      <c r="Y6" s="3340"/>
      <c r="Z6" s="3341"/>
      <c r="AA6" s="3325"/>
      <c r="AB6" s="3325"/>
      <c r="AC6" s="3325"/>
    </row>
    <row r="7" spans="1:29" s="113" customFormat="1" ht="15.75" thickBot="1">
      <c r="A7" s="368" t="s">
        <v>2369</v>
      </c>
      <c r="B7" s="369"/>
      <c r="C7" s="370">
        <f>'数据-取费表'!B2</f>
        <v>44328</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47" t="s">
        <v>2370</v>
      </c>
      <c r="Q7" s="3349"/>
      <c r="R7" s="710" t="s">
        <v>17</v>
      </c>
      <c r="S7" s="711">
        <f t="shared" ref="S7:S15" si="0">F7</f>
        <v>0</v>
      </c>
      <c r="T7" s="710" t="s">
        <v>17</v>
      </c>
      <c r="U7" s="711">
        <f t="shared" ref="U7:U15" si="1">H7</f>
        <v>0</v>
      </c>
      <c r="V7" s="710" t="s">
        <v>17</v>
      </c>
      <c r="W7" s="711">
        <f t="shared" ref="W7:W15" si="2">J7</f>
        <v>0</v>
      </c>
      <c r="X7" s="712"/>
      <c r="Y7" s="3347" t="s">
        <v>2370</v>
      </c>
      <c r="Z7" s="334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47" t="s">
        <v>2373</v>
      </c>
      <c r="Q8" s="3348"/>
      <c r="R8" s="710" t="s">
        <v>17</v>
      </c>
      <c r="S8" s="711">
        <f t="shared" si="0"/>
        <v>0</v>
      </c>
      <c r="T8" s="710" t="s">
        <v>17</v>
      </c>
      <c r="U8" s="711">
        <f t="shared" si="1"/>
        <v>0</v>
      </c>
      <c r="V8" s="710" t="s">
        <v>17</v>
      </c>
      <c r="W8" s="711">
        <f t="shared" si="2"/>
        <v>0</v>
      </c>
      <c r="X8" s="712"/>
      <c r="Y8" s="3347" t="s">
        <v>2373</v>
      </c>
      <c r="Z8" s="334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1"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1"/>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1"/>
      <c r="Q11" s="1526"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5"/>
      <c r="M12" s="1046"/>
      <c r="N12" s="1046"/>
      <c r="O12" s="1047"/>
      <c r="P12" s="3311"/>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3"/>
      <c r="M13" s="1044"/>
      <c r="N13" s="1044"/>
      <c r="O13" s="1052"/>
      <c r="P13" s="3311"/>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3"/>
      <c r="M14" s="1044"/>
      <c r="N14" s="1044"/>
      <c r="O14" s="1052"/>
      <c r="P14" s="3311"/>
      <c r="Q14" s="1526">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3" t="s">
        <v>2381</v>
      </c>
      <c r="Q15" s="1535" t="str">
        <f t="shared" si="6"/>
        <v>产业集聚程度</v>
      </c>
      <c r="R15" s="714" t="s">
        <v>17</v>
      </c>
      <c r="S15" s="715">
        <f t="shared" si="0"/>
        <v>100</v>
      </c>
      <c r="T15" s="714" t="s">
        <v>17</v>
      </c>
      <c r="U15" s="715">
        <f t="shared" si="1"/>
        <v>100</v>
      </c>
      <c r="V15" s="714" t="s">
        <v>17</v>
      </c>
      <c r="W15" s="715">
        <f t="shared" si="2"/>
        <v>100</v>
      </c>
      <c r="X15" s="1538"/>
      <c r="Y15" s="3313"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314"/>
      <c r="Q16" s="1535"/>
      <c r="R16" s="714"/>
      <c r="S16" s="715"/>
      <c r="T16" s="714"/>
      <c r="U16" s="715"/>
      <c r="V16" s="714"/>
      <c r="W16" s="715"/>
      <c r="X16" s="1538"/>
      <c r="Y16" s="3314"/>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4"/>
      <c r="Q17" s="1535" t="str">
        <f>B17</f>
        <v>交通便捷度</v>
      </c>
      <c r="R17" s="714" t="s">
        <v>17</v>
      </c>
      <c r="S17" s="715">
        <f>F17</f>
        <v>100</v>
      </c>
      <c r="T17" s="714" t="s">
        <v>17</v>
      </c>
      <c r="U17" s="715">
        <f>H17</f>
        <v>100</v>
      </c>
      <c r="V17" s="714" t="s">
        <v>17</v>
      </c>
      <c r="W17" s="715">
        <f>J17</f>
        <v>100</v>
      </c>
      <c r="X17" s="1538"/>
      <c r="Y17" s="3314"/>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3"/>
      <c r="M18" s="1044"/>
      <c r="N18" s="1044"/>
      <c r="O18" s="1052"/>
      <c r="P18" s="3314"/>
      <c r="Q18" s="1535"/>
      <c r="R18" s="714"/>
      <c r="S18" s="715"/>
      <c r="T18" s="714"/>
      <c r="U18" s="715"/>
      <c r="V18" s="714"/>
      <c r="W18" s="715"/>
      <c r="X18" s="1538"/>
      <c r="Y18" s="3314"/>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4"/>
      <c r="Q19" s="1535" t="str">
        <f>B19</f>
        <v>公共配套设施</v>
      </c>
      <c r="R19" s="714" t="s">
        <v>17</v>
      </c>
      <c r="S19" s="715">
        <f>F19</f>
        <v>100</v>
      </c>
      <c r="T19" s="714" t="s">
        <v>17</v>
      </c>
      <c r="U19" s="715">
        <f>H19</f>
        <v>100</v>
      </c>
      <c r="V19" s="714" t="s">
        <v>17</v>
      </c>
      <c r="W19" s="715">
        <f>J19</f>
        <v>100</v>
      </c>
      <c r="X19" s="1538"/>
      <c r="Y19" s="3314"/>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3"/>
      <c r="M20" s="1044"/>
      <c r="N20" s="1044"/>
      <c r="O20" s="1052"/>
      <c r="P20" s="3314"/>
      <c r="Q20" s="1535"/>
      <c r="R20" s="714"/>
      <c r="S20" s="715"/>
      <c r="T20" s="714"/>
      <c r="U20" s="715"/>
      <c r="V20" s="714"/>
      <c r="W20" s="715"/>
      <c r="X20" s="1538"/>
      <c r="Y20" s="3314"/>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4"/>
      <c r="Q21" s="1535" t="str">
        <f>B21</f>
        <v>基础设施水平</v>
      </c>
      <c r="R21" s="714" t="s">
        <v>17</v>
      </c>
      <c r="S21" s="715">
        <f>F21</f>
        <v>100</v>
      </c>
      <c r="T21" s="714" t="s">
        <v>17</v>
      </c>
      <c r="U21" s="715">
        <f>H21</f>
        <v>100</v>
      </c>
      <c r="V21" s="714" t="s">
        <v>17</v>
      </c>
      <c r="W21" s="715">
        <f>J21</f>
        <v>100</v>
      </c>
      <c r="X21" s="1538"/>
      <c r="Y21" s="3314"/>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3"/>
      <c r="M22" s="1044"/>
      <c r="N22" s="1044"/>
      <c r="O22" s="1052"/>
      <c r="P22" s="3314"/>
      <c r="Q22" s="1535"/>
      <c r="R22" s="714"/>
      <c r="S22" s="715"/>
      <c r="T22" s="714"/>
      <c r="U22" s="715"/>
      <c r="V22" s="714"/>
      <c r="W22" s="715"/>
      <c r="X22" s="1538"/>
      <c r="Y22" s="3314"/>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4"/>
      <c r="Q23" s="1535" t="str">
        <f>B23</f>
        <v>环境质量</v>
      </c>
      <c r="R23" s="714" t="s">
        <v>17</v>
      </c>
      <c r="S23" s="715">
        <f>F23</f>
        <v>100</v>
      </c>
      <c r="T23" s="714" t="s">
        <v>17</v>
      </c>
      <c r="U23" s="715">
        <f>H23</f>
        <v>100</v>
      </c>
      <c r="V23" s="714" t="s">
        <v>17</v>
      </c>
      <c r="W23" s="715">
        <f>J23</f>
        <v>100</v>
      </c>
      <c r="X23" s="1538"/>
      <c r="Y23" s="3314"/>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3"/>
      <c r="M24" s="1044"/>
      <c r="N24" s="1044"/>
      <c r="O24" s="1052"/>
      <c r="P24" s="3314"/>
      <c r="Q24" s="1535"/>
      <c r="R24" s="714"/>
      <c r="S24" s="715"/>
      <c r="T24" s="714"/>
      <c r="U24" s="715"/>
      <c r="V24" s="714"/>
      <c r="W24" s="715"/>
      <c r="X24" s="1538"/>
      <c r="Y24" s="3314"/>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4"/>
      <c r="Q25" s="1535">
        <f>B25</f>
        <v>111</v>
      </c>
      <c r="R25" s="714" t="s">
        <v>17</v>
      </c>
      <c r="S25" s="715">
        <f>F25</f>
        <v>100</v>
      </c>
      <c r="T25" s="714" t="s">
        <v>17</v>
      </c>
      <c r="U25" s="715">
        <f>H25</f>
        <v>100</v>
      </c>
      <c r="V25" s="714" t="s">
        <v>17</v>
      </c>
      <c r="W25" s="715">
        <f>J25</f>
        <v>100</v>
      </c>
      <c r="X25" s="1538"/>
      <c r="Y25" s="3314"/>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4"/>
      <c r="Q26" s="1535">
        <f t="shared" ref="Q26:Q40" si="11">B26</f>
        <v>111</v>
      </c>
      <c r="R26" s="714" t="s">
        <v>17</v>
      </c>
      <c r="S26" s="715">
        <f>F26</f>
        <v>100</v>
      </c>
      <c r="T26" s="714" t="s">
        <v>17</v>
      </c>
      <c r="U26" s="715">
        <f>H26</f>
        <v>100</v>
      </c>
      <c r="V26" s="714" t="s">
        <v>17</v>
      </c>
      <c r="W26" s="715">
        <f>J26</f>
        <v>100</v>
      </c>
      <c r="X26" s="1538"/>
      <c r="Y26" s="3314"/>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4"/>
      <c r="Q27" s="1526">
        <f t="shared" si="11"/>
        <v>111</v>
      </c>
      <c r="R27" s="710" t="s">
        <v>17</v>
      </c>
      <c r="S27" s="711">
        <f>F27</f>
        <v>100</v>
      </c>
      <c r="T27" s="710" t="s">
        <v>17</v>
      </c>
      <c r="U27" s="711">
        <f>H27</f>
        <v>100</v>
      </c>
      <c r="V27" s="710" t="s">
        <v>17</v>
      </c>
      <c r="W27" s="711">
        <f>J27</f>
        <v>100</v>
      </c>
      <c r="X27" s="712"/>
      <c r="Y27" s="3314"/>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4"/>
      <c r="Q28" s="1535">
        <f t="shared" si="11"/>
        <v>111</v>
      </c>
      <c r="R28" s="714" t="s">
        <v>17</v>
      </c>
      <c r="S28" s="715">
        <f t="shared" ref="S28:S40" si="12">F28</f>
        <v>100</v>
      </c>
      <c r="T28" s="714" t="s">
        <v>17</v>
      </c>
      <c r="U28" s="715">
        <f t="shared" ref="U28:U40" si="13">H28</f>
        <v>100</v>
      </c>
      <c r="V28" s="714" t="s">
        <v>17</v>
      </c>
      <c r="W28" s="715">
        <f t="shared" ref="W28:W40" si="14">J28</f>
        <v>100</v>
      </c>
      <c r="X28" s="1538"/>
      <c r="Y28" s="3314"/>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3"/>
      <c r="M29" s="1044"/>
      <c r="N29" s="1044"/>
      <c r="O29" s="1052"/>
      <c r="P29" s="3369" t="s">
        <v>2386</v>
      </c>
      <c r="Q29" s="1535" t="str">
        <f t="shared" si="11"/>
        <v>建筑类型</v>
      </c>
      <c r="R29" s="714" t="s">
        <v>17</v>
      </c>
      <c r="S29" s="715">
        <f t="shared" si="12"/>
        <v>100</v>
      </c>
      <c r="T29" s="714" t="s">
        <v>17</v>
      </c>
      <c r="U29" s="715">
        <f t="shared" si="13"/>
        <v>100</v>
      </c>
      <c r="V29" s="714" t="s">
        <v>17</v>
      </c>
      <c r="W29" s="715">
        <f t="shared" si="14"/>
        <v>100</v>
      </c>
      <c r="X29" s="1538"/>
      <c r="Y29" s="3318"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18"/>
      <c r="Q30" s="716" t="str">
        <f t="shared" si="11"/>
        <v>项目建筑规模</v>
      </c>
      <c r="R30" s="717" t="s">
        <v>17</v>
      </c>
      <c r="S30" s="718" t="e">
        <f t="shared" si="12"/>
        <v>#N/A</v>
      </c>
      <c r="T30" s="717" t="s">
        <v>17</v>
      </c>
      <c r="U30" s="718" t="e">
        <f t="shared" si="13"/>
        <v>#N/A</v>
      </c>
      <c r="V30" s="717" t="s">
        <v>17</v>
      </c>
      <c r="W30" s="718" t="e">
        <f t="shared" si="14"/>
        <v>#N/A</v>
      </c>
      <c r="X30" s="719"/>
      <c r="Y30" s="3318"/>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18"/>
      <c r="Q31" s="1535" t="str">
        <f t="shared" si="11"/>
        <v>建筑结构</v>
      </c>
      <c r="R31" s="714" t="s">
        <v>17</v>
      </c>
      <c r="S31" s="715">
        <f t="shared" si="12"/>
        <v>100</v>
      </c>
      <c r="T31" s="714" t="s">
        <v>17</v>
      </c>
      <c r="U31" s="715">
        <f t="shared" si="13"/>
        <v>100</v>
      </c>
      <c r="V31" s="714" t="s">
        <v>17</v>
      </c>
      <c r="W31" s="715">
        <f t="shared" si="14"/>
        <v>100</v>
      </c>
      <c r="X31" s="1538"/>
      <c r="Y31" s="3318"/>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18"/>
      <c r="Q32" s="1535" t="str">
        <f t="shared" si="11"/>
        <v>公共部分装修</v>
      </c>
      <c r="R32" s="714" t="s">
        <v>17</v>
      </c>
      <c r="S32" s="715">
        <f t="shared" si="12"/>
        <v>100</v>
      </c>
      <c r="T32" s="714" t="s">
        <v>17</v>
      </c>
      <c r="U32" s="715">
        <f t="shared" si="13"/>
        <v>100</v>
      </c>
      <c r="V32" s="714" t="s">
        <v>17</v>
      </c>
      <c r="W32" s="715">
        <f t="shared" si="14"/>
        <v>100</v>
      </c>
      <c r="X32" s="1538"/>
      <c r="Y32" s="3318"/>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18"/>
      <c r="Q33" s="1535" t="str">
        <f t="shared" si="11"/>
        <v>成新度</v>
      </c>
      <c r="R33" s="714" t="s">
        <v>17</v>
      </c>
      <c r="S33" s="715" t="e">
        <f t="shared" si="12"/>
        <v>#N/A</v>
      </c>
      <c r="T33" s="714" t="s">
        <v>17</v>
      </c>
      <c r="U33" s="715" t="e">
        <f t="shared" si="13"/>
        <v>#N/A</v>
      </c>
      <c r="V33" s="714" t="s">
        <v>17</v>
      </c>
      <c r="W33" s="715" t="e">
        <f t="shared" si="14"/>
        <v>#N/A</v>
      </c>
      <c r="X33" s="1538"/>
      <c r="Y33" s="3318"/>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18"/>
      <c r="Q34" s="1526" t="str">
        <f t="shared" si="11"/>
        <v>物业管理</v>
      </c>
      <c r="R34" s="710" t="s">
        <v>17</v>
      </c>
      <c r="S34" s="711">
        <f t="shared" si="12"/>
        <v>100</v>
      </c>
      <c r="T34" s="710" t="s">
        <v>17</v>
      </c>
      <c r="U34" s="711">
        <f t="shared" si="13"/>
        <v>100</v>
      </c>
      <c r="V34" s="710" t="s">
        <v>17</v>
      </c>
      <c r="W34" s="711">
        <f t="shared" si="14"/>
        <v>100</v>
      </c>
      <c r="X34" s="712"/>
      <c r="Y34" s="331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18" t="s">
        <v>2386</v>
      </c>
      <c r="Q35" s="1535" t="str">
        <f t="shared" si="11"/>
        <v>市政基础设施</v>
      </c>
      <c r="R35" s="714" t="s">
        <v>17</v>
      </c>
      <c r="S35" s="715">
        <f t="shared" si="12"/>
        <v>100</v>
      </c>
      <c r="T35" s="714" t="s">
        <v>17</v>
      </c>
      <c r="U35" s="715">
        <f t="shared" si="13"/>
        <v>100</v>
      </c>
      <c r="V35" s="714" t="s">
        <v>17</v>
      </c>
      <c r="W35" s="715">
        <f t="shared" si="14"/>
        <v>100</v>
      </c>
      <c r="X35" s="1538"/>
      <c r="Y35" s="3318"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18"/>
      <c r="Q36" s="1535" t="str">
        <f t="shared" si="11"/>
        <v>内部装修</v>
      </c>
      <c r="R36" s="714" t="s">
        <v>17</v>
      </c>
      <c r="S36" s="715">
        <f t="shared" si="12"/>
        <v>100</v>
      </c>
      <c r="T36" s="714" t="s">
        <v>17</v>
      </c>
      <c r="U36" s="715">
        <f t="shared" si="13"/>
        <v>100</v>
      </c>
      <c r="V36" s="714" t="s">
        <v>17</v>
      </c>
      <c r="W36" s="715">
        <f t="shared" si="14"/>
        <v>100</v>
      </c>
      <c r="X36" s="1538"/>
      <c r="Y36" s="3318"/>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18"/>
      <c r="Q37" s="1535" t="str">
        <f t="shared" si="11"/>
        <v>内部装修状况</v>
      </c>
      <c r="R37" s="714" t="s">
        <v>17</v>
      </c>
      <c r="S37" s="715">
        <f t="shared" si="12"/>
        <v>100</v>
      </c>
      <c r="T37" s="714" t="s">
        <v>17</v>
      </c>
      <c r="U37" s="715">
        <f t="shared" si="13"/>
        <v>100</v>
      </c>
      <c r="V37" s="714" t="s">
        <v>17</v>
      </c>
      <c r="W37" s="715">
        <f t="shared" si="14"/>
        <v>100</v>
      </c>
      <c r="X37" s="1538"/>
      <c r="Y37" s="3318"/>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18"/>
      <c r="Q38" s="716">
        <f t="shared" si="11"/>
        <v>111</v>
      </c>
      <c r="R38" s="717" t="s">
        <v>17</v>
      </c>
      <c r="S38" s="718">
        <f t="shared" si="12"/>
        <v>100</v>
      </c>
      <c r="T38" s="717" t="s">
        <v>17</v>
      </c>
      <c r="U38" s="718">
        <f t="shared" si="13"/>
        <v>100</v>
      </c>
      <c r="V38" s="717" t="s">
        <v>17</v>
      </c>
      <c r="W38" s="718">
        <f t="shared" si="14"/>
        <v>100</v>
      </c>
      <c r="X38" s="719"/>
      <c r="Y38" s="3318"/>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18"/>
      <c r="Q39" s="1535">
        <f t="shared" si="11"/>
        <v>111</v>
      </c>
      <c r="R39" s="714" t="s">
        <v>17</v>
      </c>
      <c r="S39" s="715">
        <f t="shared" si="12"/>
        <v>100</v>
      </c>
      <c r="T39" s="714" t="s">
        <v>17</v>
      </c>
      <c r="U39" s="715">
        <f t="shared" si="13"/>
        <v>100</v>
      </c>
      <c r="V39" s="714" t="s">
        <v>17</v>
      </c>
      <c r="W39" s="715">
        <f t="shared" si="14"/>
        <v>100</v>
      </c>
      <c r="X39" s="1538"/>
      <c r="Y39" s="3318"/>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19"/>
      <c r="Q40" s="1535">
        <f t="shared" si="11"/>
        <v>111</v>
      </c>
      <c r="R40" s="714" t="s">
        <v>17</v>
      </c>
      <c r="S40" s="715">
        <f t="shared" si="12"/>
        <v>100</v>
      </c>
      <c r="T40" s="714" t="s">
        <v>17</v>
      </c>
      <c r="U40" s="715">
        <f t="shared" si="13"/>
        <v>100</v>
      </c>
      <c r="V40" s="714" t="s">
        <v>17</v>
      </c>
      <c r="W40" s="715">
        <f t="shared" si="14"/>
        <v>100</v>
      </c>
      <c r="X40" s="1538"/>
      <c r="Y40" s="3319"/>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6"/>
      <c r="M41" s="1057"/>
      <c r="N41" s="1044"/>
      <c r="O41" s="1057"/>
      <c r="P41" s="3311" t="str">
        <f>A41</f>
        <v>成交单价（元/平方米）</v>
      </c>
      <c r="Q41" s="3311"/>
      <c r="R41" s="3312">
        <f>E41</f>
        <v>0</v>
      </c>
      <c r="S41" s="3312"/>
      <c r="T41" s="3312">
        <f>G41</f>
        <v>0</v>
      </c>
      <c r="U41" s="3312"/>
      <c r="V41" s="3312">
        <f>I41</f>
        <v>0</v>
      </c>
      <c r="W41" s="3312"/>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6"/>
      <c r="M42" s="1057"/>
      <c r="N42" s="1044"/>
      <c r="O42" s="1057"/>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6"/>
      <c r="M43" s="1057"/>
      <c r="N43" s="1057"/>
      <c r="O43" s="1057"/>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699"/>
      <c r="Y43" s="699"/>
      <c r="Z43" s="699"/>
      <c r="AA43" s="699"/>
      <c r="AB43" s="699"/>
      <c r="AC43" s="699"/>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19"/>
      <c r="M46" s="1057"/>
      <c r="N46" s="1057"/>
      <c r="O46" s="1057"/>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19"/>
      <c r="M47" s="1057"/>
      <c r="N47" s="1057"/>
      <c r="O47" s="1057"/>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0"/>
      <c r="M48" s="1058"/>
      <c r="N48" s="1058"/>
      <c r="O48" s="1058"/>
    </row>
    <row r="49" spans="1:17" s="459"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3" t="s">
        <v>2495</v>
      </c>
      <c r="B51" s="699"/>
      <c r="C51" s="704"/>
      <c r="D51" s="704"/>
      <c r="E51" s="704"/>
      <c r="F51" s="705"/>
      <c r="G51" s="705"/>
      <c r="H51" s="704"/>
      <c r="I51" s="704"/>
      <c r="J51" s="704"/>
      <c r="K51" s="1071"/>
      <c r="L51" s="1072"/>
      <c r="M51" s="1070"/>
      <c r="N51" s="1070"/>
      <c r="O51" s="1070"/>
      <c r="P51" s="460"/>
      <c r="Q51" s="461"/>
    </row>
    <row r="52" spans="1:17" s="465" customFormat="1" ht="15">
      <c r="A52" s="462" t="s">
        <v>2369</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3"/>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2"/>
      <c r="M3" s="2963"/>
      <c r="N3" s="2963"/>
      <c r="O3" s="2963"/>
      <c r="P3" s="1326"/>
      <c r="Q3" s="708"/>
      <c r="R3" s="708"/>
      <c r="S3" s="708"/>
      <c r="T3" s="708"/>
      <c r="U3" s="708"/>
      <c r="V3" s="708"/>
      <c r="W3" s="708"/>
      <c r="X3" s="708"/>
      <c r="Y3" s="708"/>
      <c r="Z3" s="708"/>
      <c r="AA3" s="708"/>
      <c r="AB3" s="725"/>
      <c r="AC3" s="722"/>
    </row>
    <row r="4" spans="1:29" ht="15">
      <c r="A4" s="361" t="s">
        <v>2466</v>
      </c>
      <c r="B4" s="362"/>
      <c r="C4" s="3326" t="s">
        <v>2467</v>
      </c>
      <c r="D4" s="3327"/>
      <c r="E4" s="3328" t="s">
        <v>2468</v>
      </c>
      <c r="F4" s="3329"/>
      <c r="G4" s="3326" t="s">
        <v>2469</v>
      </c>
      <c r="H4" s="3327"/>
      <c r="I4" s="3326" t="s">
        <v>2470</v>
      </c>
      <c r="J4" s="3327"/>
      <c r="K4" s="567" t="s">
        <v>2471</v>
      </c>
      <c r="L4" s="2943"/>
      <c r="M4" s="2944"/>
      <c r="N4" s="2944"/>
      <c r="O4" s="2944"/>
      <c r="P4" s="3330" t="s">
        <v>2472</v>
      </c>
      <c r="Q4" s="3331"/>
      <c r="R4" s="3336" t="s">
        <v>2468</v>
      </c>
      <c r="S4" s="3337"/>
      <c r="T4" s="3336" t="s">
        <v>2469</v>
      </c>
      <c r="U4" s="3337"/>
      <c r="V4" s="3342" t="s">
        <v>2470</v>
      </c>
      <c r="W4" s="3342"/>
      <c r="X4" s="1538"/>
      <c r="Y4" s="3336" t="s">
        <v>2472</v>
      </c>
      <c r="Z4" s="3337"/>
      <c r="AA4" s="3323" t="s">
        <v>2468</v>
      </c>
      <c r="AB4" s="3324" t="s">
        <v>2469</v>
      </c>
      <c r="AC4" s="3323" t="s">
        <v>2470</v>
      </c>
    </row>
    <row r="5" spans="1:29" ht="15">
      <c r="A5" s="364"/>
      <c r="B5" s="365"/>
      <c r="C5" s="3345" t="s">
        <v>2363</v>
      </c>
      <c r="D5" s="3346"/>
      <c r="E5" s="3352" t="s">
        <v>2364</v>
      </c>
      <c r="F5" s="3353"/>
      <c r="G5" s="3345" t="s">
        <v>2365</v>
      </c>
      <c r="H5" s="3346"/>
      <c r="I5" s="3345" t="s">
        <v>2366</v>
      </c>
      <c r="J5" s="3346"/>
      <c r="K5" s="567"/>
      <c r="L5" s="2943"/>
      <c r="M5" s="2944"/>
      <c r="N5" s="2944"/>
      <c r="O5" s="2944"/>
      <c r="P5" s="3332"/>
      <c r="Q5" s="3333"/>
      <c r="R5" s="3338"/>
      <c r="S5" s="3339"/>
      <c r="T5" s="3338"/>
      <c r="U5" s="3339"/>
      <c r="V5" s="3342"/>
      <c r="W5" s="3342"/>
      <c r="X5" s="1538"/>
      <c r="Y5" s="3338"/>
      <c r="Z5" s="3339"/>
      <c r="AA5" s="3324"/>
      <c r="AB5" s="3324"/>
      <c r="AC5" s="3324"/>
    </row>
    <row r="6" spans="1:29" ht="15.75" thickBot="1">
      <c r="A6" s="366"/>
      <c r="B6" s="367"/>
      <c r="C6" s="3343" t="s">
        <v>2367</v>
      </c>
      <c r="D6" s="3344"/>
      <c r="E6" s="3350" t="s">
        <v>2367</v>
      </c>
      <c r="F6" s="3351"/>
      <c r="G6" s="3343" t="s">
        <v>2367</v>
      </c>
      <c r="H6" s="3344"/>
      <c r="I6" s="3343" t="s">
        <v>2367</v>
      </c>
      <c r="J6" s="3344"/>
      <c r="K6" s="567" t="s">
        <v>2368</v>
      </c>
      <c r="L6" s="2943"/>
      <c r="M6" s="2944"/>
      <c r="N6" s="2944"/>
      <c r="O6" s="2944"/>
      <c r="P6" s="3334"/>
      <c r="Q6" s="3335"/>
      <c r="R6" s="3338"/>
      <c r="S6" s="3339"/>
      <c r="T6" s="3340"/>
      <c r="U6" s="3341"/>
      <c r="V6" s="3342"/>
      <c r="W6" s="3342"/>
      <c r="X6" s="1538"/>
      <c r="Y6" s="3340"/>
      <c r="Z6" s="3341"/>
      <c r="AA6" s="3325"/>
      <c r="AB6" s="3325"/>
      <c r="AC6" s="3325"/>
    </row>
    <row r="7" spans="1:29" s="113" customFormat="1" ht="15.75" thickBot="1">
      <c r="A7" s="368" t="s">
        <v>2369</v>
      </c>
      <c r="B7" s="369"/>
      <c r="C7" s="370">
        <f>'数据-取费表'!B2</f>
        <v>44328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47" t="s">
        <v>2370</v>
      </c>
      <c r="Q7" s="3349"/>
      <c r="R7" s="710" t="s">
        <v>17</v>
      </c>
      <c r="S7" s="711">
        <f t="shared" ref="S7:S14" si="0">F7</f>
        <v>0</v>
      </c>
      <c r="T7" s="710" t="s">
        <v>17</v>
      </c>
      <c r="U7" s="711">
        <f t="shared" ref="U7:U14" si="1">H7</f>
        <v>0</v>
      </c>
      <c r="V7" s="710" t="s">
        <v>17</v>
      </c>
      <c r="W7" s="711">
        <f t="shared" ref="W7:W14" si="2">J7</f>
        <v>0</v>
      </c>
      <c r="X7" s="712"/>
      <c r="Y7" s="3347" t="s">
        <v>2370</v>
      </c>
      <c r="Z7" s="334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47" t="s">
        <v>2373</v>
      </c>
      <c r="Q8" s="3348"/>
      <c r="R8" s="710" t="s">
        <v>17</v>
      </c>
      <c r="S8" s="711">
        <f t="shared" si="0"/>
        <v>0</v>
      </c>
      <c r="T8" s="710" t="s">
        <v>17</v>
      </c>
      <c r="U8" s="711">
        <f t="shared" si="1"/>
        <v>0</v>
      </c>
      <c r="V8" s="710" t="s">
        <v>17</v>
      </c>
      <c r="W8" s="711">
        <f t="shared" si="2"/>
        <v>0</v>
      </c>
      <c r="X8" s="712"/>
      <c r="Y8" s="3347" t="s">
        <v>2373</v>
      </c>
      <c r="Z8" s="334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1" t="s">
        <v>2376</v>
      </c>
      <c r="Q9" s="1526"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1"/>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1"/>
      <c r="Q11" s="1526">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1"/>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1"/>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3" t="s">
        <v>2381</v>
      </c>
      <c r="Q14" s="1535" t="str">
        <f t="shared" si="6"/>
        <v>交通便捷度</v>
      </c>
      <c r="R14" s="714" t="s">
        <v>17</v>
      </c>
      <c r="S14" s="715">
        <f t="shared" si="0"/>
        <v>100</v>
      </c>
      <c r="T14" s="714" t="s">
        <v>17</v>
      </c>
      <c r="U14" s="715">
        <f t="shared" si="1"/>
        <v>100</v>
      </c>
      <c r="V14" s="714" t="s">
        <v>17</v>
      </c>
      <c r="W14" s="715">
        <f t="shared" si="2"/>
        <v>100</v>
      </c>
      <c r="X14" s="1538"/>
      <c r="Y14" s="3313"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14"/>
      <c r="Q15" s="1535"/>
      <c r="R15" s="714"/>
      <c r="S15" s="715"/>
      <c r="T15" s="714"/>
      <c r="U15" s="715"/>
      <c r="V15" s="714"/>
      <c r="W15" s="715"/>
      <c r="X15" s="1538"/>
      <c r="Y15" s="3314"/>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4"/>
      <c r="Q16" s="1535" t="str">
        <f>B16</f>
        <v>公共配套设施</v>
      </c>
      <c r="R16" s="714" t="s">
        <v>17</v>
      </c>
      <c r="S16" s="715">
        <f>F16</f>
        <v>100</v>
      </c>
      <c r="T16" s="714" t="s">
        <v>17</v>
      </c>
      <c r="U16" s="715">
        <f>H16</f>
        <v>100</v>
      </c>
      <c r="V16" s="714" t="s">
        <v>17</v>
      </c>
      <c r="W16" s="715">
        <f>J16</f>
        <v>100</v>
      </c>
      <c r="X16" s="1538"/>
      <c r="Y16" s="3314"/>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14"/>
      <c r="Q17" s="1535"/>
      <c r="R17" s="714"/>
      <c r="S17" s="715"/>
      <c r="T17" s="714"/>
      <c r="U17" s="715"/>
      <c r="V17" s="714"/>
      <c r="W17" s="715"/>
      <c r="X17" s="1538"/>
      <c r="Y17" s="3314"/>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4"/>
      <c r="Q18" s="1535" t="str">
        <f>B18</f>
        <v>基础设施水平</v>
      </c>
      <c r="R18" s="714" t="s">
        <v>17</v>
      </c>
      <c r="S18" s="715">
        <f>F18</f>
        <v>100</v>
      </c>
      <c r="T18" s="714" t="s">
        <v>17</v>
      </c>
      <c r="U18" s="715">
        <f>H18</f>
        <v>100</v>
      </c>
      <c r="V18" s="714" t="s">
        <v>17</v>
      </c>
      <c r="W18" s="715">
        <f>J18</f>
        <v>100</v>
      </c>
      <c r="X18" s="1538"/>
      <c r="Y18" s="3314"/>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14"/>
      <c r="Q19" s="1535"/>
      <c r="R19" s="714"/>
      <c r="S19" s="715"/>
      <c r="T19" s="714"/>
      <c r="U19" s="715"/>
      <c r="V19" s="714"/>
      <c r="W19" s="715"/>
      <c r="X19" s="1538"/>
      <c r="Y19" s="3314"/>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4"/>
      <c r="Q20" s="1535" t="str">
        <f>B20</f>
        <v>自然及人文环境</v>
      </c>
      <c r="R20" s="714" t="s">
        <v>17</v>
      </c>
      <c r="S20" s="715">
        <f>F20</f>
        <v>100</v>
      </c>
      <c r="T20" s="714" t="s">
        <v>17</v>
      </c>
      <c r="U20" s="715">
        <f>H20</f>
        <v>100</v>
      </c>
      <c r="V20" s="714" t="s">
        <v>17</v>
      </c>
      <c r="W20" s="715">
        <f>J20</f>
        <v>100</v>
      </c>
      <c r="X20" s="1538"/>
      <c r="Y20" s="3314"/>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14"/>
      <c r="Q21" s="1535"/>
      <c r="R21" s="714"/>
      <c r="S21" s="715"/>
      <c r="T21" s="714"/>
      <c r="U21" s="715"/>
      <c r="V21" s="714"/>
      <c r="W21" s="715"/>
      <c r="X21" s="1538"/>
      <c r="Y21" s="3314"/>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4"/>
      <c r="Q22" s="1535" t="str">
        <f>B22</f>
        <v>楼层</v>
      </c>
      <c r="R22" s="714" t="s">
        <v>17</v>
      </c>
      <c r="S22" s="715">
        <f>F22</f>
        <v>100</v>
      </c>
      <c r="T22" s="714" t="s">
        <v>17</v>
      </c>
      <c r="U22" s="715">
        <f>H22</f>
        <v>100</v>
      </c>
      <c r="V22" s="714" t="s">
        <v>17</v>
      </c>
      <c r="W22" s="715">
        <f>J22</f>
        <v>100</v>
      </c>
      <c r="X22" s="1538"/>
      <c r="Y22" s="3314"/>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4"/>
      <c r="Q23" s="1535">
        <f>B23</f>
        <v>111</v>
      </c>
      <c r="R23" s="714" t="s">
        <v>17</v>
      </c>
      <c r="S23" s="715">
        <f>F23</f>
        <v>100</v>
      </c>
      <c r="T23" s="714" t="s">
        <v>17</v>
      </c>
      <c r="U23" s="715">
        <f>H23</f>
        <v>100</v>
      </c>
      <c r="V23" s="714" t="s">
        <v>17</v>
      </c>
      <c r="W23" s="715">
        <f>J23</f>
        <v>100</v>
      </c>
      <c r="X23" s="1538"/>
      <c r="Y23" s="3314"/>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4"/>
      <c r="Q24" s="1535">
        <f t="shared" ref="Q24:Q36" si="11">B24</f>
        <v>111</v>
      </c>
      <c r="R24" s="714" t="s">
        <v>17</v>
      </c>
      <c r="S24" s="715">
        <f>F24</f>
        <v>100</v>
      </c>
      <c r="T24" s="714" t="s">
        <v>17</v>
      </c>
      <c r="U24" s="715">
        <f>H24</f>
        <v>100</v>
      </c>
      <c r="V24" s="714" t="s">
        <v>17</v>
      </c>
      <c r="W24" s="715">
        <f>J24</f>
        <v>100</v>
      </c>
      <c r="X24" s="1538"/>
      <c r="Y24" s="3314"/>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4"/>
      <c r="Q25" s="1526">
        <f t="shared" si="11"/>
        <v>111</v>
      </c>
      <c r="R25" s="710" t="s">
        <v>17</v>
      </c>
      <c r="S25" s="711">
        <f>F25</f>
        <v>100</v>
      </c>
      <c r="T25" s="710" t="s">
        <v>17</v>
      </c>
      <c r="U25" s="711">
        <f>H25</f>
        <v>100</v>
      </c>
      <c r="V25" s="710" t="s">
        <v>17</v>
      </c>
      <c r="W25" s="711">
        <f>J25</f>
        <v>100</v>
      </c>
      <c r="X25" s="712"/>
      <c r="Y25" s="3314"/>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9"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8"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18"/>
      <c r="Q27" s="716" t="str">
        <f t="shared" si="11"/>
        <v>项目停车位配比</v>
      </c>
      <c r="R27" s="717" t="s">
        <v>17</v>
      </c>
      <c r="S27" s="718">
        <f t="shared" si="12"/>
        <v>100</v>
      </c>
      <c r="T27" s="717" t="s">
        <v>17</v>
      </c>
      <c r="U27" s="718">
        <f t="shared" si="13"/>
        <v>100</v>
      </c>
      <c r="V27" s="717" t="s">
        <v>17</v>
      </c>
      <c r="W27" s="718">
        <f t="shared" si="14"/>
        <v>100</v>
      </c>
      <c r="X27" s="719"/>
      <c r="Y27" s="3318"/>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18"/>
      <c r="Q28" s="1535" t="str">
        <f t="shared" si="11"/>
        <v>公共部分装修</v>
      </c>
      <c r="R28" s="714" t="s">
        <v>17</v>
      </c>
      <c r="S28" s="715">
        <f t="shared" si="12"/>
        <v>100</v>
      </c>
      <c r="T28" s="714" t="s">
        <v>17</v>
      </c>
      <c r="U28" s="715">
        <f t="shared" si="13"/>
        <v>100</v>
      </c>
      <c r="V28" s="714" t="s">
        <v>17</v>
      </c>
      <c r="W28" s="715">
        <f t="shared" si="14"/>
        <v>100</v>
      </c>
      <c r="X28" s="1538"/>
      <c r="Y28" s="3318"/>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18"/>
      <c r="Q29" s="1535" t="str">
        <f t="shared" si="11"/>
        <v>成新率</v>
      </c>
      <c r="R29" s="714" t="s">
        <v>17</v>
      </c>
      <c r="S29" s="715" t="e">
        <f t="shared" si="12"/>
        <v>#N/A</v>
      </c>
      <c r="T29" s="714" t="s">
        <v>17</v>
      </c>
      <c r="U29" s="715" t="e">
        <f t="shared" si="13"/>
        <v>#N/A</v>
      </c>
      <c r="V29" s="714" t="s">
        <v>17</v>
      </c>
      <c r="W29" s="715" t="e">
        <f t="shared" si="14"/>
        <v>#N/A</v>
      </c>
      <c r="X29" s="1538"/>
      <c r="Y29" s="3318"/>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18"/>
      <c r="Q30" s="1535" t="str">
        <f t="shared" si="11"/>
        <v>物业等级</v>
      </c>
      <c r="R30" s="714" t="s">
        <v>17</v>
      </c>
      <c r="S30" s="715">
        <f t="shared" si="12"/>
        <v>100</v>
      </c>
      <c r="T30" s="714" t="s">
        <v>17</v>
      </c>
      <c r="U30" s="715">
        <f t="shared" si="13"/>
        <v>100</v>
      </c>
      <c r="V30" s="714" t="s">
        <v>17</v>
      </c>
      <c r="W30" s="715">
        <f t="shared" si="14"/>
        <v>100</v>
      </c>
      <c r="X30" s="1538"/>
      <c r="Y30" s="3318"/>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18"/>
      <c r="Q31" s="1526" t="str">
        <f t="shared" si="11"/>
        <v>停车位面积</v>
      </c>
      <c r="R31" s="710" t="s">
        <v>17</v>
      </c>
      <c r="S31" s="711" t="e">
        <f t="shared" si="12"/>
        <v>#N/A</v>
      </c>
      <c r="T31" s="710" t="s">
        <v>17</v>
      </c>
      <c r="U31" s="711" t="e">
        <f t="shared" si="13"/>
        <v>#N/A</v>
      </c>
      <c r="V31" s="710" t="s">
        <v>17</v>
      </c>
      <c r="W31" s="711" t="e">
        <f t="shared" si="14"/>
        <v>#N/A</v>
      </c>
      <c r="X31" s="712"/>
      <c r="Y31" s="331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18" t="s">
        <v>2386</v>
      </c>
      <c r="Q32" s="1535" t="str">
        <f t="shared" si="11"/>
        <v>车位类型</v>
      </c>
      <c r="R32" s="714" t="s">
        <v>17</v>
      </c>
      <c r="S32" s="715">
        <f t="shared" si="12"/>
        <v>100</v>
      </c>
      <c r="T32" s="714" t="s">
        <v>17</v>
      </c>
      <c r="U32" s="715">
        <f t="shared" si="13"/>
        <v>100</v>
      </c>
      <c r="V32" s="714" t="s">
        <v>17</v>
      </c>
      <c r="W32" s="715">
        <f t="shared" si="14"/>
        <v>100</v>
      </c>
      <c r="X32" s="1538"/>
      <c r="Y32" s="3318"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18"/>
      <c r="Q33" s="1535" t="str">
        <f t="shared" si="11"/>
        <v>是否直接入户</v>
      </c>
      <c r="R33" s="714" t="s">
        <v>17</v>
      </c>
      <c r="S33" s="715">
        <f t="shared" si="12"/>
        <v>100</v>
      </c>
      <c r="T33" s="714" t="s">
        <v>17</v>
      </c>
      <c r="U33" s="715">
        <f t="shared" si="13"/>
        <v>100</v>
      </c>
      <c r="V33" s="714" t="s">
        <v>17</v>
      </c>
      <c r="W33" s="715">
        <f t="shared" si="14"/>
        <v>100</v>
      </c>
      <c r="X33" s="1538"/>
      <c r="Y33" s="3318"/>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18"/>
      <c r="Q34" s="1535">
        <f t="shared" si="11"/>
        <v>111</v>
      </c>
      <c r="R34" s="714" t="s">
        <v>17</v>
      </c>
      <c r="S34" s="715">
        <f t="shared" si="12"/>
        <v>100</v>
      </c>
      <c r="T34" s="714" t="s">
        <v>17</v>
      </c>
      <c r="U34" s="715">
        <f t="shared" si="13"/>
        <v>100</v>
      </c>
      <c r="V34" s="714" t="s">
        <v>17</v>
      </c>
      <c r="W34" s="715">
        <f t="shared" si="14"/>
        <v>100</v>
      </c>
      <c r="X34" s="1538"/>
      <c r="Y34" s="3318"/>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18"/>
      <c r="Q35" s="716">
        <f t="shared" si="11"/>
        <v>111</v>
      </c>
      <c r="R35" s="717" t="s">
        <v>17</v>
      </c>
      <c r="S35" s="718">
        <f t="shared" si="12"/>
        <v>100</v>
      </c>
      <c r="T35" s="717" t="s">
        <v>17</v>
      </c>
      <c r="U35" s="718">
        <f t="shared" si="13"/>
        <v>100</v>
      </c>
      <c r="V35" s="717" t="s">
        <v>17</v>
      </c>
      <c r="W35" s="718">
        <f t="shared" si="14"/>
        <v>100</v>
      </c>
      <c r="X35" s="719"/>
      <c r="Y35" s="3318"/>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18"/>
      <c r="Q36" s="1535">
        <f t="shared" si="11"/>
        <v>111</v>
      </c>
      <c r="R36" s="714" t="s">
        <v>17</v>
      </c>
      <c r="S36" s="715">
        <f t="shared" si="12"/>
        <v>100</v>
      </c>
      <c r="T36" s="714" t="s">
        <v>17</v>
      </c>
      <c r="U36" s="715">
        <f t="shared" si="13"/>
        <v>100</v>
      </c>
      <c r="V36" s="714" t="s">
        <v>17</v>
      </c>
      <c r="W36" s="715">
        <f t="shared" si="14"/>
        <v>100</v>
      </c>
      <c r="X36" s="1538"/>
      <c r="Y36" s="3318"/>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11" t="str">
        <f>A37</f>
        <v>成交单价</v>
      </c>
      <c r="Q37" s="3311"/>
      <c r="R37" s="3312">
        <f>E37</f>
        <v>0</v>
      </c>
      <c r="S37" s="3312"/>
      <c r="T37" s="3312">
        <f>G37</f>
        <v>0</v>
      </c>
      <c r="U37" s="3312"/>
      <c r="V37" s="3312">
        <f>I37</f>
        <v>0</v>
      </c>
      <c r="W37" s="3312"/>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08" t="str">
        <f>A39</f>
        <v>估价对象XX用房的比较价值（楼面单价，元/平方米）</v>
      </c>
      <c r="Q39" s="3309"/>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29" ht="15">
      <c r="A4" s="361" t="s">
        <v>2466</v>
      </c>
      <c r="B4" s="362"/>
      <c r="C4" s="3326" t="s">
        <v>2467</v>
      </c>
      <c r="D4" s="3327"/>
      <c r="E4" s="3328" t="s">
        <v>2468</v>
      </c>
      <c r="F4" s="3329"/>
      <c r="G4" s="3326" t="s">
        <v>2469</v>
      </c>
      <c r="H4" s="3327"/>
      <c r="I4" s="3326" t="s">
        <v>2470</v>
      </c>
      <c r="J4" s="3327"/>
      <c r="K4" s="567" t="s">
        <v>2471</v>
      </c>
      <c r="L4" s="2943"/>
      <c r="M4" s="2944"/>
      <c r="N4" s="2944"/>
      <c r="O4" s="2944"/>
      <c r="P4" s="3330" t="s">
        <v>2472</v>
      </c>
      <c r="Q4" s="3331"/>
      <c r="R4" s="3336" t="s">
        <v>2468</v>
      </c>
      <c r="S4" s="3337"/>
      <c r="T4" s="3336" t="s">
        <v>2469</v>
      </c>
      <c r="U4" s="3337"/>
      <c r="V4" s="3342" t="s">
        <v>2470</v>
      </c>
      <c r="W4" s="3342"/>
      <c r="X4" s="1538"/>
      <c r="Y4" s="3336" t="s">
        <v>2472</v>
      </c>
      <c r="Z4" s="3337"/>
      <c r="AA4" s="3323" t="s">
        <v>2468</v>
      </c>
      <c r="AB4" s="3324" t="s">
        <v>2469</v>
      </c>
      <c r="AC4" s="3323" t="s">
        <v>2470</v>
      </c>
    </row>
    <row r="5" spans="1:29" ht="15">
      <c r="A5" s="364"/>
      <c r="B5" s="365"/>
      <c r="C5" s="3345" t="s">
        <v>2363</v>
      </c>
      <c r="D5" s="3346"/>
      <c r="E5" s="3352" t="s">
        <v>2364</v>
      </c>
      <c r="F5" s="3353"/>
      <c r="G5" s="3345" t="s">
        <v>2365</v>
      </c>
      <c r="H5" s="3346"/>
      <c r="I5" s="3345" t="s">
        <v>2366</v>
      </c>
      <c r="J5" s="3346"/>
      <c r="K5" s="567"/>
      <c r="L5" s="2943"/>
      <c r="M5" s="2944"/>
      <c r="N5" s="2944"/>
      <c r="O5" s="2944"/>
      <c r="P5" s="3332"/>
      <c r="Q5" s="3333"/>
      <c r="R5" s="3338"/>
      <c r="S5" s="3339"/>
      <c r="T5" s="3338"/>
      <c r="U5" s="3339"/>
      <c r="V5" s="3342"/>
      <c r="W5" s="3342"/>
      <c r="X5" s="1538"/>
      <c r="Y5" s="3338"/>
      <c r="Z5" s="3339"/>
      <c r="AA5" s="3324"/>
      <c r="AB5" s="3324"/>
      <c r="AC5" s="3324"/>
    </row>
    <row r="6" spans="1:29" ht="15.75" thickBot="1">
      <c r="A6" s="366"/>
      <c r="B6" s="367"/>
      <c r="C6" s="3343" t="s">
        <v>2367</v>
      </c>
      <c r="D6" s="3344"/>
      <c r="E6" s="3350" t="s">
        <v>2367</v>
      </c>
      <c r="F6" s="3351"/>
      <c r="G6" s="3343" t="s">
        <v>2367</v>
      </c>
      <c r="H6" s="3344"/>
      <c r="I6" s="3343" t="s">
        <v>2367</v>
      </c>
      <c r="J6" s="3344"/>
      <c r="K6" s="567" t="s">
        <v>2368</v>
      </c>
      <c r="L6" s="2943"/>
      <c r="M6" s="2944"/>
      <c r="N6" s="2944"/>
      <c r="O6" s="2944"/>
      <c r="P6" s="3334"/>
      <c r="Q6" s="3335"/>
      <c r="R6" s="3338"/>
      <c r="S6" s="3339"/>
      <c r="T6" s="3340"/>
      <c r="U6" s="3341"/>
      <c r="V6" s="3342"/>
      <c r="W6" s="3342"/>
      <c r="X6" s="1538"/>
      <c r="Y6" s="3340"/>
      <c r="Z6" s="3341"/>
      <c r="AA6" s="3325"/>
      <c r="AB6" s="3325"/>
      <c r="AC6" s="3325"/>
    </row>
    <row r="7" spans="1:29" s="113" customFormat="1" ht="15.75" thickBot="1">
      <c r="A7" s="368" t="s">
        <v>2369</v>
      </c>
      <c r="B7" s="369"/>
      <c r="C7" s="370">
        <f>'数据-取费表'!B2</f>
        <v>44328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47" t="s">
        <v>2370</v>
      </c>
      <c r="Q7" s="3349"/>
      <c r="R7" s="710" t="s">
        <v>17</v>
      </c>
      <c r="S7" s="711">
        <f t="shared" ref="S7:S14" si="0">F7</f>
        <v>0</v>
      </c>
      <c r="T7" s="710" t="s">
        <v>17</v>
      </c>
      <c r="U7" s="711">
        <f t="shared" ref="U7:U14" si="1">H7</f>
        <v>0</v>
      </c>
      <c r="V7" s="710" t="s">
        <v>17</v>
      </c>
      <c r="W7" s="711">
        <f t="shared" ref="W7:W14" si="2">J7</f>
        <v>0</v>
      </c>
      <c r="X7" s="712"/>
      <c r="Y7" s="3347" t="s">
        <v>2370</v>
      </c>
      <c r="Z7" s="334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47" t="s">
        <v>2373</v>
      </c>
      <c r="Q8" s="3348"/>
      <c r="R8" s="710" t="s">
        <v>17</v>
      </c>
      <c r="S8" s="711">
        <f t="shared" si="0"/>
        <v>0</v>
      </c>
      <c r="T8" s="710" t="s">
        <v>17</v>
      </c>
      <c r="U8" s="711">
        <f t="shared" si="1"/>
        <v>0</v>
      </c>
      <c r="V8" s="710" t="s">
        <v>17</v>
      </c>
      <c r="W8" s="711">
        <f t="shared" si="2"/>
        <v>0</v>
      </c>
      <c r="X8" s="712"/>
      <c r="Y8" s="3347" t="s">
        <v>2373</v>
      </c>
      <c r="Z8" s="334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1" t="s">
        <v>2376</v>
      </c>
      <c r="Q9" s="1526" t="str">
        <f t="shared" ref="Q9:Q14" si="6">B9</f>
        <v>用途</v>
      </c>
      <c r="R9" s="710" t="s">
        <v>17</v>
      </c>
      <c r="S9" s="711">
        <f t="shared" si="0"/>
        <v>100</v>
      </c>
      <c r="T9" s="710" t="s">
        <v>17</v>
      </c>
      <c r="U9" s="711">
        <f t="shared" si="1"/>
        <v>100</v>
      </c>
      <c r="V9" s="710" t="s">
        <v>17</v>
      </c>
      <c r="W9" s="711">
        <f t="shared" si="2"/>
        <v>100</v>
      </c>
      <c r="X9" s="712"/>
      <c r="Y9" s="315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1"/>
      <c r="Q10" s="1526" t="str">
        <f t="shared" si="6"/>
        <v>土地使用年限（年）</v>
      </c>
      <c r="R10" s="710" t="s">
        <v>17</v>
      </c>
      <c r="S10" s="711">
        <f t="shared" si="0"/>
        <v>100</v>
      </c>
      <c r="T10" s="710" t="s">
        <v>17</v>
      </c>
      <c r="U10" s="711">
        <f t="shared" si="1"/>
        <v>100</v>
      </c>
      <c r="V10" s="710" t="s">
        <v>17</v>
      </c>
      <c r="W10" s="711">
        <f t="shared" si="2"/>
        <v>100</v>
      </c>
      <c r="X10" s="712"/>
      <c r="Y10" s="3155"/>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1"/>
      <c r="Q11" s="1526">
        <f t="shared" si="6"/>
        <v>111</v>
      </c>
      <c r="R11" s="710" t="s">
        <v>17</v>
      </c>
      <c r="S11" s="711">
        <f t="shared" si="0"/>
        <v>100</v>
      </c>
      <c r="T11" s="710" t="s">
        <v>17</v>
      </c>
      <c r="U11" s="711">
        <f t="shared" si="1"/>
        <v>100</v>
      </c>
      <c r="V11" s="710" t="s">
        <v>17</v>
      </c>
      <c r="W11" s="711">
        <f t="shared" si="2"/>
        <v>100</v>
      </c>
      <c r="X11" s="712"/>
      <c r="Y11" s="3155"/>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1"/>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11"/>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3" t="s">
        <v>2381</v>
      </c>
      <c r="Q14" s="1535" t="str">
        <f t="shared" si="6"/>
        <v>交通便捷度</v>
      </c>
      <c r="R14" s="714" t="s">
        <v>17</v>
      </c>
      <c r="S14" s="715">
        <f t="shared" si="0"/>
        <v>100</v>
      </c>
      <c r="T14" s="714" t="s">
        <v>17</v>
      </c>
      <c r="U14" s="715">
        <f t="shared" si="1"/>
        <v>100</v>
      </c>
      <c r="V14" s="714" t="s">
        <v>17</v>
      </c>
      <c r="W14" s="715">
        <f t="shared" si="2"/>
        <v>100</v>
      </c>
      <c r="X14" s="1538"/>
      <c r="Y14" s="3313"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14"/>
      <c r="Q15" s="1535"/>
      <c r="R15" s="714"/>
      <c r="S15" s="715"/>
      <c r="T15" s="714"/>
      <c r="U15" s="715"/>
      <c r="V15" s="714"/>
      <c r="W15" s="715"/>
      <c r="X15" s="1538"/>
      <c r="Y15" s="3314"/>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4"/>
      <c r="Q16" s="1535" t="str">
        <f>B16</f>
        <v>公共配套设施</v>
      </c>
      <c r="R16" s="714" t="s">
        <v>17</v>
      </c>
      <c r="S16" s="715">
        <f>F16</f>
        <v>100</v>
      </c>
      <c r="T16" s="714" t="s">
        <v>17</v>
      </c>
      <c r="U16" s="715">
        <f>H16</f>
        <v>100</v>
      </c>
      <c r="V16" s="714" t="s">
        <v>17</v>
      </c>
      <c r="W16" s="715">
        <f>J16</f>
        <v>100</v>
      </c>
      <c r="X16" s="1538"/>
      <c r="Y16" s="3314"/>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14"/>
      <c r="Q17" s="1535"/>
      <c r="R17" s="714"/>
      <c r="S17" s="715"/>
      <c r="T17" s="714"/>
      <c r="U17" s="715"/>
      <c r="V17" s="714"/>
      <c r="W17" s="715"/>
      <c r="X17" s="1538"/>
      <c r="Y17" s="3314"/>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4"/>
      <c r="Q18" s="1535" t="str">
        <f>B18</f>
        <v>基础设施水平</v>
      </c>
      <c r="R18" s="714" t="s">
        <v>17</v>
      </c>
      <c r="S18" s="715">
        <f>F18</f>
        <v>100</v>
      </c>
      <c r="T18" s="714" t="s">
        <v>17</v>
      </c>
      <c r="U18" s="715">
        <f>H18</f>
        <v>100</v>
      </c>
      <c r="V18" s="714" t="s">
        <v>17</v>
      </c>
      <c r="W18" s="715">
        <f>J18</f>
        <v>100</v>
      </c>
      <c r="X18" s="1538"/>
      <c r="Y18" s="3314"/>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14"/>
      <c r="Q19" s="1535"/>
      <c r="R19" s="714"/>
      <c r="S19" s="715"/>
      <c r="T19" s="714"/>
      <c r="U19" s="715"/>
      <c r="V19" s="714"/>
      <c r="W19" s="715"/>
      <c r="X19" s="1538"/>
      <c r="Y19" s="3314"/>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4"/>
      <c r="Q20" s="1535" t="str">
        <f>B20</f>
        <v>自然及人文环境</v>
      </c>
      <c r="R20" s="714" t="s">
        <v>17</v>
      </c>
      <c r="S20" s="715">
        <f>F20</f>
        <v>100</v>
      </c>
      <c r="T20" s="714" t="s">
        <v>17</v>
      </c>
      <c r="U20" s="715">
        <f>H20</f>
        <v>100</v>
      </c>
      <c r="V20" s="714" t="s">
        <v>17</v>
      </c>
      <c r="W20" s="715">
        <f>J20</f>
        <v>100</v>
      </c>
      <c r="X20" s="1538"/>
      <c r="Y20" s="3314"/>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14"/>
      <c r="Q21" s="1535"/>
      <c r="R21" s="714"/>
      <c r="S21" s="715"/>
      <c r="T21" s="714"/>
      <c r="U21" s="715"/>
      <c r="V21" s="714"/>
      <c r="W21" s="715"/>
      <c r="X21" s="1538"/>
      <c r="Y21" s="3314"/>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4"/>
      <c r="Q22" s="1535" t="str">
        <f>B22</f>
        <v>楼层</v>
      </c>
      <c r="R22" s="714" t="s">
        <v>17</v>
      </c>
      <c r="S22" s="715">
        <f>F22</f>
        <v>100</v>
      </c>
      <c r="T22" s="714" t="s">
        <v>17</v>
      </c>
      <c r="U22" s="715">
        <f>H22</f>
        <v>100</v>
      </c>
      <c r="V22" s="714" t="s">
        <v>17</v>
      </c>
      <c r="W22" s="715">
        <f>J22</f>
        <v>100</v>
      </c>
      <c r="X22" s="1538"/>
      <c r="Y22" s="3314"/>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4"/>
      <c r="Q23" s="1535">
        <f>B23</f>
        <v>111</v>
      </c>
      <c r="R23" s="714" t="s">
        <v>17</v>
      </c>
      <c r="S23" s="715">
        <f>F23</f>
        <v>100</v>
      </c>
      <c r="T23" s="714" t="s">
        <v>17</v>
      </c>
      <c r="U23" s="715">
        <f>H23</f>
        <v>100</v>
      </c>
      <c r="V23" s="714" t="s">
        <v>17</v>
      </c>
      <c r="W23" s="715">
        <f>J23</f>
        <v>100</v>
      </c>
      <c r="X23" s="1538"/>
      <c r="Y23" s="3314"/>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4"/>
      <c r="Q24" s="1535">
        <f t="shared" ref="Q24:Q34" si="11">B24</f>
        <v>111</v>
      </c>
      <c r="R24" s="714" t="s">
        <v>17</v>
      </c>
      <c r="S24" s="715">
        <f>F24</f>
        <v>100</v>
      </c>
      <c r="T24" s="714" t="s">
        <v>17</v>
      </c>
      <c r="U24" s="715">
        <f>H24</f>
        <v>100</v>
      </c>
      <c r="V24" s="714" t="s">
        <v>17</v>
      </c>
      <c r="W24" s="715">
        <f>J24</f>
        <v>100</v>
      </c>
      <c r="X24" s="1538"/>
      <c r="Y24" s="3314"/>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14"/>
      <c r="Q25" s="1526">
        <f t="shared" si="11"/>
        <v>111</v>
      </c>
      <c r="R25" s="710" t="s">
        <v>17</v>
      </c>
      <c r="S25" s="711">
        <f>F25</f>
        <v>100</v>
      </c>
      <c r="T25" s="710" t="s">
        <v>17</v>
      </c>
      <c r="U25" s="711">
        <f>H25</f>
        <v>100</v>
      </c>
      <c r="V25" s="710" t="s">
        <v>17</v>
      </c>
      <c r="W25" s="711">
        <f>J25</f>
        <v>100</v>
      </c>
      <c r="X25" s="712"/>
      <c r="Y25" s="3314"/>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9"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8"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18"/>
      <c r="Q27" s="716" t="str">
        <f t="shared" si="11"/>
        <v>成新率</v>
      </c>
      <c r="R27" s="717" t="s">
        <v>17</v>
      </c>
      <c r="S27" s="718" t="e">
        <f t="shared" si="12"/>
        <v>#N/A</v>
      </c>
      <c r="T27" s="717" t="s">
        <v>17</v>
      </c>
      <c r="U27" s="718" t="e">
        <f t="shared" si="13"/>
        <v>#N/A</v>
      </c>
      <c r="V27" s="717" t="s">
        <v>17</v>
      </c>
      <c r="W27" s="718" t="e">
        <f t="shared" si="14"/>
        <v>#N/A</v>
      </c>
      <c r="X27" s="719"/>
      <c r="Y27" s="3318"/>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18"/>
      <c r="Q28" s="1535" t="str">
        <f t="shared" si="11"/>
        <v>物业等级</v>
      </c>
      <c r="R28" s="714" t="s">
        <v>17</v>
      </c>
      <c r="S28" s="715">
        <f t="shared" si="12"/>
        <v>100</v>
      </c>
      <c r="T28" s="714" t="s">
        <v>17</v>
      </c>
      <c r="U28" s="715">
        <f t="shared" si="13"/>
        <v>100</v>
      </c>
      <c r="V28" s="714" t="s">
        <v>17</v>
      </c>
      <c r="W28" s="715">
        <f t="shared" si="14"/>
        <v>100</v>
      </c>
      <c r="X28" s="1538"/>
      <c r="Y28" s="3318"/>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18"/>
      <c r="Q29" s="1535" t="str">
        <f t="shared" si="11"/>
        <v>有无电梯</v>
      </c>
      <c r="R29" s="714" t="s">
        <v>17</v>
      </c>
      <c r="S29" s="715">
        <f t="shared" si="12"/>
        <v>100</v>
      </c>
      <c r="T29" s="714" t="s">
        <v>17</v>
      </c>
      <c r="U29" s="715">
        <f t="shared" si="13"/>
        <v>100</v>
      </c>
      <c r="V29" s="714" t="s">
        <v>17</v>
      </c>
      <c r="W29" s="715">
        <f t="shared" si="14"/>
        <v>100</v>
      </c>
      <c r="X29" s="1538"/>
      <c r="Y29" s="3318"/>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18"/>
      <c r="Q30" s="1535" t="str">
        <f t="shared" si="11"/>
        <v>建筑面积</v>
      </c>
      <c r="R30" s="714" t="s">
        <v>17</v>
      </c>
      <c r="S30" s="715" t="e">
        <f t="shared" si="12"/>
        <v>#N/A</v>
      </c>
      <c r="T30" s="714" t="s">
        <v>17</v>
      </c>
      <c r="U30" s="715" t="e">
        <f t="shared" si="13"/>
        <v>#N/A</v>
      </c>
      <c r="V30" s="714" t="s">
        <v>17</v>
      </c>
      <c r="W30" s="715" t="e">
        <f t="shared" si="14"/>
        <v>#N/A</v>
      </c>
      <c r="X30" s="1538"/>
      <c r="Y30" s="3318"/>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18"/>
      <c r="Q31" s="1526" t="str">
        <f t="shared" si="11"/>
        <v>是否封闭</v>
      </c>
      <c r="R31" s="710" t="s">
        <v>17</v>
      </c>
      <c r="S31" s="711">
        <f t="shared" si="12"/>
        <v>100</v>
      </c>
      <c r="T31" s="710" t="s">
        <v>17</v>
      </c>
      <c r="U31" s="711">
        <f t="shared" si="13"/>
        <v>100</v>
      </c>
      <c r="V31" s="710" t="s">
        <v>17</v>
      </c>
      <c r="W31" s="711">
        <f t="shared" si="14"/>
        <v>100</v>
      </c>
      <c r="X31" s="712"/>
      <c r="Y31" s="3318"/>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18" t="s">
        <v>2386</v>
      </c>
      <c r="Q32" s="1535">
        <f t="shared" si="11"/>
        <v>111</v>
      </c>
      <c r="R32" s="714" t="s">
        <v>17</v>
      </c>
      <c r="S32" s="715">
        <f t="shared" si="12"/>
        <v>100</v>
      </c>
      <c r="T32" s="714" t="s">
        <v>17</v>
      </c>
      <c r="U32" s="715">
        <f t="shared" si="13"/>
        <v>100</v>
      </c>
      <c r="V32" s="714" t="s">
        <v>17</v>
      </c>
      <c r="W32" s="715">
        <f t="shared" si="14"/>
        <v>100</v>
      </c>
      <c r="X32" s="1538"/>
      <c r="Y32" s="3318"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18"/>
      <c r="Q33" s="1535">
        <f t="shared" si="11"/>
        <v>111</v>
      </c>
      <c r="R33" s="714" t="s">
        <v>17</v>
      </c>
      <c r="S33" s="715">
        <f t="shared" si="12"/>
        <v>100</v>
      </c>
      <c r="T33" s="714" t="s">
        <v>17</v>
      </c>
      <c r="U33" s="715">
        <f t="shared" si="13"/>
        <v>100</v>
      </c>
      <c r="V33" s="714" t="s">
        <v>17</v>
      </c>
      <c r="W33" s="715">
        <f t="shared" si="14"/>
        <v>100</v>
      </c>
      <c r="X33" s="1538"/>
      <c r="Y33" s="3318"/>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18"/>
      <c r="Q34" s="1535">
        <f t="shared" si="11"/>
        <v>111</v>
      </c>
      <c r="R34" s="714" t="s">
        <v>17</v>
      </c>
      <c r="S34" s="715">
        <f t="shared" si="12"/>
        <v>100</v>
      </c>
      <c r="T34" s="714" t="s">
        <v>17</v>
      </c>
      <c r="U34" s="715">
        <f t="shared" si="13"/>
        <v>100</v>
      </c>
      <c r="V34" s="714" t="s">
        <v>17</v>
      </c>
      <c r="W34" s="715">
        <f t="shared" si="14"/>
        <v>100</v>
      </c>
      <c r="X34" s="1538"/>
      <c r="Y34" s="3318"/>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11" t="str">
        <f>A35</f>
        <v>成交单价（元/平方米）</v>
      </c>
      <c r="Q35" s="3311"/>
      <c r="R35" s="3312">
        <f>E35</f>
        <v>0</v>
      </c>
      <c r="S35" s="3312"/>
      <c r="T35" s="3312">
        <f>G35</f>
        <v>0</v>
      </c>
      <c r="U35" s="3312"/>
      <c r="V35" s="3312">
        <f>I35</f>
        <v>0</v>
      </c>
      <c r="W35" s="3312"/>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08" t="str">
        <f>A37</f>
        <v>估价对象XX用房的比较价值（楼面单价，元/平方米）</v>
      </c>
      <c r="Q37" s="3309"/>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O29" sqref="O2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7"/>
      <c r="D2" s="1037"/>
      <c r="E2" s="1038"/>
      <c r="F2" s="1039"/>
      <c r="G2" s="1038"/>
      <c r="H2" s="1038"/>
      <c r="I2" s="1038"/>
      <c r="J2" s="1038"/>
      <c r="K2" s="1040"/>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30" ht="15">
      <c r="A4" s="361" t="s">
        <v>2466</v>
      </c>
      <c r="B4" s="362"/>
      <c r="C4" s="3326" t="s">
        <v>2467</v>
      </c>
      <c r="D4" s="3327"/>
      <c r="E4" s="3328" t="s">
        <v>2468</v>
      </c>
      <c r="F4" s="3329"/>
      <c r="G4" s="3326" t="s">
        <v>2469</v>
      </c>
      <c r="H4" s="3327"/>
      <c r="I4" s="3326" t="s">
        <v>2470</v>
      </c>
      <c r="J4" s="3327"/>
      <c r="K4" s="567" t="s">
        <v>2471</v>
      </c>
      <c r="L4" s="2943"/>
      <c r="M4" s="2944"/>
      <c r="N4" s="2944"/>
      <c r="O4" s="2944"/>
      <c r="P4" s="3330" t="s">
        <v>2472</v>
      </c>
      <c r="Q4" s="3331"/>
      <c r="R4" s="3336" t="s">
        <v>2468</v>
      </c>
      <c r="S4" s="3337"/>
      <c r="T4" s="3336" t="s">
        <v>2469</v>
      </c>
      <c r="U4" s="3337"/>
      <c r="V4" s="3342" t="s">
        <v>2470</v>
      </c>
      <c r="W4" s="3342"/>
      <c r="X4" s="1538"/>
      <c r="Y4" s="3336" t="s">
        <v>2472</v>
      </c>
      <c r="Z4" s="3337"/>
      <c r="AA4" s="3323" t="s">
        <v>2468</v>
      </c>
      <c r="AB4" s="3324" t="s">
        <v>2469</v>
      </c>
      <c r="AC4" s="3323" t="s">
        <v>2470</v>
      </c>
    </row>
    <row r="5" spans="1:30" ht="15">
      <c r="A5" s="364"/>
      <c r="B5" s="365"/>
      <c r="C5" s="3345" t="s">
        <v>2363</v>
      </c>
      <c r="D5" s="3346"/>
      <c r="E5" s="3352" t="s">
        <v>2364</v>
      </c>
      <c r="F5" s="3353"/>
      <c r="G5" s="3345" t="s">
        <v>2365</v>
      </c>
      <c r="H5" s="3346"/>
      <c r="I5" s="3345" t="s">
        <v>2366</v>
      </c>
      <c r="J5" s="3346"/>
      <c r="K5" s="567"/>
      <c r="L5" s="2943"/>
      <c r="M5" s="2944"/>
      <c r="N5" s="2944"/>
      <c r="O5" s="2944"/>
      <c r="P5" s="3332"/>
      <c r="Q5" s="3333"/>
      <c r="R5" s="3338"/>
      <c r="S5" s="3339"/>
      <c r="T5" s="3338"/>
      <c r="U5" s="3339"/>
      <c r="V5" s="3342"/>
      <c r="W5" s="3342"/>
      <c r="X5" s="1538"/>
      <c r="Y5" s="3338"/>
      <c r="Z5" s="3339"/>
      <c r="AA5" s="3324"/>
      <c r="AB5" s="3324"/>
      <c r="AC5" s="3324"/>
    </row>
    <row r="6" spans="1:30" ht="15.75" thickBot="1">
      <c r="A6" s="366"/>
      <c r="B6" s="367"/>
      <c r="C6" s="3343" t="s">
        <v>2367</v>
      </c>
      <c r="D6" s="3344"/>
      <c r="E6" s="3350" t="s">
        <v>2367</v>
      </c>
      <c r="F6" s="3351"/>
      <c r="G6" s="3343" t="s">
        <v>2367</v>
      </c>
      <c r="H6" s="3344"/>
      <c r="I6" s="3343" t="s">
        <v>2367</v>
      </c>
      <c r="J6" s="3344"/>
      <c r="K6" s="567" t="s">
        <v>2368</v>
      </c>
      <c r="L6" s="2943"/>
      <c r="M6" s="2944"/>
      <c r="N6" s="2944"/>
      <c r="O6" s="2944"/>
      <c r="P6" s="3334"/>
      <c r="Q6" s="3335"/>
      <c r="R6" s="3338"/>
      <c r="S6" s="3339"/>
      <c r="T6" s="3340"/>
      <c r="U6" s="3341"/>
      <c r="V6" s="3342"/>
      <c r="W6" s="3342"/>
      <c r="X6" s="1538"/>
      <c r="Y6" s="3340"/>
      <c r="Z6" s="3341"/>
      <c r="AA6" s="3325"/>
      <c r="AB6" s="3325"/>
      <c r="AC6" s="3325"/>
    </row>
    <row r="7" spans="1:30" s="113" customFormat="1" ht="15.75" thickBot="1">
      <c r="A7" s="368" t="s">
        <v>2369</v>
      </c>
      <c r="B7" s="369"/>
      <c r="C7" s="370">
        <f>'数据-取费表'!B2</f>
        <v>44328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47" t="s">
        <v>2370</v>
      </c>
      <c r="Q7" s="3349"/>
      <c r="R7" s="710" t="s">
        <v>17</v>
      </c>
      <c r="S7" s="711">
        <f t="shared" ref="S7:S15" si="0">F7</f>
        <v>0</v>
      </c>
      <c r="T7" s="710" t="s">
        <v>17</v>
      </c>
      <c r="U7" s="711">
        <f t="shared" ref="U7:U15" si="1">H7</f>
        <v>0</v>
      </c>
      <c r="V7" s="710" t="s">
        <v>17</v>
      </c>
      <c r="W7" s="711">
        <f t="shared" ref="W7:W15" si="2">J7</f>
        <v>0</v>
      </c>
      <c r="X7" s="712"/>
      <c r="Y7" s="3347" t="s">
        <v>2370</v>
      </c>
      <c r="Z7" s="334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47" t="s">
        <v>2373</v>
      </c>
      <c r="Q8" s="3348"/>
      <c r="R8" s="710" t="s">
        <v>17</v>
      </c>
      <c r="S8" s="711">
        <f t="shared" si="0"/>
        <v>0</v>
      </c>
      <c r="T8" s="710" t="s">
        <v>17</v>
      </c>
      <c r="U8" s="711">
        <f t="shared" si="1"/>
        <v>0</v>
      </c>
      <c r="V8" s="710" t="s">
        <v>17</v>
      </c>
      <c r="W8" s="711">
        <f t="shared" si="2"/>
        <v>0</v>
      </c>
      <c r="X8" s="712"/>
      <c r="Y8" s="3347" t="s">
        <v>2373</v>
      </c>
      <c r="Z8" s="3348"/>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11"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117</v>
      </c>
      <c r="G10" s="422"/>
      <c r="H10" s="132">
        <f>ROUND(100/'数据-取费表'!G16,0)</f>
        <v>117</v>
      </c>
      <c r="I10" s="422"/>
      <c r="J10" s="132">
        <f>ROUND(100/'数据-取费表'!G16,0)</f>
        <v>117</v>
      </c>
      <c r="K10" s="628"/>
      <c r="L10" s="2947"/>
      <c r="M10" s="2948"/>
      <c r="N10" s="2948"/>
      <c r="O10" s="3001"/>
      <c r="P10" s="3311"/>
      <c r="Q10" s="1526" t="str">
        <f t="shared" si="6"/>
        <v>土地使用年限（年）</v>
      </c>
      <c r="R10" s="710" t="s">
        <v>17</v>
      </c>
      <c r="S10" s="711">
        <f t="shared" si="0"/>
        <v>117</v>
      </c>
      <c r="T10" s="710" t="s">
        <v>17</v>
      </c>
      <c r="U10" s="711">
        <f t="shared" si="1"/>
        <v>117</v>
      </c>
      <c r="V10" s="710" t="s">
        <v>17</v>
      </c>
      <c r="W10" s="711">
        <f t="shared" si="2"/>
        <v>117</v>
      </c>
      <c r="X10" s="712"/>
      <c r="Y10" s="3155"/>
      <c r="Z10" s="55" t="str">
        <f t="shared" si="7"/>
        <v>土地使用年限（年）</v>
      </c>
      <c r="AA10" s="713">
        <f t="shared" si="3"/>
        <v>0.85470085470085466</v>
      </c>
      <c r="AB10" s="713">
        <f t="shared" si="4"/>
        <v>0.85470085470085466</v>
      </c>
      <c r="AC10" s="713">
        <f t="shared" si="5"/>
        <v>0.85470085470085466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1"/>
      <c r="Q11" s="1526"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1"/>
      <c r="Q12" s="1526" t="str">
        <f t="shared" si="6"/>
        <v>配建</v>
      </c>
      <c r="R12" s="710" t="s">
        <v>17</v>
      </c>
      <c r="S12" s="711">
        <f t="shared" si="0"/>
        <v>100</v>
      </c>
      <c r="T12" s="710" t="s">
        <v>17</v>
      </c>
      <c r="U12" s="711">
        <f t="shared" si="1"/>
        <v>100</v>
      </c>
      <c r="V12" s="710" t="s">
        <v>17</v>
      </c>
      <c r="W12" s="711">
        <f t="shared" si="2"/>
        <v>100</v>
      </c>
      <c r="X12" s="712"/>
      <c r="Y12" s="3155"/>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1"/>
      <c r="Q13" s="1526">
        <f t="shared" si="6"/>
        <v>111</v>
      </c>
      <c r="R13" s="710" t="s">
        <v>17</v>
      </c>
      <c r="S13" s="711">
        <f t="shared" si="0"/>
        <v>100</v>
      </c>
      <c r="T13" s="710" t="s">
        <v>17</v>
      </c>
      <c r="U13" s="711">
        <f t="shared" si="1"/>
        <v>100</v>
      </c>
      <c r="V13" s="710" t="s">
        <v>17</v>
      </c>
      <c r="W13" s="711">
        <f t="shared" si="2"/>
        <v>100</v>
      </c>
      <c r="X13" s="712"/>
      <c r="Y13" s="3155"/>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1"/>
      <c r="Q14" s="1526">
        <f t="shared" si="6"/>
        <v>111</v>
      </c>
      <c r="R14" s="710" t="s">
        <v>17</v>
      </c>
      <c r="S14" s="711">
        <f t="shared" si="0"/>
        <v>100</v>
      </c>
      <c r="T14" s="710" t="s">
        <v>17</v>
      </c>
      <c r="U14" s="711">
        <f t="shared" si="1"/>
        <v>100</v>
      </c>
      <c r="V14" s="710" t="s">
        <v>17</v>
      </c>
      <c r="W14" s="711">
        <f t="shared" si="2"/>
        <v>100</v>
      </c>
      <c r="X14" s="712"/>
      <c r="Y14" s="3155"/>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3" t="s">
        <v>2381</v>
      </c>
      <c r="Q15" s="1535" t="str">
        <f t="shared" si="6"/>
        <v>居住社区成熟度</v>
      </c>
      <c r="R15" s="714" t="s">
        <v>17</v>
      </c>
      <c r="S15" s="715">
        <f t="shared" si="0"/>
        <v>100</v>
      </c>
      <c r="T15" s="714" t="s">
        <v>17</v>
      </c>
      <c r="U15" s="715">
        <f t="shared" si="1"/>
        <v>100</v>
      </c>
      <c r="V15" s="714" t="s">
        <v>17</v>
      </c>
      <c r="W15" s="715">
        <f t="shared" si="2"/>
        <v>100</v>
      </c>
      <c r="X15" s="1538"/>
      <c r="Y15" s="3313"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14"/>
      <c r="Q16" s="1535"/>
      <c r="R16" s="714"/>
      <c r="S16" s="715"/>
      <c r="T16" s="714"/>
      <c r="U16" s="715"/>
      <c r="V16" s="714"/>
      <c r="W16" s="715"/>
      <c r="X16" s="1538"/>
      <c r="Y16" s="3314"/>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4"/>
      <c r="Q17" s="1535" t="str">
        <f>B17</f>
        <v>商业繁华度</v>
      </c>
      <c r="R17" s="714" t="s">
        <v>17</v>
      </c>
      <c r="S17" s="715">
        <f>F17</f>
        <v>100</v>
      </c>
      <c r="T17" s="714" t="s">
        <v>17</v>
      </c>
      <c r="U17" s="715">
        <f>H17</f>
        <v>100</v>
      </c>
      <c r="V17" s="714" t="s">
        <v>17</v>
      </c>
      <c r="W17" s="715">
        <f>J17</f>
        <v>100</v>
      </c>
      <c r="X17" s="1538"/>
      <c r="Y17" s="3314"/>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14"/>
      <c r="Q18" s="1535"/>
      <c r="R18" s="714"/>
      <c r="S18" s="715"/>
      <c r="T18" s="714"/>
      <c r="U18" s="715"/>
      <c r="V18" s="714"/>
      <c r="W18" s="715"/>
      <c r="X18" s="1538"/>
      <c r="Y18" s="3314"/>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4"/>
      <c r="Q19" s="1535" t="str">
        <f>B19</f>
        <v>办公集聚程度</v>
      </c>
      <c r="R19" s="714" t="s">
        <v>17</v>
      </c>
      <c r="S19" s="715">
        <f>F19</f>
        <v>100</v>
      </c>
      <c r="T19" s="714" t="s">
        <v>17</v>
      </c>
      <c r="U19" s="715">
        <f>H19</f>
        <v>100</v>
      </c>
      <c r="V19" s="714" t="s">
        <v>17</v>
      </c>
      <c r="W19" s="715">
        <f>J19</f>
        <v>100</v>
      </c>
      <c r="X19" s="1538"/>
      <c r="Y19" s="3314"/>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14"/>
      <c r="Q20" s="1535"/>
      <c r="R20" s="714"/>
      <c r="S20" s="715"/>
      <c r="T20" s="714"/>
      <c r="U20" s="715"/>
      <c r="V20" s="714"/>
      <c r="W20" s="715"/>
      <c r="X20" s="1538"/>
      <c r="Y20" s="3314"/>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4"/>
      <c r="Q21" s="1535" t="str">
        <f>B21</f>
        <v>交通便捷度</v>
      </c>
      <c r="R21" s="714" t="s">
        <v>17</v>
      </c>
      <c r="S21" s="715">
        <f>F21</f>
        <v>100</v>
      </c>
      <c r="T21" s="714" t="s">
        <v>17</v>
      </c>
      <c r="U21" s="715">
        <f>H21</f>
        <v>100</v>
      </c>
      <c r="V21" s="714" t="s">
        <v>17</v>
      </c>
      <c r="W21" s="715">
        <f>J21</f>
        <v>100</v>
      </c>
      <c r="X21" s="1538"/>
      <c r="Y21" s="3314"/>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14"/>
      <c r="Q22" s="1535"/>
      <c r="R22" s="714"/>
      <c r="S22" s="715"/>
      <c r="T22" s="714"/>
      <c r="U22" s="715"/>
      <c r="V22" s="714"/>
      <c r="W22" s="715"/>
      <c r="X22" s="1538"/>
      <c r="Y22" s="3314"/>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4"/>
      <c r="Q23" s="1535" t="str">
        <f t="shared" ref="Q23:Q37" si="8">B23</f>
        <v>区域土地利用方向</v>
      </c>
      <c r="R23" s="714" t="s">
        <v>17</v>
      </c>
      <c r="S23" s="715">
        <f>F23</f>
        <v>100</v>
      </c>
      <c r="T23" s="714" t="s">
        <v>17</v>
      </c>
      <c r="U23" s="715">
        <f>H23</f>
        <v>100</v>
      </c>
      <c r="V23" s="714" t="s">
        <v>17</v>
      </c>
      <c r="W23" s="715">
        <f>J23</f>
        <v>100</v>
      </c>
      <c r="X23" s="1538"/>
      <c r="Y23" s="3314"/>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14"/>
      <c r="Q24" s="1535"/>
      <c r="R24" s="714"/>
      <c r="S24" s="715"/>
      <c r="T24" s="714"/>
      <c r="U24" s="715"/>
      <c r="V24" s="714"/>
      <c r="W24" s="715"/>
      <c r="X24" s="1538"/>
      <c r="Y24" s="3314"/>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4"/>
      <c r="Q25" s="1535" t="str">
        <f t="shared" si="8"/>
        <v>自然及人文环境状况</v>
      </c>
      <c r="R25" s="714" t="s">
        <v>17</v>
      </c>
      <c r="S25" s="715">
        <f>F25</f>
        <v>100</v>
      </c>
      <c r="T25" s="714" t="s">
        <v>17</v>
      </c>
      <c r="U25" s="715">
        <f>H25</f>
        <v>100</v>
      </c>
      <c r="V25" s="714" t="s">
        <v>17</v>
      </c>
      <c r="W25" s="715">
        <f>J25</f>
        <v>100</v>
      </c>
      <c r="X25" s="1538"/>
      <c r="Y25" s="3314"/>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14"/>
      <c r="Q26" s="1535"/>
      <c r="R26" s="714"/>
      <c r="S26" s="715"/>
      <c r="T26" s="714"/>
      <c r="U26" s="715"/>
      <c r="V26" s="714"/>
      <c r="W26" s="715"/>
      <c r="X26" s="1538"/>
      <c r="Y26" s="3314"/>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4"/>
      <c r="Q27" s="1526" t="str">
        <f t="shared" si="8"/>
        <v>公共配套设施</v>
      </c>
      <c r="R27" s="710" t="s">
        <v>17</v>
      </c>
      <c r="S27" s="711">
        <f>F27</f>
        <v>100</v>
      </c>
      <c r="T27" s="710" t="s">
        <v>17</v>
      </c>
      <c r="U27" s="711">
        <f>H27</f>
        <v>100</v>
      </c>
      <c r="V27" s="710" t="s">
        <v>17</v>
      </c>
      <c r="W27" s="711">
        <f>J27</f>
        <v>100</v>
      </c>
      <c r="X27" s="712"/>
      <c r="Y27" s="3314"/>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14"/>
      <c r="Q28" s="1526"/>
      <c r="R28" s="710"/>
      <c r="S28" s="711"/>
      <c r="T28" s="710"/>
      <c r="U28" s="711"/>
      <c r="V28" s="710"/>
      <c r="W28" s="711"/>
      <c r="X28" s="712"/>
      <c r="Y28" s="3314"/>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4"/>
      <c r="Q29" s="1526" t="str">
        <f t="shared" ref="Q29" si="9">B29</f>
        <v>基础设施水平</v>
      </c>
      <c r="R29" s="710" t="s">
        <v>17</v>
      </c>
      <c r="S29" s="711">
        <f>F29</f>
        <v>100</v>
      </c>
      <c r="T29" s="710" t="s">
        <v>17</v>
      </c>
      <c r="U29" s="711">
        <f>H29</f>
        <v>100</v>
      </c>
      <c r="V29" s="710" t="s">
        <v>17</v>
      </c>
      <c r="W29" s="711">
        <f>J29</f>
        <v>100</v>
      </c>
      <c r="X29" s="712"/>
      <c r="Y29" s="3314"/>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14"/>
      <c r="Q30" s="1526"/>
      <c r="R30" s="710"/>
      <c r="S30" s="711"/>
      <c r="T30" s="710"/>
      <c r="U30" s="711"/>
      <c r="V30" s="710"/>
      <c r="W30" s="711"/>
      <c r="X30" s="712"/>
      <c r="Y30" s="3314"/>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4"/>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4"/>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4"/>
      <c r="Q32" s="1535" t="str">
        <f t="shared" si="8"/>
        <v>毗邻道路的类型与等级</v>
      </c>
      <c r="R32" s="714" t="s">
        <v>17</v>
      </c>
      <c r="S32" s="715">
        <f t="shared" si="10"/>
        <v>100</v>
      </c>
      <c r="T32" s="714" t="s">
        <v>17</v>
      </c>
      <c r="U32" s="715">
        <f t="shared" si="11"/>
        <v>100</v>
      </c>
      <c r="V32" s="714" t="s">
        <v>17</v>
      </c>
      <c r="W32" s="715">
        <f t="shared" si="12"/>
        <v>100</v>
      </c>
      <c r="X32" s="1538"/>
      <c r="Y32" s="3314"/>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14"/>
      <c r="Q33" s="1535"/>
      <c r="R33" s="714"/>
      <c r="S33" s="715"/>
      <c r="T33" s="714"/>
      <c r="U33" s="715"/>
      <c r="V33" s="714"/>
      <c r="W33" s="715"/>
      <c r="X33" s="1538"/>
      <c r="Y33" s="3314"/>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4"/>
      <c r="Q34" s="1535" t="str">
        <f t="shared" si="8"/>
        <v>土地级别</v>
      </c>
      <c r="R34" s="714" t="s">
        <v>17</v>
      </c>
      <c r="S34" s="715">
        <f t="shared" si="10"/>
        <v>100</v>
      </c>
      <c r="T34" s="714" t="s">
        <v>17</v>
      </c>
      <c r="U34" s="715">
        <f t="shared" si="11"/>
        <v>100</v>
      </c>
      <c r="V34" s="714" t="s">
        <v>17</v>
      </c>
      <c r="W34" s="715">
        <f t="shared" si="12"/>
        <v>100</v>
      </c>
      <c r="X34" s="1538"/>
      <c r="Y34" s="3314"/>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4"/>
      <c r="Q35" s="1535">
        <f t="shared" si="8"/>
        <v>111</v>
      </c>
      <c r="R35" s="714" t="s">
        <v>17</v>
      </c>
      <c r="S35" s="715">
        <f t="shared" si="10"/>
        <v>100</v>
      </c>
      <c r="T35" s="714" t="s">
        <v>17</v>
      </c>
      <c r="U35" s="715">
        <f t="shared" si="11"/>
        <v>100</v>
      </c>
      <c r="V35" s="714" t="s">
        <v>17</v>
      </c>
      <c r="W35" s="715">
        <f t="shared" si="12"/>
        <v>100</v>
      </c>
      <c r="X35" s="1538"/>
      <c r="Y35" s="3314"/>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9" t="s">
        <v>2386</v>
      </c>
      <c r="Q36" s="1535">
        <f t="shared" si="8"/>
        <v>111</v>
      </c>
      <c r="R36" s="714" t="s">
        <v>17</v>
      </c>
      <c r="S36" s="715">
        <f t="shared" si="10"/>
        <v>100</v>
      </c>
      <c r="T36" s="714" t="s">
        <v>17</v>
      </c>
      <c r="U36" s="715">
        <f t="shared" si="11"/>
        <v>100</v>
      </c>
      <c r="V36" s="714" t="s">
        <v>17</v>
      </c>
      <c r="W36" s="715">
        <f t="shared" si="12"/>
        <v>100</v>
      </c>
      <c r="X36" s="1538"/>
      <c r="Y36" s="3318"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18"/>
      <c r="Q37" s="1535">
        <f t="shared" si="8"/>
        <v>111</v>
      </c>
      <c r="R37" s="717" t="s">
        <v>17</v>
      </c>
      <c r="S37" s="718">
        <f t="shared" si="10"/>
        <v>100</v>
      </c>
      <c r="T37" s="717" t="s">
        <v>17</v>
      </c>
      <c r="U37" s="718">
        <f t="shared" si="11"/>
        <v>100</v>
      </c>
      <c r="V37" s="717" t="s">
        <v>17</v>
      </c>
      <c r="W37" s="718">
        <f t="shared" si="12"/>
        <v>100</v>
      </c>
      <c r="X37" s="719"/>
      <c r="Y37" s="3318"/>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18"/>
      <c r="Q38" s="1535" t="str">
        <f>B38</f>
        <v>宗地面积</v>
      </c>
      <c r="R38" s="714" t="s">
        <v>17</v>
      </c>
      <c r="S38" s="715" t="e">
        <f t="shared" si="10"/>
        <v>#N/A</v>
      </c>
      <c r="T38" s="714" t="s">
        <v>17</v>
      </c>
      <c r="U38" s="715" t="e">
        <f t="shared" si="11"/>
        <v>#N/A</v>
      </c>
      <c r="V38" s="714" t="s">
        <v>17</v>
      </c>
      <c r="W38" s="715" t="e">
        <f t="shared" si="12"/>
        <v>#N/A</v>
      </c>
      <c r="X38" s="1538"/>
      <c r="Y38" s="3318"/>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18"/>
      <c r="Q39" s="1535" t="str">
        <f t="shared" ref="Q39:Q45" si="14">B39</f>
        <v>宗地形状</v>
      </c>
      <c r="R39" s="714" t="s">
        <v>17</v>
      </c>
      <c r="S39" s="715">
        <f t="shared" si="10"/>
        <v>100</v>
      </c>
      <c r="T39" s="714" t="s">
        <v>17</v>
      </c>
      <c r="U39" s="715">
        <f t="shared" si="11"/>
        <v>100</v>
      </c>
      <c r="V39" s="714" t="s">
        <v>17</v>
      </c>
      <c r="W39" s="715">
        <f t="shared" si="12"/>
        <v>100</v>
      </c>
      <c r="X39" s="1538"/>
      <c r="Y39" s="3318"/>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18"/>
      <c r="Q40" s="1535" t="str">
        <f t="shared" si="14"/>
        <v>临街宽度及深度</v>
      </c>
      <c r="R40" s="714" t="s">
        <v>17</v>
      </c>
      <c r="S40" s="715">
        <f t="shared" si="10"/>
        <v>100</v>
      </c>
      <c r="T40" s="714" t="s">
        <v>17</v>
      </c>
      <c r="U40" s="715">
        <f t="shared" si="11"/>
        <v>100</v>
      </c>
      <c r="V40" s="714" t="s">
        <v>17</v>
      </c>
      <c r="W40" s="715">
        <f t="shared" si="12"/>
        <v>100</v>
      </c>
      <c r="X40" s="1538"/>
      <c r="Y40" s="3318"/>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18"/>
      <c r="Q41" s="1535" t="str">
        <f t="shared" si="14"/>
        <v>宗地开发程度</v>
      </c>
      <c r="R41" s="710" t="s">
        <v>17</v>
      </c>
      <c r="S41" s="711">
        <f t="shared" si="10"/>
        <v>100</v>
      </c>
      <c r="T41" s="710" t="s">
        <v>17</v>
      </c>
      <c r="U41" s="711">
        <f t="shared" si="11"/>
        <v>100</v>
      </c>
      <c r="V41" s="710" t="s">
        <v>17</v>
      </c>
      <c r="W41" s="711">
        <f t="shared" si="12"/>
        <v>100</v>
      </c>
      <c r="X41" s="712"/>
      <c r="Y41" s="3318"/>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18" t="s">
        <v>2386</v>
      </c>
      <c r="Q42" s="1535" t="str">
        <f t="shared" si="14"/>
        <v>工程地质条件</v>
      </c>
      <c r="R42" s="714" t="s">
        <v>17</v>
      </c>
      <c r="S42" s="715">
        <f t="shared" si="10"/>
        <v>100</v>
      </c>
      <c r="T42" s="714" t="s">
        <v>17</v>
      </c>
      <c r="U42" s="715">
        <f t="shared" si="11"/>
        <v>100</v>
      </c>
      <c r="V42" s="714" t="s">
        <v>17</v>
      </c>
      <c r="W42" s="715">
        <f t="shared" si="12"/>
        <v>100</v>
      </c>
      <c r="X42" s="1538"/>
      <c r="Y42" s="3318"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18"/>
      <c r="Q43" s="1535">
        <f t="shared" si="14"/>
        <v>111</v>
      </c>
      <c r="R43" s="714" t="s">
        <v>17</v>
      </c>
      <c r="S43" s="715">
        <f t="shared" si="10"/>
        <v>100</v>
      </c>
      <c r="T43" s="714" t="s">
        <v>17</v>
      </c>
      <c r="U43" s="715">
        <f t="shared" si="11"/>
        <v>100</v>
      </c>
      <c r="V43" s="714" t="s">
        <v>17</v>
      </c>
      <c r="W43" s="715">
        <f t="shared" si="12"/>
        <v>100</v>
      </c>
      <c r="X43" s="1538"/>
      <c r="Y43" s="3318"/>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18"/>
      <c r="Q44" s="1535">
        <f t="shared" si="14"/>
        <v>111</v>
      </c>
      <c r="R44" s="714" t="s">
        <v>17</v>
      </c>
      <c r="S44" s="715">
        <f t="shared" si="10"/>
        <v>100</v>
      </c>
      <c r="T44" s="714" t="s">
        <v>17</v>
      </c>
      <c r="U44" s="715">
        <f t="shared" si="11"/>
        <v>100</v>
      </c>
      <c r="V44" s="714" t="s">
        <v>17</v>
      </c>
      <c r="W44" s="715">
        <f t="shared" si="12"/>
        <v>100</v>
      </c>
      <c r="X44" s="1538"/>
      <c r="Y44" s="3318"/>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18"/>
      <c r="Q45" s="1535">
        <f t="shared" si="14"/>
        <v>111</v>
      </c>
      <c r="R45" s="717" t="s">
        <v>17</v>
      </c>
      <c r="S45" s="718">
        <f t="shared" si="10"/>
        <v>100</v>
      </c>
      <c r="T45" s="717" t="s">
        <v>17</v>
      </c>
      <c r="U45" s="718">
        <f t="shared" si="11"/>
        <v>100</v>
      </c>
      <c r="V45" s="717" t="s">
        <v>17</v>
      </c>
      <c r="W45" s="718">
        <f t="shared" si="12"/>
        <v>100</v>
      </c>
      <c r="X45" s="719"/>
      <c r="Y45" s="3318"/>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311" t="str">
        <f>A46</f>
        <v>成交单价</v>
      </c>
      <c r="Q46" s="3311"/>
      <c r="R46" s="3342">
        <f>E46</f>
        <v>0</v>
      </c>
      <c r="S46" s="3342"/>
      <c r="T46" s="3342">
        <f>G46</f>
        <v>0</v>
      </c>
      <c r="U46" s="3342"/>
      <c r="V46" s="3342">
        <f>I46</f>
        <v>0</v>
      </c>
      <c r="W46" s="3342"/>
      <c r="X46" s="699"/>
      <c r="Y46" s="721"/>
      <c r="Z46" s="699"/>
      <c r="AA46" s="699"/>
      <c r="AB46" s="699"/>
      <c r="AC46" s="699"/>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311" t="str">
        <f>A47</f>
        <v>比较价值（元/平方米）</v>
      </c>
      <c r="Q47" s="3311"/>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08" t="str">
        <f>A48</f>
        <v>估价对象XX用房的比较价值（楼面单价，元/平方米）</v>
      </c>
      <c r="Q48" s="3309"/>
      <c r="R48" s="3372" t="e">
        <f>ROUND(IF(D47="简单平均",AVERAGE(R47:W47),R47*F47+T47*H47+V47*J47),0)</f>
        <v>#DIV/0!</v>
      </c>
      <c r="S48" s="3372"/>
      <c r="T48" s="3372"/>
      <c r="U48" s="3372"/>
      <c r="V48" s="3372"/>
      <c r="W48" s="3372"/>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0" t="s">
        <v>2584</v>
      </c>
      <c r="G55" s="3326" t="s">
        <v>2585</v>
      </c>
      <c r="H55" s="3373"/>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4">
        <v>1</v>
      </c>
      <c r="E56" s="646">
        <f>'数据-汇总表'!E8+'数据-汇总表'!E9</f>
        <v>1568.25</v>
      </c>
      <c r="F56" s="1016" t="e">
        <f t="shared" ref="F56:F65" si="15">ROUND(B56*E56/10000,0)</f>
        <v>#DIV/0!</v>
      </c>
      <c r="G56" s="3322"/>
      <c r="H56" s="3311"/>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0.8</v>
      </c>
      <c r="D57" s="1075">
        <v>0.25</v>
      </c>
      <c r="E57" s="650"/>
      <c r="F57" s="1016" t="e">
        <f t="shared" si="15"/>
        <v>#DIV/0!</v>
      </c>
      <c r="G57" s="3374" t="s">
        <v>2590</v>
      </c>
      <c r="H57" s="1017" t="str">
        <f>项目基本情况!B37</f>
        <v>二级</v>
      </c>
      <c r="I57" s="1021">
        <f>SUMIF(修正!A45:A56,H57,修正!B45:B56)</f>
        <v>0.8</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0.5</v>
      </c>
      <c r="D58" s="1075">
        <v>0.25</v>
      </c>
      <c r="E58" s="650"/>
      <c r="F58" s="1016" t="e">
        <f t="shared" si="15"/>
        <v>#DIV/0!</v>
      </c>
      <c r="G58" s="3374"/>
      <c r="H58" s="1017" t="str">
        <f>项目基本情况!B37</f>
        <v>二级</v>
      </c>
      <c r="I58" s="1021">
        <f>SUMIF(修正!A45:A56,H58,修正!C45:C56)</f>
        <v>0.5</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0.36</v>
      </c>
      <c r="D59" s="1075">
        <v>0.25</v>
      </c>
      <c r="E59" s="650"/>
      <c r="F59" s="1016" t="e">
        <f t="shared" si="15"/>
        <v>#DIV/0!</v>
      </c>
      <c r="G59" s="3374"/>
      <c r="H59" s="1017" t="str">
        <f>项目基本情况!B37</f>
        <v>二级</v>
      </c>
      <c r="I59" s="1021">
        <f>SUMIF(修正!A45:A56,H59,修正!D45:D56)</f>
        <v>0.36</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0.3</v>
      </c>
      <c r="D60" s="1075">
        <v>0.25</v>
      </c>
      <c r="E60" s="650"/>
      <c r="F60" s="1016" t="e">
        <f t="shared" si="15"/>
        <v>#DIV/0!</v>
      </c>
      <c r="G60" s="3374"/>
      <c r="H60" s="1017" t="str">
        <f>项目基本情况!B37</f>
        <v>二级</v>
      </c>
      <c r="I60" s="1021">
        <f>SUMIF(修正!A45:A56,H60,修正!E45:E56)</f>
        <v>0.3</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5">
        <v>0.25</v>
      </c>
      <c r="E61" s="223">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0.25</v>
      </c>
      <c r="D64" s="1075">
        <v>0.25</v>
      </c>
      <c r="E64" s="223">
        <f>'数据-汇总表'!E14</f>
        <v>0</v>
      </c>
      <c r="F64" s="1016" t="e">
        <f t="shared" si="15"/>
        <v>#DIV/0!</v>
      </c>
      <c r="G64" s="2172" t="s">
        <v>2590</v>
      </c>
      <c r="H64" s="1017" t="str">
        <f>项目基本情况!B37</f>
        <v>二级</v>
      </c>
      <c r="I64" s="1021">
        <f>SUMIF(修正!A45:A56,H64,修正!H45:H56)</f>
        <v>0.25</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5">
        <v>0.25</v>
      </c>
      <c r="E65" s="223">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1568.25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3"/>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8"/>
      <c r="D2" s="1038"/>
      <c r="E2" s="1038"/>
      <c r="F2" s="1039"/>
      <c r="G2" s="1038"/>
      <c r="H2" s="1038"/>
      <c r="I2" s="1038"/>
      <c r="J2" s="1038"/>
      <c r="K2" s="1040"/>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8"/>
      <c r="Q3" s="708"/>
      <c r="R3" s="708"/>
      <c r="S3" s="708"/>
      <c r="T3" s="708"/>
      <c r="U3" s="708"/>
      <c r="V3" s="708"/>
      <c r="W3" s="708"/>
      <c r="X3" s="708"/>
      <c r="Y3" s="708"/>
      <c r="Z3" s="708"/>
      <c r="AA3" s="708"/>
      <c r="AB3" s="725"/>
      <c r="AC3" s="722"/>
    </row>
    <row r="4" spans="1:29" ht="15">
      <c r="A4" s="361" t="s">
        <v>2466</v>
      </c>
      <c r="B4" s="362"/>
      <c r="C4" s="3326" t="s">
        <v>2467</v>
      </c>
      <c r="D4" s="3327"/>
      <c r="E4" s="3328" t="s">
        <v>2468</v>
      </c>
      <c r="F4" s="3329"/>
      <c r="G4" s="3326" t="s">
        <v>2469</v>
      </c>
      <c r="H4" s="3327"/>
      <c r="I4" s="3326" t="s">
        <v>2470</v>
      </c>
      <c r="J4" s="3327"/>
      <c r="K4" s="567" t="s">
        <v>2471</v>
      </c>
      <c r="L4" s="2943"/>
      <c r="M4" s="2944"/>
      <c r="N4" s="2944"/>
      <c r="O4" s="2944"/>
      <c r="P4" s="3330" t="s">
        <v>2472</v>
      </c>
      <c r="Q4" s="3331"/>
      <c r="R4" s="3336" t="s">
        <v>2468</v>
      </c>
      <c r="S4" s="3337"/>
      <c r="T4" s="3336" t="s">
        <v>2469</v>
      </c>
      <c r="U4" s="3337"/>
      <c r="V4" s="3342" t="s">
        <v>2470</v>
      </c>
      <c r="W4" s="3342"/>
      <c r="X4" s="1538"/>
      <c r="Y4" s="3336" t="s">
        <v>2472</v>
      </c>
      <c r="Z4" s="3337"/>
      <c r="AA4" s="3323" t="s">
        <v>2468</v>
      </c>
      <c r="AB4" s="3324" t="s">
        <v>2469</v>
      </c>
      <c r="AC4" s="3323" t="s">
        <v>2470</v>
      </c>
    </row>
    <row r="5" spans="1:29" ht="15">
      <c r="A5" s="364"/>
      <c r="B5" s="365"/>
      <c r="C5" s="3345" t="s">
        <v>2363</v>
      </c>
      <c r="D5" s="3346"/>
      <c r="E5" s="3352" t="s">
        <v>2364</v>
      </c>
      <c r="F5" s="3353"/>
      <c r="G5" s="3345" t="s">
        <v>2365</v>
      </c>
      <c r="H5" s="3346"/>
      <c r="I5" s="3345" t="s">
        <v>2366</v>
      </c>
      <c r="J5" s="3346"/>
      <c r="K5" s="567"/>
      <c r="L5" s="2943"/>
      <c r="M5" s="2944"/>
      <c r="N5" s="2944"/>
      <c r="O5" s="2944"/>
      <c r="P5" s="3332"/>
      <c r="Q5" s="3333"/>
      <c r="R5" s="3338"/>
      <c r="S5" s="3339"/>
      <c r="T5" s="3338"/>
      <c r="U5" s="3339"/>
      <c r="V5" s="3342"/>
      <c r="W5" s="3342"/>
      <c r="X5" s="1538"/>
      <c r="Y5" s="3338"/>
      <c r="Z5" s="3339"/>
      <c r="AA5" s="3324"/>
      <c r="AB5" s="3324"/>
      <c r="AC5" s="3324"/>
    </row>
    <row r="6" spans="1:29" ht="15.75" thickBot="1">
      <c r="A6" s="366"/>
      <c r="B6" s="367"/>
      <c r="C6" s="3375" t="s">
        <v>2618</v>
      </c>
      <c r="D6" s="3376"/>
      <c r="E6" s="3377" t="s">
        <v>2618</v>
      </c>
      <c r="F6" s="3378"/>
      <c r="G6" s="3375" t="s">
        <v>2618</v>
      </c>
      <c r="H6" s="3376"/>
      <c r="I6" s="3375" t="s">
        <v>2618</v>
      </c>
      <c r="J6" s="3376"/>
      <c r="K6" s="567" t="s">
        <v>2368</v>
      </c>
      <c r="L6" s="2943"/>
      <c r="M6" s="2944"/>
      <c r="N6" s="2944"/>
      <c r="O6" s="2944"/>
      <c r="P6" s="3334"/>
      <c r="Q6" s="3335"/>
      <c r="R6" s="3338"/>
      <c r="S6" s="3339"/>
      <c r="T6" s="3340"/>
      <c r="U6" s="3341"/>
      <c r="V6" s="3342"/>
      <c r="W6" s="3342"/>
      <c r="X6" s="1538"/>
      <c r="Y6" s="3340"/>
      <c r="Z6" s="3341"/>
      <c r="AA6" s="3325"/>
      <c r="AB6" s="3325"/>
      <c r="AC6" s="3325"/>
    </row>
    <row r="7" spans="1:29" s="113" customFormat="1" ht="15.75" thickBot="1">
      <c r="A7" s="368" t="s">
        <v>2369</v>
      </c>
      <c r="B7" s="369"/>
      <c r="C7" s="370">
        <f>'数据-取费表'!B2</f>
        <v>44328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47" t="s">
        <v>2370</v>
      </c>
      <c r="Q7" s="3349"/>
      <c r="R7" s="710" t="s">
        <v>17</v>
      </c>
      <c r="S7" s="711">
        <f t="shared" ref="S7:S15" si="0">F7</f>
        <v>0</v>
      </c>
      <c r="T7" s="710" t="s">
        <v>17</v>
      </c>
      <c r="U7" s="711">
        <f t="shared" ref="U7:U15" si="1">H7</f>
        <v>0</v>
      </c>
      <c r="V7" s="710" t="s">
        <v>17</v>
      </c>
      <c r="W7" s="711">
        <f t="shared" ref="W7:W15" si="2">J7</f>
        <v>0</v>
      </c>
      <c r="X7" s="712"/>
      <c r="Y7" s="3347" t="s">
        <v>2370</v>
      </c>
      <c r="Z7" s="334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47" t="s">
        <v>2373</v>
      </c>
      <c r="Q8" s="3348"/>
      <c r="R8" s="710" t="s">
        <v>17</v>
      </c>
      <c r="S8" s="711">
        <f t="shared" si="0"/>
        <v>0</v>
      </c>
      <c r="T8" s="710" t="s">
        <v>17</v>
      </c>
      <c r="U8" s="711">
        <f t="shared" si="1"/>
        <v>0</v>
      </c>
      <c r="V8" s="710" t="s">
        <v>17</v>
      </c>
      <c r="W8" s="711">
        <f t="shared" si="2"/>
        <v>0</v>
      </c>
      <c r="X8" s="712"/>
      <c r="Y8" s="3347" t="s">
        <v>2373</v>
      </c>
      <c r="Z8" s="3348"/>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11" t="s">
        <v>2376</v>
      </c>
      <c r="Q9" s="1526" t="str">
        <f t="shared" ref="Q9:Q15" si="6">B9</f>
        <v>用途</v>
      </c>
      <c r="R9" s="710" t="s">
        <v>17</v>
      </c>
      <c r="S9" s="711">
        <f t="shared" si="0"/>
        <v>100</v>
      </c>
      <c r="T9" s="710" t="s">
        <v>17</v>
      </c>
      <c r="U9" s="711">
        <f t="shared" si="1"/>
        <v>100</v>
      </c>
      <c r="V9" s="710" t="s">
        <v>17</v>
      </c>
      <c r="W9" s="711">
        <f t="shared" si="2"/>
        <v>100</v>
      </c>
      <c r="X9" s="712"/>
      <c r="Y9" s="315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117</v>
      </c>
      <c r="G10" s="391"/>
      <c r="H10" s="132">
        <f>ROUND(100/'数据-取费表'!G16,0)</f>
        <v>117</v>
      </c>
      <c r="I10" s="391"/>
      <c r="J10" s="132">
        <f>ROUND(100/'数据-取费表'!G16,0)</f>
        <v>117</v>
      </c>
      <c r="K10" s="628"/>
      <c r="L10" s="2947"/>
      <c r="M10" s="2948"/>
      <c r="N10" s="2948"/>
      <c r="O10" s="3001"/>
      <c r="P10" s="3311"/>
      <c r="Q10" s="1526" t="str">
        <f t="shared" si="6"/>
        <v>土地使用年限（年）</v>
      </c>
      <c r="R10" s="710" t="s">
        <v>17</v>
      </c>
      <c r="S10" s="711">
        <f t="shared" si="0"/>
        <v>117</v>
      </c>
      <c r="T10" s="710" t="s">
        <v>17</v>
      </c>
      <c r="U10" s="711">
        <f t="shared" si="1"/>
        <v>117</v>
      </c>
      <c r="V10" s="710" t="s">
        <v>17</v>
      </c>
      <c r="W10" s="711">
        <f t="shared" si="2"/>
        <v>117</v>
      </c>
      <c r="X10" s="712"/>
      <c r="Y10" s="3155"/>
      <c r="Z10" s="55" t="str">
        <f t="shared" si="7"/>
        <v>土地使用年限（年）</v>
      </c>
      <c r="AA10" s="713">
        <f t="shared" si="3"/>
        <v>0.85470085470085466</v>
      </c>
      <c r="AB10" s="713">
        <f t="shared" si="4"/>
        <v>0.85470085470085466</v>
      </c>
      <c r="AC10" s="713">
        <f t="shared" si="5"/>
        <v>0.85470085470085466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1"/>
      <c r="Q11" s="1526" t="str">
        <f t="shared" si="6"/>
        <v>容积率</v>
      </c>
      <c r="R11" s="710" t="s">
        <v>17</v>
      </c>
      <c r="S11" s="711" t="e">
        <f t="shared" si="0"/>
        <v>#N/A</v>
      </c>
      <c r="T11" s="710" t="s">
        <v>17</v>
      </c>
      <c r="U11" s="711" t="e">
        <f t="shared" si="1"/>
        <v>#N/A</v>
      </c>
      <c r="V11" s="710" t="s">
        <v>17</v>
      </c>
      <c r="W11" s="711" t="e">
        <f t="shared" si="2"/>
        <v>#N/A</v>
      </c>
      <c r="X11" s="712"/>
      <c r="Y11" s="3155"/>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1"/>
      <c r="Q12" s="1526">
        <f t="shared" si="6"/>
        <v>111</v>
      </c>
      <c r="R12" s="710" t="s">
        <v>17</v>
      </c>
      <c r="S12" s="711">
        <f t="shared" si="0"/>
        <v>100</v>
      </c>
      <c r="T12" s="710" t="s">
        <v>17</v>
      </c>
      <c r="U12" s="711">
        <f t="shared" si="1"/>
        <v>100</v>
      </c>
      <c r="V12" s="710" t="s">
        <v>17</v>
      </c>
      <c r="W12" s="711">
        <f t="shared" si="2"/>
        <v>100</v>
      </c>
      <c r="X12" s="712"/>
      <c r="Y12" s="3155"/>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1"/>
      <c r="Q13" s="1526">
        <f t="shared" si="6"/>
        <v>111</v>
      </c>
      <c r="R13" s="710" t="s">
        <v>17</v>
      </c>
      <c r="S13" s="711">
        <f t="shared" si="0"/>
        <v>100</v>
      </c>
      <c r="T13" s="710" t="s">
        <v>17</v>
      </c>
      <c r="U13" s="711">
        <f t="shared" si="1"/>
        <v>100</v>
      </c>
      <c r="V13" s="710" t="s">
        <v>17</v>
      </c>
      <c r="W13" s="711">
        <f t="shared" si="2"/>
        <v>100</v>
      </c>
      <c r="X13" s="712"/>
      <c r="Y13" s="3155"/>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1"/>
      <c r="Q14" s="1526">
        <f t="shared" si="6"/>
        <v>111</v>
      </c>
      <c r="R14" s="710" t="s">
        <v>17</v>
      </c>
      <c r="S14" s="711">
        <f t="shared" si="0"/>
        <v>100</v>
      </c>
      <c r="T14" s="710" t="s">
        <v>17</v>
      </c>
      <c r="U14" s="711">
        <f t="shared" si="1"/>
        <v>100</v>
      </c>
      <c r="V14" s="710" t="s">
        <v>17</v>
      </c>
      <c r="W14" s="711">
        <f t="shared" si="2"/>
        <v>100</v>
      </c>
      <c r="X14" s="712"/>
      <c r="Y14" s="3155"/>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3" t="s">
        <v>2381</v>
      </c>
      <c r="Q15" s="1535" t="str">
        <f t="shared" si="6"/>
        <v>产业集聚程度</v>
      </c>
      <c r="R15" s="714" t="s">
        <v>17</v>
      </c>
      <c r="S15" s="715">
        <f t="shared" si="0"/>
        <v>100</v>
      </c>
      <c r="T15" s="714" t="s">
        <v>17</v>
      </c>
      <c r="U15" s="715">
        <f t="shared" si="1"/>
        <v>100</v>
      </c>
      <c r="V15" s="714" t="s">
        <v>17</v>
      </c>
      <c r="W15" s="715">
        <f t="shared" si="2"/>
        <v>100</v>
      </c>
      <c r="X15" s="1538"/>
      <c r="Y15" s="3313"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14"/>
      <c r="Q16" s="1535"/>
      <c r="R16" s="714"/>
      <c r="S16" s="715"/>
      <c r="T16" s="714"/>
      <c r="U16" s="715"/>
      <c r="V16" s="714"/>
      <c r="W16" s="715"/>
      <c r="X16" s="1538"/>
      <c r="Y16" s="3314"/>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4"/>
      <c r="Q17" s="1535" t="str">
        <f>B17</f>
        <v>交通便捷度</v>
      </c>
      <c r="R17" s="714" t="s">
        <v>17</v>
      </c>
      <c r="S17" s="715">
        <f>F17</f>
        <v>100</v>
      </c>
      <c r="T17" s="714" t="s">
        <v>17</v>
      </c>
      <c r="U17" s="715">
        <f>H17</f>
        <v>100</v>
      </c>
      <c r="V17" s="714" t="s">
        <v>17</v>
      </c>
      <c r="W17" s="715">
        <f>J17</f>
        <v>100</v>
      </c>
      <c r="X17" s="1538"/>
      <c r="Y17" s="3314"/>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14"/>
      <c r="Q18" s="1535"/>
      <c r="R18" s="714"/>
      <c r="S18" s="715"/>
      <c r="T18" s="714"/>
      <c r="U18" s="715"/>
      <c r="V18" s="714"/>
      <c r="W18" s="715"/>
      <c r="X18" s="1538"/>
      <c r="Y18" s="3314"/>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4"/>
      <c r="Q19" s="1535" t="str">
        <f t="shared" ref="Q19:Q33" si="8">B19</f>
        <v>区域土地利用方向</v>
      </c>
      <c r="R19" s="714" t="s">
        <v>17</v>
      </c>
      <c r="S19" s="715">
        <f>F19</f>
        <v>100</v>
      </c>
      <c r="T19" s="714" t="s">
        <v>17</v>
      </c>
      <c r="U19" s="715">
        <f>H19</f>
        <v>100</v>
      </c>
      <c r="V19" s="714" t="s">
        <v>17</v>
      </c>
      <c r="W19" s="715">
        <f>J19</f>
        <v>100</v>
      </c>
      <c r="X19" s="1538"/>
      <c r="Y19" s="3314"/>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14"/>
      <c r="Q20" s="1535"/>
      <c r="R20" s="714"/>
      <c r="S20" s="715"/>
      <c r="T20" s="714"/>
      <c r="U20" s="715"/>
      <c r="V20" s="714"/>
      <c r="W20" s="715"/>
      <c r="X20" s="1538"/>
      <c r="Y20" s="3314"/>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4"/>
      <c r="Q21" s="1535" t="str">
        <f t="shared" si="8"/>
        <v>环境状况</v>
      </c>
      <c r="R21" s="714" t="s">
        <v>17</v>
      </c>
      <c r="S21" s="715">
        <f>F21</f>
        <v>100</v>
      </c>
      <c r="T21" s="714" t="s">
        <v>17</v>
      </c>
      <c r="U21" s="715">
        <f>H21</f>
        <v>100</v>
      </c>
      <c r="V21" s="714" t="s">
        <v>17</v>
      </c>
      <c r="W21" s="715">
        <f>J21</f>
        <v>100</v>
      </c>
      <c r="X21" s="1538"/>
      <c r="Y21" s="3314"/>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14"/>
      <c r="Q22" s="1535"/>
      <c r="R22" s="714"/>
      <c r="S22" s="715"/>
      <c r="T22" s="714"/>
      <c r="U22" s="715"/>
      <c r="V22" s="714"/>
      <c r="W22" s="715"/>
      <c r="X22" s="1538"/>
      <c r="Y22" s="3314"/>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4"/>
      <c r="Q23" s="1526" t="str">
        <f t="shared" si="8"/>
        <v>公共配套设施</v>
      </c>
      <c r="R23" s="710" t="s">
        <v>17</v>
      </c>
      <c r="S23" s="711">
        <f>F23</f>
        <v>100</v>
      </c>
      <c r="T23" s="710" t="s">
        <v>17</v>
      </c>
      <c r="U23" s="711">
        <f>H23</f>
        <v>100</v>
      </c>
      <c r="V23" s="710" t="s">
        <v>17</v>
      </c>
      <c r="W23" s="711">
        <f>J23</f>
        <v>100</v>
      </c>
      <c r="X23" s="712"/>
      <c r="Y23" s="3314"/>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14"/>
      <c r="Q24" s="1526"/>
      <c r="R24" s="710"/>
      <c r="S24" s="711"/>
      <c r="T24" s="710"/>
      <c r="U24" s="711"/>
      <c r="V24" s="710"/>
      <c r="W24" s="711"/>
      <c r="X24" s="712"/>
      <c r="Y24" s="3314"/>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4"/>
      <c r="Q25" s="1526" t="str">
        <f t="shared" ref="Q25" si="9">B25</f>
        <v>基础设施水平</v>
      </c>
      <c r="R25" s="710" t="s">
        <v>17</v>
      </c>
      <c r="S25" s="711">
        <f>F25</f>
        <v>100</v>
      </c>
      <c r="T25" s="710" t="s">
        <v>17</v>
      </c>
      <c r="U25" s="711">
        <f>H25</f>
        <v>100</v>
      </c>
      <c r="V25" s="710" t="s">
        <v>17</v>
      </c>
      <c r="W25" s="711">
        <f>J25</f>
        <v>100</v>
      </c>
      <c r="X25" s="712"/>
      <c r="Y25" s="3314"/>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14"/>
      <c r="Q26" s="1526"/>
      <c r="R26" s="710"/>
      <c r="S26" s="711"/>
      <c r="T26" s="710"/>
      <c r="U26" s="711"/>
      <c r="V26" s="710"/>
      <c r="W26" s="711"/>
      <c r="X26" s="712"/>
      <c r="Y26" s="331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4"/>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4"/>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4"/>
      <c r="Q28" s="1535" t="str">
        <f t="shared" si="8"/>
        <v>毗邻道路的类型与等级</v>
      </c>
      <c r="R28" s="714" t="s">
        <v>17</v>
      </c>
      <c r="S28" s="715">
        <f t="shared" si="10"/>
        <v>100</v>
      </c>
      <c r="T28" s="714" t="s">
        <v>17</v>
      </c>
      <c r="U28" s="715">
        <f t="shared" si="11"/>
        <v>100</v>
      </c>
      <c r="V28" s="714" t="s">
        <v>17</v>
      </c>
      <c r="W28" s="715">
        <f t="shared" si="12"/>
        <v>100</v>
      </c>
      <c r="X28" s="1538"/>
      <c r="Y28" s="3314"/>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14"/>
      <c r="Q29" s="1535"/>
      <c r="R29" s="714"/>
      <c r="S29" s="715"/>
      <c r="T29" s="714"/>
      <c r="U29" s="715"/>
      <c r="V29" s="714"/>
      <c r="W29" s="715"/>
      <c r="X29" s="1538"/>
      <c r="Y29" s="3314"/>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4"/>
      <c r="Q30" s="1535" t="str">
        <f t="shared" si="8"/>
        <v>土地级别</v>
      </c>
      <c r="R30" s="714" t="s">
        <v>17</v>
      </c>
      <c r="S30" s="715">
        <f t="shared" si="10"/>
        <v>100</v>
      </c>
      <c r="T30" s="714" t="s">
        <v>17</v>
      </c>
      <c r="U30" s="715">
        <f t="shared" si="11"/>
        <v>100</v>
      </c>
      <c r="V30" s="714" t="s">
        <v>17</v>
      </c>
      <c r="W30" s="715">
        <f t="shared" si="12"/>
        <v>100</v>
      </c>
      <c r="X30" s="1538"/>
      <c r="Y30" s="3314"/>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4"/>
      <c r="Q31" s="1535">
        <f t="shared" si="8"/>
        <v>111</v>
      </c>
      <c r="R31" s="714" t="s">
        <v>17</v>
      </c>
      <c r="S31" s="715">
        <f t="shared" si="10"/>
        <v>100</v>
      </c>
      <c r="T31" s="714" t="s">
        <v>17</v>
      </c>
      <c r="U31" s="715">
        <f t="shared" si="11"/>
        <v>100</v>
      </c>
      <c r="V31" s="714" t="s">
        <v>17</v>
      </c>
      <c r="W31" s="715">
        <f t="shared" si="12"/>
        <v>100</v>
      </c>
      <c r="X31" s="1538"/>
      <c r="Y31" s="3314"/>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9" t="s">
        <v>2386</v>
      </c>
      <c r="Q32" s="1535">
        <f t="shared" si="8"/>
        <v>111</v>
      </c>
      <c r="R32" s="714" t="s">
        <v>17</v>
      </c>
      <c r="S32" s="715">
        <f t="shared" si="10"/>
        <v>100</v>
      </c>
      <c r="T32" s="714" t="s">
        <v>17</v>
      </c>
      <c r="U32" s="715">
        <f t="shared" si="11"/>
        <v>100</v>
      </c>
      <c r="V32" s="714" t="s">
        <v>17</v>
      </c>
      <c r="W32" s="715">
        <f t="shared" si="12"/>
        <v>100</v>
      </c>
      <c r="X32" s="1538"/>
      <c r="Y32" s="3318"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18"/>
      <c r="Q33" s="1535">
        <f t="shared" si="8"/>
        <v>111</v>
      </c>
      <c r="R33" s="717" t="s">
        <v>17</v>
      </c>
      <c r="S33" s="718">
        <f t="shared" si="10"/>
        <v>100</v>
      </c>
      <c r="T33" s="717" t="s">
        <v>17</v>
      </c>
      <c r="U33" s="718">
        <f t="shared" si="11"/>
        <v>100</v>
      </c>
      <c r="V33" s="717" t="s">
        <v>17</v>
      </c>
      <c r="W33" s="718">
        <f t="shared" si="12"/>
        <v>100</v>
      </c>
      <c r="X33" s="719"/>
      <c r="Y33" s="3318"/>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18"/>
      <c r="Q34" s="1535" t="str">
        <f>B34</f>
        <v>宗地面积</v>
      </c>
      <c r="R34" s="714" t="s">
        <v>17</v>
      </c>
      <c r="S34" s="715" t="e">
        <f t="shared" si="10"/>
        <v>#N/A</v>
      </c>
      <c r="T34" s="714" t="s">
        <v>17</v>
      </c>
      <c r="U34" s="715" t="e">
        <f t="shared" si="11"/>
        <v>#N/A</v>
      </c>
      <c r="V34" s="714" t="s">
        <v>17</v>
      </c>
      <c r="W34" s="715" t="e">
        <f t="shared" si="12"/>
        <v>#N/A</v>
      </c>
      <c r="X34" s="1538"/>
      <c r="Y34" s="3318"/>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18"/>
      <c r="Q35" s="1535" t="str">
        <f t="shared" ref="Q35:Q40" si="14">B35</f>
        <v>宗地形状</v>
      </c>
      <c r="R35" s="714" t="s">
        <v>17</v>
      </c>
      <c r="S35" s="715">
        <f t="shared" si="10"/>
        <v>100</v>
      </c>
      <c r="T35" s="714" t="s">
        <v>17</v>
      </c>
      <c r="U35" s="715">
        <f t="shared" si="11"/>
        <v>100</v>
      </c>
      <c r="V35" s="714" t="s">
        <v>17</v>
      </c>
      <c r="W35" s="715">
        <f t="shared" si="12"/>
        <v>100</v>
      </c>
      <c r="X35" s="1538"/>
      <c r="Y35" s="3318"/>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18"/>
      <c r="Q36" s="1535" t="str">
        <f t="shared" si="14"/>
        <v>宗地开发程度</v>
      </c>
      <c r="R36" s="710" t="s">
        <v>17</v>
      </c>
      <c r="S36" s="711">
        <f t="shared" si="10"/>
        <v>100</v>
      </c>
      <c r="T36" s="710" t="s">
        <v>17</v>
      </c>
      <c r="U36" s="711">
        <f t="shared" si="11"/>
        <v>100</v>
      </c>
      <c r="V36" s="710" t="s">
        <v>17</v>
      </c>
      <c r="W36" s="711">
        <f t="shared" si="12"/>
        <v>100</v>
      </c>
      <c r="X36" s="712"/>
      <c r="Y36" s="3318"/>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18" t="s">
        <v>2386</v>
      </c>
      <c r="Q37" s="1535" t="str">
        <f t="shared" si="14"/>
        <v>工程地质条件</v>
      </c>
      <c r="R37" s="714" t="s">
        <v>17</v>
      </c>
      <c r="S37" s="715">
        <f t="shared" si="10"/>
        <v>100</v>
      </c>
      <c r="T37" s="714" t="s">
        <v>17</v>
      </c>
      <c r="U37" s="715">
        <f t="shared" si="11"/>
        <v>100</v>
      </c>
      <c r="V37" s="714" t="s">
        <v>17</v>
      </c>
      <c r="W37" s="715">
        <f t="shared" si="12"/>
        <v>100</v>
      </c>
      <c r="X37" s="1538"/>
      <c r="Y37" s="3318"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18"/>
      <c r="Q38" s="1535">
        <f t="shared" si="14"/>
        <v>111</v>
      </c>
      <c r="R38" s="714" t="s">
        <v>17</v>
      </c>
      <c r="S38" s="715">
        <f t="shared" si="10"/>
        <v>100</v>
      </c>
      <c r="T38" s="714" t="s">
        <v>17</v>
      </c>
      <c r="U38" s="715">
        <f t="shared" si="11"/>
        <v>100</v>
      </c>
      <c r="V38" s="714" t="s">
        <v>17</v>
      </c>
      <c r="W38" s="715">
        <f t="shared" si="12"/>
        <v>100</v>
      </c>
      <c r="X38" s="1538"/>
      <c r="Y38" s="3318"/>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18"/>
      <c r="Q39" s="1535">
        <f t="shared" si="14"/>
        <v>111</v>
      </c>
      <c r="R39" s="714" t="s">
        <v>17</v>
      </c>
      <c r="S39" s="715">
        <f t="shared" si="10"/>
        <v>100</v>
      </c>
      <c r="T39" s="714" t="s">
        <v>17</v>
      </c>
      <c r="U39" s="715">
        <f t="shared" si="11"/>
        <v>100</v>
      </c>
      <c r="V39" s="714" t="s">
        <v>17</v>
      </c>
      <c r="W39" s="715">
        <f t="shared" si="12"/>
        <v>100</v>
      </c>
      <c r="X39" s="1538"/>
      <c r="Y39" s="3318"/>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18"/>
      <c r="Q40" s="1535">
        <f t="shared" si="14"/>
        <v>111</v>
      </c>
      <c r="R40" s="717" t="s">
        <v>17</v>
      </c>
      <c r="S40" s="718">
        <f t="shared" si="10"/>
        <v>100</v>
      </c>
      <c r="T40" s="717" t="s">
        <v>17</v>
      </c>
      <c r="U40" s="718">
        <f t="shared" si="11"/>
        <v>100</v>
      </c>
      <c r="V40" s="717" t="s">
        <v>17</v>
      </c>
      <c r="W40" s="718">
        <f t="shared" si="12"/>
        <v>100</v>
      </c>
      <c r="X40" s="719"/>
      <c r="Y40" s="3318"/>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52"/>
      <c r="M41" s="2944"/>
      <c r="N41" s="2944"/>
      <c r="O41" s="2953"/>
      <c r="P41" s="3311" t="str">
        <f>A41</f>
        <v>成交单价</v>
      </c>
      <c r="Q41" s="3311"/>
      <c r="R41" s="3342">
        <f>E41</f>
        <v>0</v>
      </c>
      <c r="S41" s="3342"/>
      <c r="T41" s="3342">
        <f>G41</f>
        <v>0</v>
      </c>
      <c r="U41" s="3342"/>
      <c r="V41" s="3342">
        <f>I41</f>
        <v>0</v>
      </c>
      <c r="W41" s="3342"/>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11" t="str">
        <f>A42</f>
        <v>比较价值（元/平方米）</v>
      </c>
      <c r="Q42" s="3311"/>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08" t="str">
        <f>A43</f>
        <v>估价对象XX用房的比较价值（楼面单价，元/平方米）</v>
      </c>
      <c r="Q43" s="3309"/>
      <c r="R43" s="3372" t="e">
        <f>ROUND(IF(D42="简单平均",AVERAGE(R42:W42),R42*F42+T42*H42+V42*J42),0)</f>
        <v>#DIV/0!</v>
      </c>
      <c r="S43" s="3372"/>
      <c r="T43" s="3372"/>
      <c r="U43" s="3372"/>
      <c r="V43" s="3372"/>
      <c r="W43" s="3372"/>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326" t="s">
        <v>2585</v>
      </c>
      <c r="H50" s="3373"/>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4">
        <v>1</v>
      </c>
      <c r="E51" s="646">
        <f>'数据-汇总表'!E8+'数据-汇总表'!E9</f>
        <v>1568.25</v>
      </c>
      <c r="F51" s="647" t="e">
        <f t="shared" ref="F51:F60" si="15">ROUND(B51*E51/10000,0)</f>
        <v>#DIV/0!</v>
      </c>
      <c r="G51" s="3322"/>
      <c r="H51" s="3311"/>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0.8</v>
      </c>
      <c r="D52" s="1075">
        <v>0.25</v>
      </c>
      <c r="E52" s="650"/>
      <c r="F52" s="647" t="e">
        <f t="shared" si="15"/>
        <v>#DIV/0!</v>
      </c>
      <c r="G52" s="3374" t="s">
        <v>2590</v>
      </c>
      <c r="H52" s="1017" t="str">
        <f>项目基本情况!B37</f>
        <v>二级</v>
      </c>
      <c r="I52" s="879">
        <f>SUMIF(修正!A45:A56,H52,修正!B45:B56)</f>
        <v>0.8</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0.5</v>
      </c>
      <c r="D53" s="1075">
        <v>0.25</v>
      </c>
      <c r="E53" s="650"/>
      <c r="F53" s="647" t="e">
        <f t="shared" si="15"/>
        <v>#DIV/0!</v>
      </c>
      <c r="G53" s="3374"/>
      <c r="H53" s="1017" t="str">
        <f>项目基本情况!B37</f>
        <v>二级</v>
      </c>
      <c r="I53" s="879">
        <f>SUMIF(修正!A45:A56,H53,修正!C45:C56)</f>
        <v>0.5</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0.36</v>
      </c>
      <c r="D54" s="1075">
        <v>0.25</v>
      </c>
      <c r="E54" s="650"/>
      <c r="F54" s="647" t="e">
        <f t="shared" si="15"/>
        <v>#DIV/0!</v>
      </c>
      <c r="G54" s="3374"/>
      <c r="H54" s="1017" t="str">
        <f>项目基本情况!B37</f>
        <v>二级</v>
      </c>
      <c r="I54" s="879">
        <f>SUMIF(修正!A45:A56,H54,修正!D45:D56)</f>
        <v>0.36</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0.3</v>
      </c>
      <c r="D55" s="1075">
        <v>0.25</v>
      </c>
      <c r="E55" s="650"/>
      <c r="F55" s="647" t="e">
        <f t="shared" si="15"/>
        <v>#DIV/0!</v>
      </c>
      <c r="G55" s="3374"/>
      <c r="H55" s="1017" t="str">
        <f>项目基本情况!B37</f>
        <v>二级</v>
      </c>
      <c r="I55" s="879">
        <f>SUMIF(修正!A45:A56,H55,修正!E45:E56)</f>
        <v>0.3</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5">
        <v>0.25</v>
      </c>
      <c r="E56" s="223">
        <f>'数据-汇总表'!E11</f>
        <v>0</v>
      </c>
      <c r="F56" s="647" t="e">
        <f t="shared" si="15"/>
        <v>#DIV/0!</v>
      </c>
      <c r="G56" s="2172" t="s">
        <v>2595</v>
      </c>
      <c r="H56" s="1017">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0.25</v>
      </c>
      <c r="D59" s="1075">
        <v>0.25</v>
      </c>
      <c r="E59" s="223">
        <f>'数据-汇总表'!E14</f>
        <v>0</v>
      </c>
      <c r="F59" s="647" t="e">
        <f t="shared" si="15"/>
        <v>#DIV/0!</v>
      </c>
      <c r="G59" s="2172" t="s">
        <v>2590</v>
      </c>
      <c r="H59" s="1017" t="str">
        <f>项目基本情况!B37</f>
        <v>二级</v>
      </c>
      <c r="I59" s="879">
        <f>SUMIF(修正!A45:A56,H59,修正!H45:H56)</f>
        <v>0.25</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5">
        <v>0.25</v>
      </c>
      <c r="E60" s="223">
        <f>'数据-汇总表'!E15</f>
        <v>0</v>
      </c>
      <c r="F60" s="647" t="e">
        <f t="shared" si="15"/>
        <v>#DIV/0!</v>
      </c>
      <c r="G60" s="2173" t="s">
        <v>2595</v>
      </c>
      <c r="H60" s="1027">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0"/>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5530</v>
      </c>
      <c r="C2" s="2360" t="s">
        <v>2815</v>
      </c>
      <c r="D2" s="2360" t="s">
        <v>2816</v>
      </c>
      <c r="E2" s="2837">
        <f ca="1">SUMIF(E6:E13,"&lt;&gt;#ref!",E6:E13)</f>
        <v>1568.25</v>
      </c>
      <c r="F2" s="3023"/>
      <c r="G2" s="3023"/>
      <c r="H2" s="3023"/>
      <c r="I2" s="3023"/>
      <c r="J2" s="3023"/>
      <c r="K2" s="3023"/>
      <c r="L2" s="3023"/>
      <c r="M2" s="3023"/>
      <c r="N2" s="3023"/>
      <c r="O2" s="3023"/>
      <c r="P2" s="3023"/>
    </row>
    <row r="3" spans="1:16" ht="15.75">
      <c r="A3" s="2360" t="s">
        <v>2817</v>
      </c>
      <c r="B3" s="2827">
        <f ca="1">ROUND(B2*10000/E2,0)</f>
        <v>35262</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5530</v>
      </c>
      <c r="C6" s="2360" t="s">
        <v>2815</v>
      </c>
      <c r="D6" s="3023"/>
      <c r="E6" s="2837">
        <f ca="1">SUMIF(INDIRECT("'"&amp;A6&amp;"'"&amp;"!C:C"),"建筑面积",INDIRECT("'"&amp;A6&amp;"'"&amp;"!D:D"))</f>
        <v>1568.25</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3061</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3059</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3058</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2872</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2870</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2869</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2868</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2866</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2864</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2867</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1">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2862</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1"/>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2861</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1"/>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2854</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0"/>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2852</v>
      </c>
      <c r="B19" s="2437">
        <v>439</v>
      </c>
      <c r="C19" s="2437">
        <v>327</v>
      </c>
      <c r="D19" s="2437">
        <f>C19</f>
        <v>327</v>
      </c>
      <c r="E19" s="2437">
        <v>627</v>
      </c>
      <c r="F19" s="2438">
        <v>283</v>
      </c>
      <c r="G19" s="3386">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2853</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1"/>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1"/>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0"/>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86">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1"/>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1"/>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82"/>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0">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1"/>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1"/>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82"/>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0">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1"/>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1"/>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82"/>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87">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88"/>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88"/>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89"/>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0">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1"/>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1"/>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82"/>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0">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1">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1">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82">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0">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1">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1">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82">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0">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1">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1">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82">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0">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1">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1">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82">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0">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1">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1">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82">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0">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1">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1">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82">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0">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1">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1">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82">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0">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1">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1">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82">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0">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1">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1">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82">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0">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1">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1">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82">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77"/>
      <c r="B4" s="3066" t="s">
        <v>1595</v>
      </c>
      <c r="C4" s="3066"/>
      <c r="D4" s="3066"/>
      <c r="E4" s="1677"/>
    </row>
    <row r="5" spans="1:5" ht="16.5" thickTop="1">
      <c r="A5" s="1675"/>
      <c r="B5" s="3064" t="s">
        <v>1587</v>
      </c>
      <c r="C5" s="1678" t="s">
        <v>1588</v>
      </c>
      <c r="D5" s="958">
        <f ca="1">结果表!H101</f>
        <v>6748</v>
      </c>
      <c r="E5" s="1675"/>
    </row>
    <row r="6" spans="1:5" ht="15.75">
      <c r="A6" s="1675"/>
      <c r="B6" s="3064"/>
      <c r="C6" s="1678" t="s">
        <v>1589</v>
      </c>
      <c r="D6" s="958" t="str">
        <f ca="1">NUMBERSTRING(INT(D5*10000),2)&amp;"元整"</f>
        <v>陆仟柒佰肆拾捌万元整</v>
      </c>
      <c r="E6" s="1675"/>
    </row>
    <row r="7" spans="1:5" ht="15.75">
      <c r="A7" s="1675"/>
      <c r="B7" s="3069"/>
      <c r="C7" s="1679" t="s">
        <v>1590</v>
      </c>
      <c r="D7" s="959">
        <f ca="1">结果表!H102</f>
        <v>43029</v>
      </c>
      <c r="E7" s="1675"/>
    </row>
    <row r="8" spans="1:5" ht="15.75">
      <c r="A8" s="1675"/>
      <c r="B8" s="3070" t="str">
        <f>结果表!E103</f>
        <v>2.估价师知悉的法定优先受偿款</v>
      </c>
      <c r="C8" s="1680" t="s">
        <v>1591</v>
      </c>
      <c r="D8" s="959">
        <f>结果表!H103</f>
        <v>0</v>
      </c>
      <c r="E8" s="1675"/>
    </row>
    <row r="9" spans="1:5" ht="15.75">
      <c r="A9" s="1675"/>
      <c r="B9" s="3072"/>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63" t="str">
        <f>结果表!E107</f>
        <v>3.房地产抵押价值</v>
      </c>
      <c r="C13" s="1683" t="s">
        <v>1588</v>
      </c>
      <c r="D13" s="961">
        <f ca="1">结果表!H107</f>
        <v>6748</v>
      </c>
      <c r="E13" s="1675"/>
    </row>
    <row r="14" spans="1:5" ht="15.75">
      <c r="A14" s="1675"/>
      <c r="B14" s="3064"/>
      <c r="C14" s="1678" t="s">
        <v>1589</v>
      </c>
      <c r="D14" s="958" t="str">
        <f ca="1">NUMBERSTRING(INT(D13*10000),2)&amp;"元整"</f>
        <v>陆仟柒佰肆拾捌万元整</v>
      </c>
      <c r="E14" s="1675"/>
    </row>
    <row r="15" spans="1:5" ht="15">
      <c r="A15" s="1675"/>
      <c r="B15" s="3069"/>
      <c r="C15" s="1679" t="s">
        <v>1599</v>
      </c>
      <c r="D15" s="967">
        <f ca="1">结果表!H108</f>
        <v>43029</v>
      </c>
      <c r="E15" s="1675"/>
    </row>
    <row r="16" spans="1:5" ht="15">
      <c r="A16" s="1675"/>
      <c r="B16" s="3070" t="str">
        <f>结果表!E109</f>
        <v>——</v>
      </c>
      <c r="C16" s="1683" t="s">
        <v>1600</v>
      </c>
      <c r="D16" s="1684" t="str">
        <f>结果表!H109</f>
        <v>——</v>
      </c>
      <c r="E16" s="1675"/>
    </row>
    <row r="17" spans="1:5" ht="15.75">
      <c r="A17" s="1675"/>
      <c r="B17" s="3071"/>
      <c r="C17" s="1678" t="s">
        <v>1601</v>
      </c>
      <c r="D17" s="958" t="e">
        <f>NUMBERSTRING(INT(D16*10000),2)&amp;"元整"</f>
        <v>#VALUE!</v>
      </c>
      <c r="E17" s="1675"/>
    </row>
    <row r="18" spans="1:5" ht="15">
      <c r="A18" s="1675"/>
      <c r="B18" s="3072"/>
      <c r="C18" s="1679" t="s">
        <v>1590</v>
      </c>
      <c r="D18" s="967" t="str">
        <f>结果表!H110</f>
        <v>——</v>
      </c>
      <c r="E18" s="1675"/>
    </row>
    <row r="19" spans="1:5" ht="15.75">
      <c r="A19" s="1675"/>
      <c r="B19" s="3063" t="str">
        <f>结果表!E111</f>
        <v>——</v>
      </c>
      <c r="C19" s="1683" t="s">
        <v>1588</v>
      </c>
      <c r="D19" s="959" t="str">
        <f>结果表!H111</f>
        <v>——</v>
      </c>
      <c r="E19" s="1675"/>
    </row>
    <row r="20" spans="1:5" ht="15.75">
      <c r="A20" s="1675"/>
      <c r="B20" s="3064"/>
      <c r="C20" s="1678" t="s">
        <v>1601</v>
      </c>
      <c r="D20" s="958" t="e">
        <f>NUMBERSTRING(INT(D19*10000),2)&amp;"元整"</f>
        <v>#VALUE!</v>
      </c>
      <c r="E20" s="1675"/>
    </row>
    <row r="21" spans="1:5" ht="15.75" thickBot="1">
      <c r="A21" s="1675"/>
      <c r="B21" s="3065"/>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2824</v>
      </c>
      <c r="C1" s="3394" t="s">
        <v>2825</v>
      </c>
      <c r="D1" s="3395"/>
      <c r="E1" s="3395"/>
      <c r="F1" s="3395"/>
      <c r="G1" s="3395"/>
      <c r="H1" s="3395"/>
      <c r="I1" s="3395"/>
      <c r="J1" s="3395"/>
      <c r="K1" s="3395"/>
      <c r="L1" s="3395"/>
      <c r="M1" s="3395"/>
      <c r="N1" s="3395"/>
      <c r="O1" s="3395"/>
      <c r="P1" s="3395"/>
      <c r="Q1" s="3395"/>
      <c r="R1" s="3395"/>
      <c r="S1" s="3396"/>
      <c r="T1" s="1113" t="s">
        <v>2826</v>
      </c>
    </row>
    <row r="2" spans="1:45" s="663" customFormat="1">
      <c r="A2" s="1114"/>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505" t="s">
        <v>2828</v>
      </c>
      <c r="C5" s="1125"/>
      <c r="D5" s="1126"/>
      <c r="E5" s="1126"/>
      <c r="F5" s="1479"/>
      <c r="G5" s="1479"/>
      <c r="H5" s="1479"/>
      <c r="I5" s="1479"/>
      <c r="J5" s="1479"/>
      <c r="K5" s="1479"/>
      <c r="L5" s="1480"/>
      <c r="M5" s="1481"/>
      <c r="N5" s="1481"/>
      <c r="O5" s="1479"/>
      <c r="P5" s="1479"/>
      <c r="Q5" s="1479"/>
      <c r="R5" s="1479"/>
      <c r="S5" s="1482"/>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506" t="s">
        <v>2829</v>
      </c>
      <c r="C7" s="1034"/>
      <c r="D7" s="1028"/>
      <c r="E7" s="1028"/>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506" t="s">
        <v>2830</v>
      </c>
      <c r="C9" s="1034"/>
      <c r="D9" s="1028"/>
      <c r="E9" s="1028"/>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505" t="s">
        <v>2831</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505" t="s">
        <v>2832</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505" t="s">
        <v>2833</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5"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3" t="e">
        <f ca="1">SUMIF(INDIRECT("'"&amp;H20&amp;"'"&amp;"!A:A"),"承租人权益价值",INDIRECT("'"&amp;H20&amp;"'"&amp;"!c:c"))</f>
        <v>#REF!</v>
      </c>
      <c r="G20" s="1113"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29665</v>
      </c>
      <c r="C2" s="2" t="s">
        <v>133</v>
      </c>
      <c r="D2" s="205"/>
      <c r="E2" s="205"/>
      <c r="F2" s="205"/>
      <c r="G2" s="205"/>
    </row>
    <row r="3" spans="1:7" s="206" customFormat="1" ht="18" customHeight="1" thickBot="1">
      <c r="A3" s="209" t="s">
        <v>85</v>
      </c>
      <c r="B3" s="210">
        <f ca="1">ROUND(B2*10000/'数据-汇总表'!E3,0)</f>
        <v>189160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31</v>
      </c>
      <c r="D10" s="953">
        <f>'数据-汇总表'!E6</f>
        <v>1568.25</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31</v>
      </c>
      <c r="D19" s="957">
        <f>'数据-汇总表'!E3</f>
        <v>1568.25</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1853</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3</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3158</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3158</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1343</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1255</v>
      </c>
      <c r="D34" s="223"/>
      <c r="E34" s="226"/>
      <c r="F34" s="263">
        <f>IF('数据-取费表'!B24=0,1,'数据-取费表'!N16)</f>
        <v>1</v>
      </c>
      <c r="G34" s="225" t="s">
        <v>116</v>
      </c>
    </row>
    <row r="35" spans="1:7" ht="13.5" customHeight="1">
      <c r="A35" s="887" t="s">
        <v>796</v>
      </c>
      <c r="B35" s="221" t="s">
        <v>60</v>
      </c>
      <c r="C35" s="226">
        <f>ROUND(C34*F35,0)</f>
        <v>38</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31</v>
      </c>
      <c r="D37" s="223">
        <f>'数据-汇总表'!E3</f>
        <v>1568.25</v>
      </c>
      <c r="E37" s="255">
        <f>'数据-取费表'!B35</f>
        <v>200</v>
      </c>
      <c r="F37" s="265"/>
      <c r="G37" s="267" t="s">
        <v>119</v>
      </c>
    </row>
    <row r="38" spans="1:7" ht="13.5" customHeight="1">
      <c r="A38" s="887" t="s">
        <v>799</v>
      </c>
      <c r="B38" s="221" t="s">
        <v>63</v>
      </c>
      <c r="C38" s="226">
        <f>ROUND(C34*F38,0)</f>
        <v>19</v>
      </c>
      <c r="D38" s="226"/>
      <c r="E38" s="226"/>
      <c r="F38" s="265">
        <f>'数据-取费表'!B36</f>
        <v>1.4999999999999999E-2</v>
      </c>
      <c r="G38" s="225" t="s">
        <v>117</v>
      </c>
    </row>
    <row r="39" spans="1:7" s="220" customFormat="1" ht="13.5" customHeight="1">
      <c r="A39" s="884" t="s">
        <v>783</v>
      </c>
      <c r="B39" s="216" t="s">
        <v>104</v>
      </c>
      <c r="C39" s="238">
        <f>ROUND(C33*F20,0)</f>
        <v>27</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59</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58</v>
      </c>
      <c r="D42" s="244"/>
      <c r="E42" s="244"/>
      <c r="F42" s="245"/>
      <c r="G42" s="3251" t="s">
        <v>121</v>
      </c>
    </row>
    <row r="43" spans="1:7" ht="13.5" customHeight="1">
      <c r="A43" s="887" t="s">
        <v>792</v>
      </c>
      <c r="B43" s="221" t="s">
        <v>1032</v>
      </c>
      <c r="C43" s="244">
        <f ca="1">ROUND(IF('数据-取费表'!B22&lt;=1,C39*F22*'数据-取费表'!B21/2,C39*(POWER((1+F22),'数据-取费表'!B21/2)-1)),0)</f>
        <v>1</v>
      </c>
      <c r="D43" s="244"/>
      <c r="E43" s="244"/>
      <c r="F43" s="245"/>
      <c r="G43" s="3252"/>
    </row>
    <row r="44" spans="1:7" ht="13.5" customHeight="1">
      <c r="A44" s="887" t="s">
        <v>793</v>
      </c>
      <c r="B44" s="221" t="s">
        <v>1034</v>
      </c>
      <c r="C44" s="244">
        <f ca="1">ROUND(IF('数据-取费表'!B22&lt;=1,C40*F22*'数据-取费表'!B21/2,C40*(POWER((1+F22),'数据-取费表'!B21/2)-1)),4)</f>
        <v>8.9999999999999998E-4</v>
      </c>
      <c r="D44" s="244"/>
      <c r="E44" s="244"/>
      <c r="F44" s="245"/>
      <c r="G44" s="3253"/>
    </row>
    <row r="45" spans="1:7" s="220" customFormat="1" ht="13.5" customHeight="1">
      <c r="A45" s="884" t="s">
        <v>786</v>
      </c>
      <c r="B45" s="250" t="s">
        <v>112</v>
      </c>
      <c r="C45" s="251">
        <f>C46</f>
        <v>206</v>
      </c>
      <c r="D45" s="241">
        <f>C47</f>
        <v>3.0000000000000001E-3</v>
      </c>
      <c r="E45" s="242" t="s">
        <v>129</v>
      </c>
      <c r="F45" s="252"/>
      <c r="G45" s="253" t="s">
        <v>1040</v>
      </c>
    </row>
    <row r="46" spans="1:7" s="220" customFormat="1" ht="13.5" customHeight="1">
      <c r="A46" s="887" t="s">
        <v>794</v>
      </c>
      <c r="B46" s="254" t="s">
        <v>1033</v>
      </c>
      <c r="C46" s="255">
        <f>ROUND((C33+C39)*F27,0)</f>
        <v>206</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1772</v>
      </c>
      <c r="D49" s="238"/>
      <c r="E49" s="238"/>
      <c r="F49" s="270"/>
      <c r="G49" s="240" t="s">
        <v>1041</v>
      </c>
    </row>
    <row r="50" spans="1:7" s="264" customFormat="1" ht="24">
      <c r="A50" s="884" t="s">
        <v>789</v>
      </c>
      <c r="B50" s="216" t="s">
        <v>124</v>
      </c>
      <c r="C50" s="238"/>
      <c r="D50" s="238"/>
      <c r="E50" s="238"/>
      <c r="F50" s="270">
        <f>IF('数据-取费表'!B24=0,'数据-取费表'!N16,1)</f>
        <v>0.8</v>
      </c>
      <c r="G50" s="253" t="s">
        <v>125</v>
      </c>
    </row>
    <row r="51" spans="1:7" ht="16.5" customHeight="1">
      <c r="A51" s="884" t="s">
        <v>790</v>
      </c>
      <c r="B51" s="216" t="s">
        <v>132</v>
      </c>
      <c r="C51" s="238">
        <f ca="1">ROUND(C49*F50,0)</f>
        <v>1418</v>
      </c>
      <c r="D51" s="238"/>
      <c r="E51" s="238"/>
      <c r="F51" s="270"/>
      <c r="G51" s="240" t="s">
        <v>64</v>
      </c>
    </row>
    <row r="52" spans="1:7" s="214" customFormat="1" ht="16.5" thickBot="1">
      <c r="A52" s="271" t="s">
        <v>65</v>
      </c>
      <c r="B52" s="272"/>
      <c r="C52" s="273">
        <f ca="1">C31+C51</f>
        <v>29665</v>
      </c>
      <c r="D52" s="272"/>
      <c r="E52" s="272"/>
      <c r="F52" s="272"/>
      <c r="G52" s="274"/>
    </row>
    <row r="55" spans="1:7" ht="15">
      <c r="B55" s="276" t="s">
        <v>66</v>
      </c>
      <c r="C55" s="277"/>
    </row>
    <row r="56" spans="1:7">
      <c r="B56" s="279" t="s">
        <v>67</v>
      </c>
      <c r="C56" s="280">
        <f ca="1">ROUND(C51/C52,3)</f>
        <v>4.8000000000000001E-2</v>
      </c>
    </row>
    <row r="57" spans="1:7">
      <c r="B57" s="279" t="s">
        <v>68</v>
      </c>
      <c r="C57" s="281">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7" t="s">
        <v>839</v>
      </c>
      <c r="B1" s="339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9" t="s">
        <v>846</v>
      </c>
      <c r="B5" s="780" t="s">
        <v>847</v>
      </c>
      <c r="C5" s="975">
        <v>8.8999999999999996E-2</v>
      </c>
      <c r="D5" s="975">
        <v>7.3999999999999996E-2</v>
      </c>
      <c r="E5" s="975">
        <v>7.4999999999999997E-2</v>
      </c>
      <c r="F5" s="976">
        <v>0.1</v>
      </c>
    </row>
    <row r="6" spans="1:6" ht="14.25" thickBot="1">
      <c r="A6" s="779" t="s">
        <v>212</v>
      </c>
      <c r="B6" s="773" t="s">
        <v>848</v>
      </c>
      <c r="C6" s="977">
        <v>0.1</v>
      </c>
      <c r="D6" s="977">
        <v>9.0999999999999998E-2</v>
      </c>
      <c r="E6" s="977">
        <v>9.0999999999999998E-2</v>
      </c>
      <c r="F6" s="978">
        <v>0.1</v>
      </c>
    </row>
    <row r="7" spans="1:6" ht="14.25" thickBot="1">
      <c r="A7" s="779" t="s">
        <v>212</v>
      </c>
      <c r="B7" s="783" t="s">
        <v>201</v>
      </c>
      <c r="C7" s="977">
        <v>8.5999999999999993E-2</v>
      </c>
      <c r="D7" s="977">
        <v>9.6000000000000002E-2</v>
      </c>
      <c r="E7" s="977">
        <v>7.5999999999999998E-2</v>
      </c>
      <c r="F7" s="978">
        <v>0.1</v>
      </c>
    </row>
    <row r="8" spans="1:6" ht="14.25" thickBot="1">
      <c r="A8" s="779" t="s">
        <v>212</v>
      </c>
      <c r="B8" s="773" t="s">
        <v>213</v>
      </c>
      <c r="C8" s="977">
        <v>9.9000000000000005E-2</v>
      </c>
      <c r="D8" s="977">
        <v>9.8000000000000004E-2</v>
      </c>
      <c r="E8" s="977">
        <v>9.8000000000000004E-2</v>
      </c>
      <c r="F8" s="978">
        <v>0.1</v>
      </c>
    </row>
    <row r="9" spans="1:6" ht="14.25" thickBot="1">
      <c r="A9" s="789" t="s">
        <v>212</v>
      </c>
      <c r="B9" s="784" t="s">
        <v>225</v>
      </c>
      <c r="C9" s="979">
        <v>0.05</v>
      </c>
      <c r="D9" s="987"/>
      <c r="E9" s="987"/>
      <c r="F9" s="988"/>
    </row>
    <row r="10" spans="1:6" ht="14.25" thickBot="1">
      <c r="A10" s="779" t="s">
        <v>269</v>
      </c>
      <c r="B10" s="780" t="s">
        <v>849</v>
      </c>
      <c r="C10" s="975">
        <v>8.8999999999999996E-2</v>
      </c>
      <c r="D10" s="975">
        <v>7.2999999999999995E-2</v>
      </c>
      <c r="E10" s="975">
        <v>8.2000000000000003E-2</v>
      </c>
      <c r="F10" s="976">
        <v>0.1</v>
      </c>
    </row>
    <row r="11" spans="1:6" ht="14.25" thickBot="1">
      <c r="A11" s="779" t="s">
        <v>269</v>
      </c>
      <c r="B11" s="783" t="s">
        <v>188</v>
      </c>
      <c r="C11" s="977">
        <v>8.8999999999999996E-2</v>
      </c>
      <c r="D11" s="977">
        <v>7.2999999999999995E-2</v>
      </c>
      <c r="E11" s="977">
        <v>8.2000000000000003E-2</v>
      </c>
      <c r="F11" s="978">
        <v>0.1</v>
      </c>
    </row>
    <row r="12" spans="1:6" ht="14.25" thickBot="1">
      <c r="A12" s="779" t="s">
        <v>269</v>
      </c>
      <c r="B12" s="783" t="s">
        <v>138</v>
      </c>
      <c r="C12" s="977">
        <v>6.0999999999999999E-2</v>
      </c>
      <c r="D12" s="977">
        <v>7.0999999999999994E-2</v>
      </c>
      <c r="E12" s="977">
        <v>9.6000000000000002E-2</v>
      </c>
      <c r="F12" s="978">
        <v>0.1</v>
      </c>
    </row>
    <row r="13" spans="1:6" ht="14.25" thickBot="1">
      <c r="A13" s="779" t="s">
        <v>269</v>
      </c>
      <c r="B13" s="783" t="s">
        <v>214</v>
      </c>
      <c r="C13" s="977">
        <v>6.9000000000000006E-2</v>
      </c>
      <c r="D13" s="977">
        <v>6.5000000000000002E-2</v>
      </c>
      <c r="E13" s="977">
        <v>6.6000000000000003E-2</v>
      </c>
      <c r="F13" s="978">
        <v>0.1</v>
      </c>
    </row>
    <row r="14" spans="1:6" ht="14.25" thickBot="1">
      <c r="A14" s="779" t="s">
        <v>269</v>
      </c>
      <c r="B14" s="783" t="s">
        <v>226</v>
      </c>
      <c r="C14" s="977">
        <v>0.1</v>
      </c>
      <c r="D14" s="977">
        <v>6.5000000000000002E-2</v>
      </c>
      <c r="E14" s="977">
        <v>7.0000000000000007E-2</v>
      </c>
      <c r="F14" s="978">
        <v>0.1</v>
      </c>
    </row>
    <row r="15" spans="1:6" ht="14.25" thickBot="1">
      <c r="A15" s="779" t="s">
        <v>269</v>
      </c>
      <c r="B15" s="783" t="s">
        <v>237</v>
      </c>
      <c r="C15" s="977">
        <v>9.8000000000000004E-2</v>
      </c>
      <c r="D15" s="977">
        <v>8.8999999999999996E-2</v>
      </c>
      <c r="E15" s="977">
        <v>8.8999999999999996E-2</v>
      </c>
      <c r="F15" s="978">
        <v>0.1</v>
      </c>
    </row>
    <row r="16" spans="1:6" ht="14.25" thickBot="1">
      <c r="A16" s="779" t="s">
        <v>269</v>
      </c>
      <c r="B16" s="783" t="s">
        <v>248</v>
      </c>
      <c r="C16" s="977">
        <v>7.0000000000000007E-2</v>
      </c>
      <c r="D16" s="977">
        <v>9.2999999999999999E-2</v>
      </c>
      <c r="E16" s="977">
        <v>9.6000000000000002E-2</v>
      </c>
      <c r="F16" s="978">
        <v>0.1</v>
      </c>
    </row>
    <row r="17" spans="1:6" ht="14.25" thickBot="1">
      <c r="A17" s="779" t="s">
        <v>269</v>
      </c>
      <c r="B17" s="783" t="s">
        <v>259</v>
      </c>
      <c r="C17" s="977">
        <v>9.5000000000000001E-2</v>
      </c>
      <c r="D17" s="977">
        <v>0.1</v>
      </c>
      <c r="E17" s="977">
        <v>0.1</v>
      </c>
      <c r="F17" s="989"/>
    </row>
    <row r="18" spans="1:6" ht="14.25" thickBot="1">
      <c r="A18" s="779" t="s">
        <v>269</v>
      </c>
      <c r="B18" s="783" t="s">
        <v>271</v>
      </c>
      <c r="C18" s="977">
        <v>7.3999999999999996E-2</v>
      </c>
      <c r="D18" s="977">
        <v>9.9000000000000005E-2</v>
      </c>
      <c r="E18" s="977">
        <v>0.1</v>
      </c>
      <c r="F18" s="989"/>
    </row>
    <row r="19" spans="1:6" ht="14.25" thickBot="1">
      <c r="A19" s="779" t="s">
        <v>269</v>
      </c>
      <c r="B19" s="783" t="s">
        <v>281</v>
      </c>
      <c r="C19" s="977">
        <v>9.9000000000000005E-2</v>
      </c>
      <c r="D19" s="977">
        <v>7.5999999999999998E-2</v>
      </c>
      <c r="E19" s="977">
        <v>8.6999999999999994E-2</v>
      </c>
      <c r="F19" s="989"/>
    </row>
    <row r="20" spans="1:6" ht="14.25" thickBot="1">
      <c r="A20" s="779" t="s">
        <v>269</v>
      </c>
      <c r="B20" s="783" t="s">
        <v>291</v>
      </c>
      <c r="C20" s="977">
        <v>9.8000000000000004E-2</v>
      </c>
      <c r="D20" s="977">
        <v>8.5000000000000006E-2</v>
      </c>
      <c r="E20" s="977">
        <v>8.2000000000000003E-2</v>
      </c>
      <c r="F20" s="989"/>
    </row>
    <row r="21" spans="1:6" ht="14.25" thickBot="1">
      <c r="A21" s="779" t="s">
        <v>269</v>
      </c>
      <c r="B21" s="783" t="s">
        <v>301</v>
      </c>
      <c r="C21" s="977">
        <v>6.6000000000000003E-2</v>
      </c>
      <c r="D21" s="977">
        <v>6.4000000000000001E-2</v>
      </c>
      <c r="E21" s="977">
        <v>6.5000000000000002E-2</v>
      </c>
      <c r="F21" s="989"/>
    </row>
    <row r="22" spans="1:6" ht="14.25" thickBot="1">
      <c r="A22" s="779" t="s">
        <v>269</v>
      </c>
      <c r="B22" s="783" t="s">
        <v>850</v>
      </c>
      <c r="C22" s="977">
        <v>0.08</v>
      </c>
      <c r="D22" s="977">
        <v>9.8000000000000004E-2</v>
      </c>
      <c r="E22" s="977">
        <v>9.8000000000000004E-2</v>
      </c>
      <c r="F22" s="989"/>
    </row>
    <row r="23" spans="1:6" ht="14.25" thickBot="1">
      <c r="A23" s="779" t="s">
        <v>269</v>
      </c>
      <c r="B23" s="783" t="s">
        <v>322</v>
      </c>
      <c r="C23" s="977">
        <v>9.9000000000000005E-2</v>
      </c>
      <c r="D23" s="977">
        <v>9.8000000000000004E-2</v>
      </c>
      <c r="E23" s="977">
        <v>9.0999999999999998E-2</v>
      </c>
      <c r="F23" s="989"/>
    </row>
    <row r="24" spans="1:6" ht="14.25" thickBot="1">
      <c r="A24" s="779" t="s">
        <v>269</v>
      </c>
      <c r="B24" s="783" t="s">
        <v>333</v>
      </c>
      <c r="C24" s="977">
        <v>8.8999999999999996E-2</v>
      </c>
      <c r="D24" s="977">
        <v>9.7000000000000003E-2</v>
      </c>
      <c r="E24" s="977">
        <v>7.0000000000000007E-2</v>
      </c>
      <c r="F24" s="989"/>
    </row>
    <row r="25" spans="1:6" ht="14.25" thickBot="1">
      <c r="A25" s="779" t="s">
        <v>269</v>
      </c>
      <c r="B25" s="783" t="s">
        <v>343</v>
      </c>
      <c r="C25" s="977">
        <v>8.8999999999999996E-2</v>
      </c>
      <c r="D25" s="977">
        <v>0.1</v>
      </c>
      <c r="E25" s="977">
        <v>8.1000000000000003E-2</v>
      </c>
      <c r="F25" s="989"/>
    </row>
    <row r="26" spans="1:6" ht="14.25" thickBot="1">
      <c r="A26" s="779" t="s">
        <v>269</v>
      </c>
      <c r="B26" s="783" t="s">
        <v>353</v>
      </c>
      <c r="C26" s="990"/>
      <c r="D26" s="977">
        <v>9.6000000000000002E-2</v>
      </c>
      <c r="E26" s="977">
        <v>9.2999999999999999E-2</v>
      </c>
      <c r="F26" s="989"/>
    </row>
    <row r="27" spans="1:6" ht="14.25" thickBot="1">
      <c r="A27" s="779" t="s">
        <v>269</v>
      </c>
      <c r="B27" s="783" t="s">
        <v>363</v>
      </c>
      <c r="C27" s="990"/>
      <c r="D27" s="977">
        <v>7.5999999999999998E-2</v>
      </c>
      <c r="E27" s="977">
        <v>9.1999999999999998E-2</v>
      </c>
      <c r="F27" s="989"/>
    </row>
    <row r="28" spans="1:6" ht="14.25" thickBot="1">
      <c r="A28" s="789" t="s">
        <v>269</v>
      </c>
      <c r="B28" s="784" t="s">
        <v>373</v>
      </c>
      <c r="C28" s="987"/>
      <c r="D28" s="979">
        <v>7.5999999999999998E-2</v>
      </c>
      <c r="E28" s="979">
        <v>9.1999999999999998E-2</v>
      </c>
      <c r="F28" s="988"/>
    </row>
    <row r="29" spans="1:6" ht="14.25" thickBot="1">
      <c r="A29" s="779" t="s">
        <v>442</v>
      </c>
      <c r="B29" s="780" t="s">
        <v>851</v>
      </c>
      <c r="C29" s="975">
        <v>6.4000000000000001E-2</v>
      </c>
      <c r="D29" s="975">
        <v>6.5000000000000002E-2</v>
      </c>
      <c r="E29" s="975">
        <v>6.9000000000000006E-2</v>
      </c>
      <c r="F29" s="976">
        <v>0.1</v>
      </c>
    </row>
    <row r="30" spans="1:6" ht="14.25" thickBot="1">
      <c r="A30" s="779" t="s">
        <v>442</v>
      </c>
      <c r="B30" s="783" t="s">
        <v>189</v>
      </c>
      <c r="C30" s="977">
        <v>6.4000000000000001E-2</v>
      </c>
      <c r="D30" s="977">
        <v>9.9000000000000005E-2</v>
      </c>
      <c r="E30" s="977">
        <v>0.1</v>
      </c>
      <c r="F30" s="978">
        <v>0.1</v>
      </c>
    </row>
    <row r="31" spans="1:6" ht="14.25" thickBot="1">
      <c r="A31" s="779" t="s">
        <v>442</v>
      </c>
      <c r="B31" s="783" t="s">
        <v>202</v>
      </c>
      <c r="C31" s="977">
        <v>0.1</v>
      </c>
      <c r="D31" s="977">
        <v>9.5000000000000001E-2</v>
      </c>
      <c r="E31" s="977">
        <v>8.8999999999999996E-2</v>
      </c>
      <c r="F31" s="978">
        <v>0.1</v>
      </c>
    </row>
    <row r="32" spans="1:6" ht="14.25" thickBot="1">
      <c r="A32" s="779" t="s">
        <v>442</v>
      </c>
      <c r="B32" s="783" t="s">
        <v>215</v>
      </c>
      <c r="C32" s="977">
        <v>0.05</v>
      </c>
      <c r="D32" s="977">
        <v>0.05</v>
      </c>
      <c r="E32" s="977">
        <v>8.7999999999999995E-2</v>
      </c>
      <c r="F32" s="978">
        <v>0.1</v>
      </c>
    </row>
    <row r="33" spans="1:6" ht="14.25" thickBot="1">
      <c r="A33" s="779" t="s">
        <v>442</v>
      </c>
      <c r="B33" s="783" t="s">
        <v>227</v>
      </c>
      <c r="C33" s="977">
        <v>7.4999999999999997E-2</v>
      </c>
      <c r="D33" s="977">
        <v>9.4E-2</v>
      </c>
      <c r="E33" s="977">
        <v>9.7000000000000003E-2</v>
      </c>
      <c r="F33" s="978">
        <v>0.1</v>
      </c>
    </row>
    <row r="34" spans="1:6" ht="14.25" thickBot="1">
      <c r="A34" s="779" t="s">
        <v>442</v>
      </c>
      <c r="B34" s="783" t="s">
        <v>238</v>
      </c>
      <c r="C34" s="977">
        <v>9.8000000000000004E-2</v>
      </c>
      <c r="D34" s="977">
        <v>8.5999999999999993E-2</v>
      </c>
      <c r="E34" s="977">
        <v>9.7000000000000003E-2</v>
      </c>
      <c r="F34" s="978">
        <v>0.1</v>
      </c>
    </row>
    <row r="35" spans="1:6" ht="14.25" thickBot="1">
      <c r="A35" s="779" t="s">
        <v>442</v>
      </c>
      <c r="B35" s="783" t="s">
        <v>249</v>
      </c>
      <c r="C35" s="977">
        <v>5.8999999999999997E-2</v>
      </c>
      <c r="D35" s="977">
        <v>6.5000000000000002E-2</v>
      </c>
      <c r="E35" s="977">
        <v>7.0000000000000007E-2</v>
      </c>
      <c r="F35" s="978">
        <v>0.1</v>
      </c>
    </row>
    <row r="36" spans="1:6" ht="14.25" thickBot="1">
      <c r="A36" s="779" t="s">
        <v>442</v>
      </c>
      <c r="B36" s="783" t="s">
        <v>260</v>
      </c>
      <c r="C36" s="977">
        <v>6.3E-2</v>
      </c>
      <c r="D36" s="977">
        <v>0.1</v>
      </c>
      <c r="E36" s="977">
        <v>0.1</v>
      </c>
      <c r="F36" s="978">
        <v>0.1</v>
      </c>
    </row>
    <row r="37" spans="1:6" ht="14.25" thickBot="1">
      <c r="A37" s="779" t="s">
        <v>442</v>
      </c>
      <c r="B37" s="783" t="s">
        <v>272</v>
      </c>
      <c r="C37" s="977">
        <v>7.3999999999999996E-2</v>
      </c>
      <c r="D37" s="977">
        <v>0.1</v>
      </c>
      <c r="E37" s="977">
        <v>0.1</v>
      </c>
      <c r="F37" s="978">
        <v>0.1</v>
      </c>
    </row>
    <row r="38" spans="1:6" ht="14.25" thickBot="1">
      <c r="A38" s="779" t="s">
        <v>442</v>
      </c>
      <c r="B38" s="783" t="s">
        <v>282</v>
      </c>
      <c r="C38" s="977">
        <v>0.1</v>
      </c>
      <c r="D38" s="977">
        <v>9.6000000000000002E-2</v>
      </c>
      <c r="E38" s="977">
        <v>9.6000000000000002E-2</v>
      </c>
      <c r="F38" s="989"/>
    </row>
    <row r="39" spans="1:6" ht="14.25" thickBot="1">
      <c r="A39" s="779" t="s">
        <v>442</v>
      </c>
      <c r="B39" s="783" t="s">
        <v>292</v>
      </c>
      <c r="C39" s="977">
        <v>0.1</v>
      </c>
      <c r="D39" s="977">
        <v>9.6000000000000002E-2</v>
      </c>
      <c r="E39" s="977">
        <v>9.6000000000000002E-2</v>
      </c>
      <c r="F39" s="989"/>
    </row>
    <row r="40" spans="1:6" ht="14.25" thickBot="1">
      <c r="A40" s="779" t="s">
        <v>442</v>
      </c>
      <c r="B40" s="783" t="s">
        <v>302</v>
      </c>
      <c r="C40" s="977">
        <v>9.6000000000000002E-2</v>
      </c>
      <c r="D40" s="977">
        <v>0.1</v>
      </c>
      <c r="E40" s="977">
        <v>9.9000000000000005E-2</v>
      </c>
      <c r="F40" s="989"/>
    </row>
    <row r="41" spans="1:6" ht="14.25" thickBot="1">
      <c r="A41" s="779" t="s">
        <v>442</v>
      </c>
      <c r="B41" s="783" t="s">
        <v>312</v>
      </c>
      <c r="C41" s="977">
        <v>9.6000000000000002E-2</v>
      </c>
      <c r="D41" s="977">
        <v>9.8000000000000004E-2</v>
      </c>
      <c r="E41" s="977">
        <v>9.8000000000000004E-2</v>
      </c>
      <c r="F41" s="989"/>
    </row>
    <row r="42" spans="1:6" ht="14.25" thickBot="1">
      <c r="A42" s="779" t="s">
        <v>442</v>
      </c>
      <c r="B42" s="783" t="s">
        <v>323</v>
      </c>
      <c r="C42" s="977">
        <v>0.1</v>
      </c>
      <c r="D42" s="977">
        <v>8.7999999999999995E-2</v>
      </c>
      <c r="E42" s="977">
        <v>0.1</v>
      </c>
      <c r="F42" s="989"/>
    </row>
    <row r="43" spans="1:6" ht="14.25" thickBot="1">
      <c r="A43" s="779" t="s">
        <v>442</v>
      </c>
      <c r="B43" s="783" t="s">
        <v>334</v>
      </c>
      <c r="C43" s="977">
        <v>9.8000000000000004E-2</v>
      </c>
      <c r="D43" s="977">
        <v>9.7000000000000003E-2</v>
      </c>
      <c r="E43" s="977">
        <v>9.6000000000000002E-2</v>
      </c>
      <c r="F43" s="989"/>
    </row>
    <row r="44" spans="1:6" ht="14.25" thickBot="1">
      <c r="A44" s="779" t="s">
        <v>442</v>
      </c>
      <c r="B44" s="783" t="s">
        <v>344</v>
      </c>
      <c r="C44" s="977">
        <v>8.5999999999999993E-2</v>
      </c>
      <c r="D44" s="977">
        <v>7.9000000000000001E-2</v>
      </c>
      <c r="E44" s="977">
        <v>7.0999999999999994E-2</v>
      </c>
      <c r="F44" s="989"/>
    </row>
    <row r="45" spans="1:6" ht="14.25" thickBot="1">
      <c r="A45" s="779" t="s">
        <v>442</v>
      </c>
      <c r="B45" s="783" t="s">
        <v>354</v>
      </c>
      <c r="C45" s="977">
        <v>9.8000000000000004E-2</v>
      </c>
      <c r="D45" s="977">
        <v>9.6000000000000002E-2</v>
      </c>
      <c r="E45" s="977">
        <v>9.6000000000000002E-2</v>
      </c>
      <c r="F45" s="989"/>
    </row>
    <row r="46" spans="1:6" ht="14.25" thickBot="1">
      <c r="A46" s="779" t="s">
        <v>442</v>
      </c>
      <c r="B46" s="783" t="s">
        <v>364</v>
      </c>
      <c r="C46" s="977">
        <v>8.5999999999999993E-2</v>
      </c>
      <c r="D46" s="977">
        <v>9.8000000000000004E-2</v>
      </c>
      <c r="E46" s="977">
        <v>8.7999999999999995E-2</v>
      </c>
      <c r="F46" s="989"/>
    </row>
    <row r="47" spans="1:6" ht="14.25" thickBot="1">
      <c r="A47" s="779" t="s">
        <v>442</v>
      </c>
      <c r="B47" s="783" t="s">
        <v>374</v>
      </c>
      <c r="C47" s="977">
        <v>9.6000000000000002E-2</v>
      </c>
      <c r="D47" s="990"/>
      <c r="E47" s="977">
        <v>6.9000000000000006E-2</v>
      </c>
      <c r="F47" s="989"/>
    </row>
    <row r="48" spans="1:6" ht="14.25" thickBot="1">
      <c r="A48" s="789" t="s">
        <v>442</v>
      </c>
      <c r="B48" s="784" t="s">
        <v>383</v>
      </c>
      <c r="C48" s="979">
        <v>9.8000000000000004E-2</v>
      </c>
      <c r="D48" s="987"/>
      <c r="E48" s="979">
        <v>9.5000000000000001E-2</v>
      </c>
      <c r="F48" s="988"/>
    </row>
    <row r="49" spans="1:6" ht="14.25" thickBot="1">
      <c r="A49" s="779" t="s">
        <v>137</v>
      </c>
      <c r="B49" s="780" t="s">
        <v>852</v>
      </c>
      <c r="C49" s="975">
        <v>9.7000000000000003E-2</v>
      </c>
      <c r="D49" s="975">
        <v>9.5000000000000001E-2</v>
      </c>
      <c r="E49" s="975">
        <v>9.7000000000000003E-2</v>
      </c>
      <c r="F49" s="976">
        <v>0.1</v>
      </c>
    </row>
    <row r="50" spans="1:6" ht="14.25" thickBot="1">
      <c r="A50" s="779" t="s">
        <v>137</v>
      </c>
      <c r="B50" s="773" t="s">
        <v>190</v>
      </c>
      <c r="C50" s="977">
        <v>7.4999999999999997E-2</v>
      </c>
      <c r="D50" s="977">
        <v>9.5000000000000001E-2</v>
      </c>
      <c r="E50" s="977">
        <v>0.1</v>
      </c>
      <c r="F50" s="978">
        <v>0.1</v>
      </c>
    </row>
    <row r="51" spans="1:6" ht="14.25" thickBot="1">
      <c r="A51" s="779" t="s">
        <v>137</v>
      </c>
      <c r="B51" s="773" t="s">
        <v>203</v>
      </c>
      <c r="C51" s="977">
        <v>9.8000000000000004E-2</v>
      </c>
      <c r="D51" s="977">
        <v>8.8999999999999996E-2</v>
      </c>
      <c r="E51" s="977">
        <v>0.1</v>
      </c>
      <c r="F51" s="978">
        <v>0.1</v>
      </c>
    </row>
    <row r="52" spans="1:6" ht="14.25" thickBot="1">
      <c r="A52" s="779" t="s">
        <v>137</v>
      </c>
      <c r="B52" s="773" t="s">
        <v>216</v>
      </c>
      <c r="C52" s="977">
        <v>9.8000000000000004E-2</v>
      </c>
      <c r="D52" s="977">
        <v>9.7000000000000003E-2</v>
      </c>
      <c r="E52" s="977">
        <v>8.1000000000000003E-2</v>
      </c>
      <c r="F52" s="978">
        <v>0.1</v>
      </c>
    </row>
    <row r="53" spans="1:6" ht="14.25" thickBot="1">
      <c r="A53" s="779" t="s">
        <v>137</v>
      </c>
      <c r="B53" s="773" t="s">
        <v>228</v>
      </c>
      <c r="C53" s="977">
        <v>9.7000000000000003E-2</v>
      </c>
      <c r="D53" s="977">
        <v>7.5999999999999998E-2</v>
      </c>
      <c r="E53" s="977">
        <v>7.0999999999999994E-2</v>
      </c>
      <c r="F53" s="978">
        <v>0.1</v>
      </c>
    </row>
    <row r="54" spans="1:6" ht="14.25" thickBot="1">
      <c r="A54" s="779" t="s">
        <v>137</v>
      </c>
      <c r="B54" s="773" t="s">
        <v>239</v>
      </c>
      <c r="C54" s="977">
        <v>7.5999999999999998E-2</v>
      </c>
      <c r="D54" s="977">
        <v>0.1</v>
      </c>
      <c r="E54" s="977">
        <v>9.9000000000000005E-2</v>
      </c>
      <c r="F54" s="978">
        <v>0.1</v>
      </c>
    </row>
    <row r="55" spans="1:6" ht="14.25" thickBot="1">
      <c r="A55" s="779" t="s">
        <v>137</v>
      </c>
      <c r="B55" s="773" t="s">
        <v>250</v>
      </c>
      <c r="C55" s="977">
        <v>0.1</v>
      </c>
      <c r="D55" s="977">
        <v>0.1</v>
      </c>
      <c r="E55" s="977">
        <v>9.6000000000000002E-2</v>
      </c>
      <c r="F55" s="978">
        <v>0.1</v>
      </c>
    </row>
    <row r="56" spans="1:6" ht="14.25" thickBot="1">
      <c r="A56" s="779" t="s">
        <v>137</v>
      </c>
      <c r="B56" s="773" t="s">
        <v>261</v>
      </c>
      <c r="C56" s="977">
        <v>0.1</v>
      </c>
      <c r="D56" s="977">
        <v>9.6000000000000002E-2</v>
      </c>
      <c r="E56" s="977">
        <v>5.1999999999999998E-2</v>
      </c>
      <c r="F56" s="978">
        <v>0.1</v>
      </c>
    </row>
    <row r="57" spans="1:6" ht="14.25" thickBot="1">
      <c r="A57" s="779" t="s">
        <v>137</v>
      </c>
      <c r="B57" s="773" t="s">
        <v>273</v>
      </c>
      <c r="C57" s="977">
        <v>9.7000000000000003E-2</v>
      </c>
      <c r="D57" s="977">
        <v>9.6000000000000002E-2</v>
      </c>
      <c r="E57" s="977">
        <v>9.6000000000000002E-2</v>
      </c>
      <c r="F57" s="978">
        <v>0.1</v>
      </c>
    </row>
    <row r="58" spans="1:6" ht="14.25" thickBot="1">
      <c r="A58" s="779" t="s">
        <v>137</v>
      </c>
      <c r="B58" s="773" t="s">
        <v>283</v>
      </c>
      <c r="C58" s="977">
        <v>9.6000000000000002E-2</v>
      </c>
      <c r="D58" s="977">
        <v>9.9000000000000005E-2</v>
      </c>
      <c r="E58" s="977">
        <v>9.6000000000000002E-2</v>
      </c>
      <c r="F58" s="978">
        <v>0.1</v>
      </c>
    </row>
    <row r="59" spans="1:6" ht="14.25" thickBot="1">
      <c r="A59" s="779" t="s">
        <v>137</v>
      </c>
      <c r="B59" s="773" t="s">
        <v>293</v>
      </c>
      <c r="C59" s="977">
        <v>7.1999999999999995E-2</v>
      </c>
      <c r="D59" s="977">
        <v>9.6000000000000002E-2</v>
      </c>
      <c r="E59" s="977">
        <v>7.0999999999999994E-2</v>
      </c>
      <c r="F59" s="978">
        <v>0.1</v>
      </c>
    </row>
    <row r="60" spans="1:6" ht="14.25" thickBot="1">
      <c r="A60" s="779" t="s">
        <v>137</v>
      </c>
      <c r="B60" s="773" t="s">
        <v>303</v>
      </c>
      <c r="C60" s="977">
        <v>9.6000000000000002E-2</v>
      </c>
      <c r="D60" s="977">
        <v>8.8999999999999996E-2</v>
      </c>
      <c r="E60" s="977">
        <v>9.6000000000000002E-2</v>
      </c>
      <c r="F60" s="978">
        <v>0.1</v>
      </c>
    </row>
    <row r="61" spans="1:6" ht="14.25" thickBot="1">
      <c r="A61" s="779" t="s">
        <v>137</v>
      </c>
      <c r="B61" s="773" t="s">
        <v>313</v>
      </c>
      <c r="C61" s="977">
        <v>8.8999999999999996E-2</v>
      </c>
      <c r="D61" s="977">
        <v>9.8000000000000004E-2</v>
      </c>
      <c r="E61" s="977">
        <v>8.7999999999999995E-2</v>
      </c>
      <c r="F61" s="989"/>
    </row>
    <row r="62" spans="1:6" ht="14.25" thickBot="1">
      <c r="A62" s="779" t="s">
        <v>137</v>
      </c>
      <c r="B62" s="773" t="s">
        <v>324</v>
      </c>
      <c r="C62" s="977">
        <v>9.8000000000000004E-2</v>
      </c>
      <c r="D62" s="977">
        <v>9.2999999999999999E-2</v>
      </c>
      <c r="E62" s="977">
        <v>9.7000000000000003E-2</v>
      </c>
      <c r="F62" s="989"/>
    </row>
    <row r="63" spans="1:6" ht="14.25" thickBot="1">
      <c r="A63" s="779" t="s">
        <v>137</v>
      </c>
      <c r="B63" s="773" t="s">
        <v>335</v>
      </c>
      <c r="C63" s="977">
        <v>9.6000000000000002E-2</v>
      </c>
      <c r="D63" s="977">
        <v>9.8000000000000004E-2</v>
      </c>
      <c r="E63" s="977">
        <v>0.09</v>
      </c>
      <c r="F63" s="989"/>
    </row>
    <row r="64" spans="1:6" ht="14.25" thickBot="1">
      <c r="A64" s="779" t="s">
        <v>137</v>
      </c>
      <c r="B64" s="773" t="s">
        <v>345</v>
      </c>
      <c r="C64" s="977">
        <v>9.9000000000000005E-2</v>
      </c>
      <c r="D64" s="977">
        <v>9.7000000000000003E-2</v>
      </c>
      <c r="E64" s="977">
        <v>9.9000000000000005E-2</v>
      </c>
      <c r="F64" s="989"/>
    </row>
    <row r="65" spans="1:6" ht="14.25" thickBot="1">
      <c r="A65" s="779" t="s">
        <v>137</v>
      </c>
      <c r="B65" s="773" t="s">
        <v>355</v>
      </c>
      <c r="C65" s="977">
        <v>9.8000000000000004E-2</v>
      </c>
      <c r="D65" s="977">
        <v>9.6000000000000002E-2</v>
      </c>
      <c r="E65" s="977">
        <v>9.6000000000000002E-2</v>
      </c>
      <c r="F65" s="989"/>
    </row>
    <row r="66" spans="1:6" ht="14.25" thickBot="1">
      <c r="A66" s="779" t="s">
        <v>137</v>
      </c>
      <c r="B66" s="773" t="s">
        <v>365</v>
      </c>
      <c r="C66" s="977">
        <v>9.6000000000000002E-2</v>
      </c>
      <c r="D66" s="977">
        <v>9.1999999999999998E-2</v>
      </c>
      <c r="E66" s="977">
        <v>9.6000000000000002E-2</v>
      </c>
      <c r="F66" s="989"/>
    </row>
    <row r="67" spans="1:6" ht="14.25" thickBot="1">
      <c r="A67" s="779" t="s">
        <v>137</v>
      </c>
      <c r="B67" s="773" t="s">
        <v>375</v>
      </c>
      <c r="C67" s="977">
        <v>9.4E-2</v>
      </c>
      <c r="D67" s="977">
        <v>0.1</v>
      </c>
      <c r="E67" s="977">
        <v>8.7999999999999995E-2</v>
      </c>
      <c r="F67" s="989"/>
    </row>
    <row r="68" spans="1:6" ht="14.25" thickBot="1">
      <c r="A68" s="779" t="s">
        <v>137</v>
      </c>
      <c r="B68" s="773" t="s">
        <v>384</v>
      </c>
      <c r="C68" s="977">
        <v>0.1</v>
      </c>
      <c r="D68" s="977">
        <v>8.7999999999999995E-2</v>
      </c>
      <c r="E68" s="977">
        <v>9.7000000000000003E-2</v>
      </c>
      <c r="F68" s="989"/>
    </row>
    <row r="69" spans="1:6" ht="14.25" thickBot="1">
      <c r="A69" s="779" t="s">
        <v>137</v>
      </c>
      <c r="B69" s="773" t="s">
        <v>393</v>
      </c>
      <c r="C69" s="977">
        <v>6.4000000000000001E-2</v>
      </c>
      <c r="D69" s="977">
        <v>0.1</v>
      </c>
      <c r="E69" s="977">
        <v>0.1</v>
      </c>
      <c r="F69" s="989"/>
    </row>
    <row r="70" spans="1:6" ht="14.25" thickBot="1">
      <c r="A70" s="779" t="s">
        <v>137</v>
      </c>
      <c r="B70" s="773" t="s">
        <v>401</v>
      </c>
      <c r="C70" s="977">
        <v>9.0999999999999998E-2</v>
      </c>
      <c r="D70" s="990"/>
      <c r="E70" s="990"/>
      <c r="F70" s="989"/>
    </row>
    <row r="71" spans="1:6" ht="14.25" thickBot="1">
      <c r="A71" s="779" t="s">
        <v>137</v>
      </c>
      <c r="B71" s="773" t="s">
        <v>408</v>
      </c>
      <c r="C71" s="977">
        <v>0.1</v>
      </c>
      <c r="D71" s="990"/>
      <c r="E71" s="990"/>
      <c r="F71" s="989"/>
    </row>
    <row r="72" spans="1:6" ht="14.25" thickBot="1">
      <c r="A72" s="779" t="s">
        <v>137</v>
      </c>
      <c r="B72" s="773" t="s">
        <v>853</v>
      </c>
      <c r="C72" s="990"/>
      <c r="D72" s="990"/>
      <c r="E72" s="990"/>
      <c r="F72" s="978">
        <v>0.05</v>
      </c>
    </row>
    <row r="73" spans="1:6" ht="14.25" thickBot="1">
      <c r="A73" s="779" t="s">
        <v>137</v>
      </c>
      <c r="B73" s="773" t="s">
        <v>854</v>
      </c>
      <c r="C73" s="990"/>
      <c r="D73" s="990"/>
      <c r="E73" s="990"/>
      <c r="F73" s="978">
        <v>0.05</v>
      </c>
    </row>
    <row r="74" spans="1:6" ht="14.25" thickBot="1">
      <c r="A74" s="779" t="s">
        <v>137</v>
      </c>
      <c r="B74" s="773" t="s">
        <v>855</v>
      </c>
      <c r="C74" s="990"/>
      <c r="D74" s="990"/>
      <c r="E74" s="990"/>
      <c r="F74" s="978">
        <v>0.05</v>
      </c>
    </row>
    <row r="75" spans="1:6" ht="14.25" thickBot="1">
      <c r="A75" s="789" t="s">
        <v>137</v>
      </c>
      <c r="B75" s="785" t="s">
        <v>856</v>
      </c>
      <c r="C75" s="987"/>
      <c r="D75" s="987"/>
      <c r="E75" s="987"/>
      <c r="F75" s="980">
        <v>0.05</v>
      </c>
    </row>
    <row r="76" spans="1:6" ht="14.25" thickBot="1">
      <c r="A76" s="779" t="s">
        <v>523</v>
      </c>
      <c r="B76" s="780" t="s">
        <v>857</v>
      </c>
      <c r="C76" s="975">
        <v>0.1</v>
      </c>
      <c r="D76" s="975">
        <v>0.1</v>
      </c>
      <c r="E76" s="975">
        <v>0.1</v>
      </c>
      <c r="F76" s="976">
        <v>0.1</v>
      </c>
    </row>
    <row r="77" spans="1:6" ht="14.25" thickBot="1">
      <c r="A77" s="779" t="s">
        <v>523</v>
      </c>
      <c r="B77" s="773" t="s">
        <v>191</v>
      </c>
      <c r="C77" s="977">
        <v>8.7999999999999995E-2</v>
      </c>
      <c r="D77" s="977">
        <v>8.6999999999999994E-2</v>
      </c>
      <c r="E77" s="977">
        <v>7.9000000000000001E-2</v>
      </c>
      <c r="F77" s="978">
        <v>0.1</v>
      </c>
    </row>
    <row r="78" spans="1:6" ht="14.25" thickBot="1">
      <c r="A78" s="779" t="s">
        <v>523</v>
      </c>
      <c r="B78" s="773" t="s">
        <v>204</v>
      </c>
      <c r="C78" s="977">
        <v>8.6999999999999994E-2</v>
      </c>
      <c r="D78" s="977">
        <v>8.4000000000000005E-2</v>
      </c>
      <c r="E78" s="977">
        <v>9.6000000000000002E-2</v>
      </c>
      <c r="F78" s="978">
        <v>0.1</v>
      </c>
    </row>
    <row r="79" spans="1:6" ht="14.25" thickBot="1">
      <c r="A79" s="779" t="s">
        <v>523</v>
      </c>
      <c r="B79" s="773" t="s">
        <v>217</v>
      </c>
      <c r="C79" s="977">
        <v>9.8000000000000004E-2</v>
      </c>
      <c r="D79" s="977">
        <v>9.8000000000000004E-2</v>
      </c>
      <c r="E79" s="977">
        <v>9.0999999999999998E-2</v>
      </c>
      <c r="F79" s="978">
        <v>0.1</v>
      </c>
    </row>
    <row r="80" spans="1:6" ht="14.25" thickBot="1">
      <c r="A80" s="779" t="s">
        <v>523</v>
      </c>
      <c r="B80" s="773" t="s">
        <v>229</v>
      </c>
      <c r="C80" s="977">
        <v>9.6000000000000002E-2</v>
      </c>
      <c r="D80" s="977">
        <v>9.6000000000000002E-2</v>
      </c>
      <c r="E80" s="977">
        <v>0.1</v>
      </c>
      <c r="F80" s="978">
        <v>0.1</v>
      </c>
    </row>
    <row r="81" spans="1:6" ht="14.25" thickBot="1">
      <c r="A81" s="779" t="s">
        <v>523</v>
      </c>
      <c r="B81" s="773" t="s">
        <v>240</v>
      </c>
      <c r="C81" s="977">
        <v>9.9000000000000005E-2</v>
      </c>
      <c r="D81" s="977">
        <v>9.9000000000000005E-2</v>
      </c>
      <c r="E81" s="977">
        <v>9.8000000000000004E-2</v>
      </c>
      <c r="F81" s="978">
        <v>0.1</v>
      </c>
    </row>
    <row r="82" spans="1:6" ht="14.25" thickBot="1">
      <c r="A82" s="779" t="s">
        <v>523</v>
      </c>
      <c r="B82" s="773" t="s">
        <v>251</v>
      </c>
      <c r="C82" s="977">
        <v>9.9000000000000005E-2</v>
      </c>
      <c r="D82" s="977">
        <v>9.9000000000000005E-2</v>
      </c>
      <c r="E82" s="977">
        <v>9.7000000000000003E-2</v>
      </c>
      <c r="F82" s="978">
        <v>0.1</v>
      </c>
    </row>
    <row r="83" spans="1:6" ht="14.25" thickBot="1">
      <c r="A83" s="779" t="s">
        <v>523</v>
      </c>
      <c r="B83" s="773" t="s">
        <v>262</v>
      </c>
      <c r="C83" s="977">
        <v>9.8000000000000004E-2</v>
      </c>
      <c r="D83" s="977">
        <v>9.8000000000000004E-2</v>
      </c>
      <c r="E83" s="977">
        <v>9.8000000000000004E-2</v>
      </c>
      <c r="F83" s="978">
        <v>0.1</v>
      </c>
    </row>
    <row r="84" spans="1:6" ht="14.25" thickBot="1">
      <c r="A84" s="779" t="s">
        <v>523</v>
      </c>
      <c r="B84" s="773" t="s">
        <v>274</v>
      </c>
      <c r="C84" s="977">
        <v>9.9000000000000005E-2</v>
      </c>
      <c r="D84" s="977">
        <v>9.9000000000000005E-2</v>
      </c>
      <c r="E84" s="977">
        <v>9.9000000000000005E-2</v>
      </c>
      <c r="F84" s="978">
        <v>0.1</v>
      </c>
    </row>
    <row r="85" spans="1:6" ht="14.25" thickBot="1">
      <c r="A85" s="779" t="s">
        <v>523</v>
      </c>
      <c r="B85" s="773" t="s">
        <v>284</v>
      </c>
      <c r="C85" s="977">
        <v>9.9000000000000005E-2</v>
      </c>
      <c r="D85" s="977">
        <v>9.9000000000000005E-2</v>
      </c>
      <c r="E85" s="977">
        <v>9.9000000000000005E-2</v>
      </c>
      <c r="F85" s="978">
        <v>0.1</v>
      </c>
    </row>
    <row r="86" spans="1:6" ht="14.25" thickBot="1">
      <c r="A86" s="779" t="s">
        <v>523</v>
      </c>
      <c r="B86" s="773" t="s">
        <v>294</v>
      </c>
      <c r="C86" s="977">
        <v>0.1</v>
      </c>
      <c r="D86" s="977">
        <v>0.1</v>
      </c>
      <c r="E86" s="977">
        <v>7.6999999999999999E-2</v>
      </c>
      <c r="F86" s="978">
        <v>0.1</v>
      </c>
    </row>
    <row r="87" spans="1:6" ht="14.25" thickBot="1">
      <c r="A87" s="779" t="s">
        <v>523</v>
      </c>
      <c r="B87" s="773" t="s">
        <v>304</v>
      </c>
      <c r="C87" s="977">
        <v>0.1</v>
      </c>
      <c r="D87" s="977">
        <v>0.1</v>
      </c>
      <c r="E87" s="977">
        <v>9.8000000000000004E-2</v>
      </c>
      <c r="F87" s="989"/>
    </row>
    <row r="88" spans="1:6" ht="14.25" thickBot="1">
      <c r="A88" s="779" t="s">
        <v>523</v>
      </c>
      <c r="B88" s="773" t="s">
        <v>314</v>
      </c>
      <c r="C88" s="977">
        <v>9.1999999999999998E-2</v>
      </c>
      <c r="D88" s="977">
        <v>8.5000000000000006E-2</v>
      </c>
      <c r="E88" s="977">
        <v>9.6000000000000002E-2</v>
      </c>
      <c r="F88" s="989"/>
    </row>
    <row r="89" spans="1:6" ht="14.25" thickBot="1">
      <c r="A89" s="779" t="s">
        <v>523</v>
      </c>
      <c r="B89" s="773" t="s">
        <v>325</v>
      </c>
      <c r="C89" s="977">
        <v>0.1</v>
      </c>
      <c r="D89" s="977">
        <v>0.1</v>
      </c>
      <c r="E89" s="977">
        <v>9.7000000000000003E-2</v>
      </c>
      <c r="F89" s="989"/>
    </row>
    <row r="90" spans="1:6" ht="14.25" thickBot="1">
      <c r="A90" s="779" t="s">
        <v>523</v>
      </c>
      <c r="B90" s="773" t="s">
        <v>336</v>
      </c>
      <c r="C90" s="977">
        <v>9.8000000000000004E-2</v>
      </c>
      <c r="D90" s="977">
        <v>9.8000000000000004E-2</v>
      </c>
      <c r="E90" s="977">
        <v>8.7999999999999995E-2</v>
      </c>
      <c r="F90" s="989"/>
    </row>
    <row r="91" spans="1:6" ht="14.25" thickBot="1">
      <c r="A91" s="779" t="s">
        <v>523</v>
      </c>
      <c r="B91" s="773" t="s">
        <v>346</v>
      </c>
      <c r="C91" s="977">
        <v>9.9000000000000005E-2</v>
      </c>
      <c r="D91" s="977">
        <v>9.9000000000000005E-2</v>
      </c>
      <c r="E91" s="977">
        <v>9.0999999999999998E-2</v>
      </c>
      <c r="F91" s="989"/>
    </row>
    <row r="92" spans="1:6" ht="14.25" thickBot="1">
      <c r="A92" s="779" t="s">
        <v>523</v>
      </c>
      <c r="B92" s="773" t="s">
        <v>356</v>
      </c>
      <c r="C92" s="977">
        <v>9.6000000000000002E-2</v>
      </c>
      <c r="D92" s="977">
        <v>9.6000000000000002E-2</v>
      </c>
      <c r="E92" s="977">
        <v>7.2999999999999995E-2</v>
      </c>
      <c r="F92" s="989"/>
    </row>
    <row r="93" spans="1:6" ht="14.25" thickBot="1">
      <c r="A93" s="779" t="s">
        <v>523</v>
      </c>
      <c r="B93" s="773" t="s">
        <v>366</v>
      </c>
      <c r="C93" s="977">
        <v>9.6000000000000002E-2</v>
      </c>
      <c r="D93" s="977">
        <v>9.6000000000000002E-2</v>
      </c>
      <c r="E93" s="977">
        <v>9.9000000000000005E-2</v>
      </c>
      <c r="F93" s="989"/>
    </row>
    <row r="94" spans="1:6" ht="14.25" thickBot="1">
      <c r="A94" s="779" t="s">
        <v>523</v>
      </c>
      <c r="B94" s="773" t="s">
        <v>376</v>
      </c>
      <c r="C94" s="977">
        <v>7.5999999999999998E-2</v>
      </c>
      <c r="D94" s="977">
        <v>7.3999999999999996E-2</v>
      </c>
      <c r="E94" s="977">
        <v>9.7000000000000003E-2</v>
      </c>
      <c r="F94" s="989"/>
    </row>
    <row r="95" spans="1:6" ht="14.25" thickBot="1">
      <c r="A95" s="779" t="s">
        <v>523</v>
      </c>
      <c r="B95" s="773" t="s">
        <v>385</v>
      </c>
      <c r="C95" s="977">
        <v>9.9000000000000005E-2</v>
      </c>
      <c r="D95" s="977">
        <v>9.4E-2</v>
      </c>
      <c r="E95" s="977">
        <v>9.6000000000000002E-2</v>
      </c>
      <c r="F95" s="989"/>
    </row>
    <row r="96" spans="1:6" ht="14.25" thickBot="1">
      <c r="A96" s="779" t="s">
        <v>523</v>
      </c>
      <c r="B96" s="773" t="s">
        <v>394</v>
      </c>
      <c r="C96" s="977">
        <v>9.9000000000000005E-2</v>
      </c>
      <c r="D96" s="977">
        <v>9.9000000000000005E-2</v>
      </c>
      <c r="E96" s="977">
        <v>9.9000000000000005E-2</v>
      </c>
      <c r="F96" s="989"/>
    </row>
    <row r="97" spans="1:6" ht="14.25" thickBot="1">
      <c r="A97" s="779" t="s">
        <v>523</v>
      </c>
      <c r="B97" s="773" t="s">
        <v>402</v>
      </c>
      <c r="C97" s="977">
        <v>9.8000000000000004E-2</v>
      </c>
      <c r="D97" s="977">
        <v>9.8000000000000004E-2</v>
      </c>
      <c r="E97" s="977">
        <v>9.7000000000000003E-2</v>
      </c>
      <c r="F97" s="989"/>
    </row>
    <row r="98" spans="1:6" ht="14.25" thickBot="1">
      <c r="A98" s="779" t="s">
        <v>523</v>
      </c>
      <c r="B98" s="773" t="s">
        <v>409</v>
      </c>
      <c r="C98" s="977">
        <v>0.1</v>
      </c>
      <c r="D98" s="977">
        <v>0.1</v>
      </c>
      <c r="E98" s="977">
        <v>9.7000000000000003E-2</v>
      </c>
      <c r="F98" s="989"/>
    </row>
    <row r="99" spans="1:6" ht="14.25" thickBot="1">
      <c r="A99" s="779" t="s">
        <v>523</v>
      </c>
      <c r="B99" s="773" t="s">
        <v>416</v>
      </c>
      <c r="C99" s="977">
        <v>0.1</v>
      </c>
      <c r="D99" s="977">
        <v>0.1</v>
      </c>
      <c r="E99" s="990"/>
      <c r="F99" s="989"/>
    </row>
    <row r="100" spans="1:6" ht="14.25" thickBot="1">
      <c r="A100" s="779" t="s">
        <v>523</v>
      </c>
      <c r="B100" s="773" t="s">
        <v>423</v>
      </c>
      <c r="C100" s="977">
        <v>0.09</v>
      </c>
      <c r="D100" s="977">
        <v>8.8999999999999996E-2</v>
      </c>
      <c r="E100" s="990"/>
      <c r="F100" s="989"/>
    </row>
    <row r="101" spans="1:6" ht="14.25" thickBot="1">
      <c r="A101" s="779" t="s">
        <v>523</v>
      </c>
      <c r="B101" s="773" t="s">
        <v>430</v>
      </c>
      <c r="C101" s="977">
        <v>9.8000000000000004E-2</v>
      </c>
      <c r="D101" s="977">
        <v>9.7000000000000003E-2</v>
      </c>
      <c r="E101" s="990"/>
      <c r="F101" s="989"/>
    </row>
    <row r="102" spans="1:6" ht="14.25" thickBot="1">
      <c r="A102" s="779" t="s">
        <v>523</v>
      </c>
      <c r="B102" s="773" t="s">
        <v>858</v>
      </c>
      <c r="C102" s="990"/>
      <c r="D102" s="990"/>
      <c r="E102" s="990"/>
      <c r="F102" s="978">
        <v>0.05</v>
      </c>
    </row>
    <row r="103" spans="1:6" ht="24.75" thickBot="1">
      <c r="A103" s="779" t="s">
        <v>523</v>
      </c>
      <c r="B103" s="773" t="s">
        <v>859</v>
      </c>
      <c r="C103" s="990"/>
      <c r="D103" s="990"/>
      <c r="E103" s="990"/>
      <c r="F103" s="978">
        <v>0.05</v>
      </c>
    </row>
    <row r="104" spans="1:6" ht="14.25" thickBot="1">
      <c r="A104" s="779" t="s">
        <v>523</v>
      </c>
      <c r="B104" s="773" t="s">
        <v>860</v>
      </c>
      <c r="C104" s="990"/>
      <c r="D104" s="990"/>
      <c r="E104" s="990"/>
      <c r="F104" s="978">
        <v>0.05</v>
      </c>
    </row>
    <row r="105" spans="1:6" ht="14.25" thickBot="1">
      <c r="A105" s="779" t="s">
        <v>523</v>
      </c>
      <c r="B105" s="773" t="s">
        <v>861</v>
      </c>
      <c r="C105" s="990"/>
      <c r="D105" s="990"/>
      <c r="E105" s="990"/>
      <c r="F105" s="978">
        <v>0.05</v>
      </c>
    </row>
    <row r="106" spans="1:6" ht="14.25" thickBot="1">
      <c r="A106" s="779" t="s">
        <v>523</v>
      </c>
      <c r="B106" s="773" t="s">
        <v>862</v>
      </c>
      <c r="C106" s="990"/>
      <c r="D106" s="990"/>
      <c r="E106" s="990"/>
      <c r="F106" s="978">
        <v>0.05</v>
      </c>
    </row>
    <row r="107" spans="1:6" ht="24.75" thickBot="1">
      <c r="A107" s="779" t="s">
        <v>523</v>
      </c>
      <c r="B107" s="773" t="s">
        <v>863</v>
      </c>
      <c r="C107" s="990"/>
      <c r="D107" s="990"/>
      <c r="E107" s="990"/>
      <c r="F107" s="978">
        <v>0.05</v>
      </c>
    </row>
    <row r="108" spans="1:6" ht="24.75" thickBot="1">
      <c r="A108" s="779" t="s">
        <v>523</v>
      </c>
      <c r="B108" s="773" t="s">
        <v>864</v>
      </c>
      <c r="C108" s="990"/>
      <c r="D108" s="990"/>
      <c r="E108" s="990"/>
      <c r="F108" s="978">
        <v>0.05</v>
      </c>
    </row>
    <row r="109" spans="1:6" ht="24.75" thickBot="1">
      <c r="A109" s="789" t="s">
        <v>523</v>
      </c>
      <c r="B109" s="785" t="s">
        <v>865</v>
      </c>
      <c r="C109" s="987"/>
      <c r="D109" s="987"/>
      <c r="E109" s="987"/>
      <c r="F109" s="980">
        <v>0.05</v>
      </c>
    </row>
    <row r="110" spans="1:6" ht="14.25" thickBot="1">
      <c r="A110" s="779" t="s">
        <v>56</v>
      </c>
      <c r="B110" s="780" t="s">
        <v>866</v>
      </c>
      <c r="C110" s="975">
        <v>0.129</v>
      </c>
      <c r="D110" s="975">
        <v>0.129</v>
      </c>
      <c r="E110" s="975">
        <v>0.126</v>
      </c>
      <c r="F110" s="976">
        <v>0.13</v>
      </c>
    </row>
    <row r="111" spans="1:6" ht="14.25" thickBot="1">
      <c r="A111" s="779" t="s">
        <v>56</v>
      </c>
      <c r="B111" s="773" t="s">
        <v>192</v>
      </c>
      <c r="C111" s="977">
        <v>0.11</v>
      </c>
      <c r="D111" s="977">
        <v>0.11</v>
      </c>
      <c r="E111" s="977">
        <v>9.9000000000000005E-2</v>
      </c>
      <c r="F111" s="978">
        <v>0.128</v>
      </c>
    </row>
    <row r="112" spans="1:6" ht="14.25" thickBot="1">
      <c r="A112" s="779" t="s">
        <v>56</v>
      </c>
      <c r="B112" s="773" t="s">
        <v>205</v>
      </c>
      <c r="C112" s="977">
        <v>0.125</v>
      </c>
      <c r="D112" s="977">
        <v>0.125</v>
      </c>
      <c r="E112" s="977">
        <v>0.12</v>
      </c>
      <c r="F112" s="978">
        <v>0.125</v>
      </c>
    </row>
    <row r="113" spans="1:6" ht="14.25" thickBot="1">
      <c r="A113" s="779" t="s">
        <v>56</v>
      </c>
      <c r="B113" s="773" t="s">
        <v>218</v>
      </c>
      <c r="C113" s="977">
        <v>0.13</v>
      </c>
      <c r="D113" s="977">
        <v>0.13</v>
      </c>
      <c r="E113" s="977">
        <v>0.13</v>
      </c>
      <c r="F113" s="978">
        <v>0.13</v>
      </c>
    </row>
    <row r="114" spans="1:6" ht="14.25" thickBot="1">
      <c r="A114" s="779" t="s">
        <v>56</v>
      </c>
      <c r="B114" s="773" t="s">
        <v>230</v>
      </c>
      <c r="C114" s="977">
        <v>0.123</v>
      </c>
      <c r="D114" s="977">
        <v>0.123</v>
      </c>
      <c r="E114" s="977">
        <v>0.12</v>
      </c>
      <c r="F114" s="978">
        <v>0.13</v>
      </c>
    </row>
    <row r="115" spans="1:6" ht="14.25" thickBot="1">
      <c r="A115" s="779" t="s">
        <v>56</v>
      </c>
      <c r="B115" s="773" t="s">
        <v>241</v>
      </c>
      <c r="C115" s="977">
        <v>0.125</v>
      </c>
      <c r="D115" s="977">
        <v>0.125</v>
      </c>
      <c r="E115" s="977">
        <v>0.11700000000000001</v>
      </c>
      <c r="F115" s="978">
        <v>0.13</v>
      </c>
    </row>
    <row r="116" spans="1:6" ht="14.25" thickBot="1">
      <c r="A116" s="779" t="s">
        <v>56</v>
      </c>
      <c r="B116" s="773" t="s">
        <v>252</v>
      </c>
      <c r="C116" s="977">
        <v>0.11700000000000001</v>
      </c>
      <c r="D116" s="977">
        <v>0.11700000000000001</v>
      </c>
      <c r="E116" s="977">
        <v>8.7999999999999995E-2</v>
      </c>
      <c r="F116" s="978">
        <v>0.13</v>
      </c>
    </row>
    <row r="117" spans="1:6" ht="14.25" thickBot="1">
      <c r="A117" s="779" t="s">
        <v>56</v>
      </c>
      <c r="B117" s="773" t="s">
        <v>263</v>
      </c>
      <c r="C117" s="977">
        <v>0.13</v>
      </c>
      <c r="D117" s="977">
        <v>0.13</v>
      </c>
      <c r="E117" s="977">
        <v>0.129</v>
      </c>
      <c r="F117" s="978">
        <v>0.13</v>
      </c>
    </row>
    <row r="118" spans="1:6" ht="14.25" thickBot="1">
      <c r="A118" s="779" t="s">
        <v>56</v>
      </c>
      <c r="B118" s="773" t="s">
        <v>275</v>
      </c>
      <c r="C118" s="977">
        <v>0.123</v>
      </c>
      <c r="D118" s="977">
        <v>0.123</v>
      </c>
      <c r="E118" s="977">
        <v>0.11600000000000001</v>
      </c>
      <c r="F118" s="978">
        <v>0.13</v>
      </c>
    </row>
    <row r="119" spans="1:6" ht="14.25" thickBot="1">
      <c r="A119" s="779" t="s">
        <v>56</v>
      </c>
      <c r="B119" s="773" t="s">
        <v>285</v>
      </c>
      <c r="C119" s="977">
        <v>0.127</v>
      </c>
      <c r="D119" s="977">
        <v>0.127</v>
      </c>
      <c r="E119" s="977">
        <v>0.124</v>
      </c>
      <c r="F119" s="978">
        <v>0.13</v>
      </c>
    </row>
    <row r="120" spans="1:6" ht="14.25" thickBot="1">
      <c r="A120" s="779" t="s">
        <v>56</v>
      </c>
      <c r="B120" s="773" t="s">
        <v>295</v>
      </c>
      <c r="C120" s="977">
        <v>0.125</v>
      </c>
      <c r="D120" s="977">
        <v>0.125</v>
      </c>
      <c r="E120" s="977">
        <v>0.122</v>
      </c>
      <c r="F120" s="978">
        <v>0.13</v>
      </c>
    </row>
    <row r="121" spans="1:6" ht="14.25" thickBot="1">
      <c r="A121" s="779" t="s">
        <v>56</v>
      </c>
      <c r="B121" s="773" t="s">
        <v>305</v>
      </c>
      <c r="C121" s="977">
        <v>0.13</v>
      </c>
      <c r="D121" s="977">
        <v>0.13</v>
      </c>
      <c r="E121" s="977">
        <v>0.13</v>
      </c>
      <c r="F121" s="978">
        <v>0.13</v>
      </c>
    </row>
    <row r="122" spans="1:6" ht="14.25" thickBot="1">
      <c r="A122" s="779" t="s">
        <v>56</v>
      </c>
      <c r="B122" s="773" t="s">
        <v>315</v>
      </c>
      <c r="C122" s="977">
        <v>0.13</v>
      </c>
      <c r="D122" s="977">
        <v>0.13</v>
      </c>
      <c r="E122" s="977">
        <v>0.125</v>
      </c>
      <c r="F122" s="978">
        <v>0.13</v>
      </c>
    </row>
    <row r="123" spans="1:6" ht="14.25" thickBot="1">
      <c r="A123" s="779" t="s">
        <v>56</v>
      </c>
      <c r="B123" s="773" t="s">
        <v>326</v>
      </c>
      <c r="C123" s="977">
        <v>0.129</v>
      </c>
      <c r="D123" s="977">
        <v>0.129</v>
      </c>
      <c r="E123" s="977">
        <v>0.123</v>
      </c>
      <c r="F123" s="978">
        <v>0.13</v>
      </c>
    </row>
    <row r="124" spans="1:6" ht="14.25" thickBot="1">
      <c r="A124" s="779" t="s">
        <v>56</v>
      </c>
      <c r="B124" s="773" t="s">
        <v>337</v>
      </c>
      <c r="C124" s="977">
        <v>0.10199999999999999</v>
      </c>
      <c r="D124" s="977">
        <v>0.10100000000000001</v>
      </c>
      <c r="E124" s="977">
        <v>0.08</v>
      </c>
      <c r="F124" s="989"/>
    </row>
    <row r="125" spans="1:6" ht="14.25" thickBot="1">
      <c r="A125" s="779" t="s">
        <v>56</v>
      </c>
      <c r="B125" s="773" t="s">
        <v>347</v>
      </c>
      <c r="C125" s="977">
        <v>0.13</v>
      </c>
      <c r="D125" s="977">
        <v>0.13</v>
      </c>
      <c r="E125" s="977">
        <v>0.129</v>
      </c>
      <c r="F125" s="989"/>
    </row>
    <row r="126" spans="1:6" ht="14.25" thickBot="1">
      <c r="A126" s="779" t="s">
        <v>56</v>
      </c>
      <c r="B126" s="773" t="s">
        <v>357</v>
      </c>
      <c r="C126" s="977">
        <v>0.13</v>
      </c>
      <c r="D126" s="977">
        <v>0.13</v>
      </c>
      <c r="E126" s="977">
        <v>0.126</v>
      </c>
      <c r="F126" s="989"/>
    </row>
    <row r="127" spans="1:6" ht="14.25" thickBot="1">
      <c r="A127" s="779" t="s">
        <v>56</v>
      </c>
      <c r="B127" s="773" t="s">
        <v>367</v>
      </c>
      <c r="C127" s="977">
        <v>0.125</v>
      </c>
      <c r="D127" s="977">
        <v>0.125</v>
      </c>
      <c r="E127" s="977">
        <v>0.121</v>
      </c>
      <c r="F127" s="989"/>
    </row>
    <row r="128" spans="1:6" ht="14.25" thickBot="1">
      <c r="A128" s="779" t="s">
        <v>56</v>
      </c>
      <c r="B128" s="773" t="s">
        <v>377</v>
      </c>
      <c r="C128" s="977">
        <v>0.12</v>
      </c>
      <c r="D128" s="977">
        <v>0.12</v>
      </c>
      <c r="E128" s="977">
        <v>0.105</v>
      </c>
      <c r="F128" s="989"/>
    </row>
    <row r="129" spans="1:6" ht="14.25" thickBot="1">
      <c r="A129" s="779" t="s">
        <v>56</v>
      </c>
      <c r="B129" s="773" t="s">
        <v>386</v>
      </c>
      <c r="C129" s="977">
        <v>0.13</v>
      </c>
      <c r="D129" s="977">
        <v>0.13</v>
      </c>
      <c r="E129" s="977">
        <v>0.126</v>
      </c>
      <c r="F129" s="989"/>
    </row>
    <row r="130" spans="1:6" ht="14.25" thickBot="1">
      <c r="A130" s="779" t="s">
        <v>56</v>
      </c>
      <c r="B130" s="773" t="s">
        <v>395</v>
      </c>
      <c r="C130" s="977">
        <v>0.125</v>
      </c>
      <c r="D130" s="977">
        <v>0.125</v>
      </c>
      <c r="E130" s="977">
        <v>0.122</v>
      </c>
      <c r="F130" s="989"/>
    </row>
    <row r="131" spans="1:6" ht="14.25" thickBot="1">
      <c r="A131" s="779" t="s">
        <v>56</v>
      </c>
      <c r="B131" s="773" t="s">
        <v>403</v>
      </c>
      <c r="C131" s="977">
        <v>0.127</v>
      </c>
      <c r="D131" s="977">
        <v>0.126</v>
      </c>
      <c r="E131" s="977">
        <v>0.123</v>
      </c>
      <c r="F131" s="989"/>
    </row>
    <row r="132" spans="1:6" ht="14.25" thickBot="1">
      <c r="A132" s="779" t="s">
        <v>56</v>
      </c>
      <c r="B132" s="773" t="s">
        <v>410</v>
      </c>
      <c r="C132" s="977">
        <v>9.0999999999999998E-2</v>
      </c>
      <c r="D132" s="977">
        <v>0.121</v>
      </c>
      <c r="E132" s="977">
        <v>9.9000000000000005E-2</v>
      </c>
      <c r="F132" s="989"/>
    </row>
    <row r="133" spans="1:6" ht="14.25" thickBot="1">
      <c r="A133" s="779" t="s">
        <v>56</v>
      </c>
      <c r="B133" s="773" t="s">
        <v>417</v>
      </c>
      <c r="C133" s="977">
        <v>0.13</v>
      </c>
      <c r="D133" s="977">
        <v>0.13</v>
      </c>
      <c r="E133" s="977">
        <v>0.129</v>
      </c>
      <c r="F133" s="989"/>
    </row>
    <row r="134" spans="1:6" ht="14.25" thickBot="1">
      <c r="A134" s="779" t="s">
        <v>56</v>
      </c>
      <c r="B134" s="773" t="s">
        <v>867</v>
      </c>
      <c r="C134" s="977">
        <v>6.8000000000000005E-2</v>
      </c>
      <c r="D134" s="977">
        <v>6.5000000000000002E-2</v>
      </c>
      <c r="E134" s="977">
        <v>6.5000000000000002E-2</v>
      </c>
      <c r="F134" s="978">
        <v>0.13</v>
      </c>
    </row>
    <row r="135" spans="1:6" ht="14.25" thickBot="1">
      <c r="A135" s="779" t="s">
        <v>56</v>
      </c>
      <c r="B135" s="773" t="s">
        <v>431</v>
      </c>
      <c r="C135" s="977">
        <v>0.123</v>
      </c>
      <c r="D135" s="977">
        <v>0.123</v>
      </c>
      <c r="E135" s="977">
        <v>0.11</v>
      </c>
      <c r="F135" s="989"/>
    </row>
    <row r="136" spans="1:6" ht="14.25" thickBot="1">
      <c r="A136" s="779" t="s">
        <v>56</v>
      </c>
      <c r="B136" s="773" t="s">
        <v>438</v>
      </c>
      <c r="C136" s="977">
        <v>0.13</v>
      </c>
      <c r="D136" s="977">
        <v>0.13</v>
      </c>
      <c r="E136" s="977">
        <v>0.125</v>
      </c>
      <c r="F136" s="989"/>
    </row>
    <row r="137" spans="1:6" ht="14.25" thickBot="1">
      <c r="A137" s="779" t="s">
        <v>56</v>
      </c>
      <c r="B137" s="773" t="s">
        <v>445</v>
      </c>
      <c r="C137" s="977">
        <v>0.121</v>
      </c>
      <c r="D137" s="977">
        <v>0.122</v>
      </c>
      <c r="E137" s="977">
        <v>0.115</v>
      </c>
      <c r="F137" s="989"/>
    </row>
    <row r="138" spans="1:6" ht="14.25" thickBot="1">
      <c r="A138" s="779" t="s">
        <v>56</v>
      </c>
      <c r="B138" s="773" t="s">
        <v>868</v>
      </c>
      <c r="C138" s="977">
        <v>0.105</v>
      </c>
      <c r="D138" s="977">
        <v>0.125</v>
      </c>
      <c r="E138" s="977">
        <v>0.112</v>
      </c>
      <c r="F138" s="989"/>
    </row>
    <row r="139" spans="1:6" ht="14.25" thickBot="1">
      <c r="A139" s="779" t="s">
        <v>56</v>
      </c>
      <c r="B139" s="773" t="s">
        <v>869</v>
      </c>
      <c r="C139" s="977">
        <v>0.127</v>
      </c>
      <c r="D139" s="977">
        <v>0.127</v>
      </c>
      <c r="E139" s="977">
        <v>0.122</v>
      </c>
      <c r="F139" s="978">
        <v>0.13</v>
      </c>
    </row>
    <row r="140" spans="1:6" ht="14.25" thickBot="1">
      <c r="A140" s="779" t="s">
        <v>56</v>
      </c>
      <c r="B140" s="773" t="s">
        <v>870</v>
      </c>
      <c r="C140" s="977">
        <v>0.125</v>
      </c>
      <c r="D140" s="977">
        <v>0.125</v>
      </c>
      <c r="E140" s="977">
        <v>0.11899999999999999</v>
      </c>
      <c r="F140" s="978">
        <v>0.13</v>
      </c>
    </row>
    <row r="141" spans="1:6" ht="14.25" thickBot="1">
      <c r="A141" s="779" t="s">
        <v>56</v>
      </c>
      <c r="B141" s="773" t="s">
        <v>464</v>
      </c>
      <c r="C141" s="977">
        <v>0.125</v>
      </c>
      <c r="D141" s="977">
        <v>0.125</v>
      </c>
      <c r="E141" s="977">
        <v>0.11700000000000001</v>
      </c>
      <c r="F141" s="989"/>
    </row>
    <row r="142" spans="1:6" ht="14.25" thickBot="1">
      <c r="A142" s="779" t="s">
        <v>56</v>
      </c>
      <c r="B142" s="773" t="s">
        <v>469</v>
      </c>
      <c r="C142" s="977">
        <v>0.125</v>
      </c>
      <c r="D142" s="977">
        <v>0.125</v>
      </c>
      <c r="E142" s="977">
        <v>0.115</v>
      </c>
      <c r="F142" s="989"/>
    </row>
    <row r="143" spans="1:6" ht="14.25" thickBot="1">
      <c r="A143" s="779" t="s">
        <v>56</v>
      </c>
      <c r="B143" s="773" t="s">
        <v>474</v>
      </c>
      <c r="C143" s="977">
        <v>0.121</v>
      </c>
      <c r="D143" s="977">
        <v>0.121</v>
      </c>
      <c r="E143" s="977">
        <v>0.108</v>
      </c>
      <c r="F143" s="989"/>
    </row>
    <row r="144" spans="1:6" ht="14.25" thickBot="1">
      <c r="A144" s="779" t="s">
        <v>56</v>
      </c>
      <c r="B144" s="981" t="s">
        <v>871</v>
      </c>
      <c r="C144" s="982">
        <v>0.126</v>
      </c>
      <c r="D144" s="982">
        <v>0.126</v>
      </c>
      <c r="E144" s="982">
        <v>0.121</v>
      </c>
      <c r="F144" s="989"/>
    </row>
    <row r="145" spans="1:6" ht="14.25" thickBot="1">
      <c r="A145" s="789" t="s">
        <v>56</v>
      </c>
      <c r="B145" s="983" t="s">
        <v>872</v>
      </c>
      <c r="C145" s="991"/>
      <c r="D145" s="991"/>
      <c r="E145" s="991"/>
      <c r="F145" s="984">
        <v>0.05</v>
      </c>
    </row>
    <row r="146" spans="1:6" ht="24.75" thickBot="1">
      <c r="A146" s="985" t="s">
        <v>56</v>
      </c>
      <c r="B146" s="783" t="s">
        <v>873</v>
      </c>
      <c r="C146" s="990"/>
      <c r="D146" s="990"/>
      <c r="E146" s="990"/>
      <c r="F146" s="986">
        <v>0.05</v>
      </c>
    </row>
    <row r="147" spans="1:6" ht="24.75" thickBot="1">
      <c r="A147" s="779" t="s">
        <v>56</v>
      </c>
      <c r="B147" s="773" t="s">
        <v>874</v>
      </c>
      <c r="C147" s="990"/>
      <c r="D147" s="990"/>
      <c r="E147" s="990"/>
      <c r="F147" s="978">
        <v>0.05</v>
      </c>
    </row>
    <row r="148" spans="1:6" ht="24.75" thickBot="1">
      <c r="A148" s="779" t="s">
        <v>56</v>
      </c>
      <c r="B148" s="773" t="s">
        <v>875</v>
      </c>
      <c r="C148" s="990"/>
      <c r="D148" s="990"/>
      <c r="E148" s="990"/>
      <c r="F148" s="978">
        <v>0.05</v>
      </c>
    </row>
    <row r="149" spans="1:6" ht="24.75" thickBot="1">
      <c r="A149" s="779" t="s">
        <v>56</v>
      </c>
      <c r="B149" s="773" t="s">
        <v>876</v>
      </c>
      <c r="C149" s="990"/>
      <c r="D149" s="990"/>
      <c r="E149" s="990"/>
      <c r="F149" s="978">
        <v>0.05</v>
      </c>
    </row>
    <row r="150" spans="1:6" ht="24.75" thickBot="1">
      <c r="A150" s="779" t="s">
        <v>56</v>
      </c>
      <c r="B150" s="773" t="s">
        <v>877</v>
      </c>
      <c r="C150" s="990"/>
      <c r="D150" s="990"/>
      <c r="E150" s="990"/>
      <c r="F150" s="978">
        <v>0.05</v>
      </c>
    </row>
    <row r="151" spans="1:6" ht="24.75" thickBot="1">
      <c r="A151" s="779" t="s">
        <v>56</v>
      </c>
      <c r="B151" s="773" t="s">
        <v>878</v>
      </c>
      <c r="C151" s="990"/>
      <c r="D151" s="990"/>
      <c r="E151" s="990"/>
      <c r="F151" s="978">
        <v>0.05</v>
      </c>
    </row>
    <row r="152" spans="1:6" ht="24.75" thickBot="1">
      <c r="A152" s="779" t="s">
        <v>56</v>
      </c>
      <c r="B152" s="773" t="s">
        <v>507</v>
      </c>
      <c r="C152" s="990"/>
      <c r="D152" s="990"/>
      <c r="E152" s="990"/>
      <c r="F152" s="978">
        <v>0.05</v>
      </c>
    </row>
    <row r="153" spans="1:6" ht="14.25" thickBot="1">
      <c r="A153" s="779" t="s">
        <v>56</v>
      </c>
      <c r="B153" s="773" t="s">
        <v>879</v>
      </c>
      <c r="C153" s="990"/>
      <c r="D153" s="990"/>
      <c r="E153" s="990"/>
      <c r="F153" s="978">
        <v>0.05</v>
      </c>
    </row>
    <row r="154" spans="1:6" ht="14.25" thickBot="1">
      <c r="A154" s="779" t="s">
        <v>56</v>
      </c>
      <c r="B154" s="773" t="s">
        <v>880</v>
      </c>
      <c r="C154" s="990"/>
      <c r="D154" s="990"/>
      <c r="E154" s="990"/>
      <c r="F154" s="978">
        <v>0.05</v>
      </c>
    </row>
    <row r="155" spans="1:6" ht="24.75" thickBot="1">
      <c r="A155" s="779" t="s">
        <v>56</v>
      </c>
      <c r="B155" s="773" t="s">
        <v>881</v>
      </c>
      <c r="C155" s="990"/>
      <c r="D155" s="990"/>
      <c r="E155" s="990"/>
      <c r="F155" s="978">
        <v>0.05</v>
      </c>
    </row>
    <row r="156" spans="1:6" ht="24.75" thickBot="1">
      <c r="A156" s="779" t="s">
        <v>56</v>
      </c>
      <c r="B156" s="773" t="s">
        <v>882</v>
      </c>
      <c r="C156" s="990"/>
      <c r="D156" s="990"/>
      <c r="E156" s="990"/>
      <c r="F156" s="978">
        <v>0.05</v>
      </c>
    </row>
    <row r="157" spans="1:6" ht="14.25" thickBot="1">
      <c r="A157" s="789" t="s">
        <v>56</v>
      </c>
      <c r="B157" s="785" t="s">
        <v>883</v>
      </c>
      <c r="C157" s="987"/>
      <c r="D157" s="987"/>
      <c r="E157" s="987"/>
      <c r="F157" s="980">
        <v>0.05</v>
      </c>
    </row>
    <row r="158" spans="1:6" ht="14.25" thickBot="1">
      <c r="A158" s="779" t="s">
        <v>526</v>
      </c>
      <c r="B158" s="780" t="s">
        <v>884</v>
      </c>
      <c r="C158" s="975">
        <v>0.13</v>
      </c>
      <c r="D158" s="975">
        <v>0.13</v>
      </c>
      <c r="E158" s="975">
        <v>0.13</v>
      </c>
      <c r="F158" s="976">
        <v>0.13</v>
      </c>
    </row>
    <row r="159" spans="1:6" ht="14.25" thickBot="1">
      <c r="A159" s="779" t="s">
        <v>526</v>
      </c>
      <c r="B159" s="773" t="s">
        <v>193</v>
      </c>
      <c r="C159" s="977">
        <v>0.13</v>
      </c>
      <c r="D159" s="977">
        <v>0.13</v>
      </c>
      <c r="E159" s="977">
        <v>0.13</v>
      </c>
      <c r="F159" s="978">
        <v>0.13</v>
      </c>
    </row>
    <row r="160" spans="1:6" ht="14.25" thickBot="1">
      <c r="A160" s="779" t="s">
        <v>526</v>
      </c>
      <c r="B160" s="773" t="s">
        <v>206</v>
      </c>
      <c r="C160" s="977">
        <v>0.13</v>
      </c>
      <c r="D160" s="977">
        <v>0.13</v>
      </c>
      <c r="E160" s="977">
        <v>0.129</v>
      </c>
      <c r="F160" s="978">
        <v>0.13</v>
      </c>
    </row>
    <row r="161" spans="1:6" ht="14.25" thickBot="1">
      <c r="A161" s="779" t="s">
        <v>526</v>
      </c>
      <c r="B161" s="773" t="s">
        <v>219</v>
      </c>
      <c r="C161" s="977">
        <v>0.128</v>
      </c>
      <c r="D161" s="977">
        <v>0.128</v>
      </c>
      <c r="E161" s="977">
        <v>0.125</v>
      </c>
      <c r="F161" s="978">
        <v>0.13</v>
      </c>
    </row>
    <row r="162" spans="1:6" ht="14.25" thickBot="1">
      <c r="A162" s="779" t="s">
        <v>526</v>
      </c>
      <c r="B162" s="773" t="s">
        <v>231</v>
      </c>
      <c r="C162" s="977">
        <v>0.122</v>
      </c>
      <c r="D162" s="977">
        <v>0.122</v>
      </c>
      <c r="E162" s="977">
        <v>0.126</v>
      </c>
      <c r="F162" s="978">
        <v>0.122</v>
      </c>
    </row>
    <row r="163" spans="1:6" ht="14.25" thickBot="1">
      <c r="A163" s="779" t="s">
        <v>526</v>
      </c>
      <c r="B163" s="773" t="s">
        <v>242</v>
      </c>
      <c r="C163" s="977">
        <v>0.13</v>
      </c>
      <c r="D163" s="977">
        <v>0.13</v>
      </c>
      <c r="E163" s="977">
        <v>0.125</v>
      </c>
      <c r="F163" s="978">
        <v>0.13</v>
      </c>
    </row>
    <row r="164" spans="1:6" ht="14.25" thickBot="1">
      <c r="A164" s="779" t="s">
        <v>526</v>
      </c>
      <c r="B164" s="773" t="s">
        <v>253</v>
      </c>
      <c r="C164" s="977">
        <v>0.13</v>
      </c>
      <c r="D164" s="977">
        <v>0.13</v>
      </c>
      <c r="E164" s="977">
        <v>0.13</v>
      </c>
      <c r="F164" s="978">
        <v>0.13</v>
      </c>
    </row>
    <row r="165" spans="1:6" ht="14.25" thickBot="1">
      <c r="A165" s="779" t="s">
        <v>526</v>
      </c>
      <c r="B165" s="773" t="s">
        <v>264</v>
      </c>
      <c r="C165" s="977">
        <v>0.13</v>
      </c>
      <c r="D165" s="977">
        <v>0.13</v>
      </c>
      <c r="E165" s="977">
        <v>0.124</v>
      </c>
      <c r="F165" s="978">
        <v>0.13</v>
      </c>
    </row>
    <row r="166" spans="1:6" ht="14.25" thickBot="1">
      <c r="A166" s="779" t="s">
        <v>526</v>
      </c>
      <c r="B166" s="773" t="s">
        <v>276</v>
      </c>
      <c r="C166" s="977">
        <v>0.13</v>
      </c>
      <c r="D166" s="977">
        <v>0.13</v>
      </c>
      <c r="E166" s="977">
        <v>0.13</v>
      </c>
      <c r="F166" s="978">
        <v>0.13</v>
      </c>
    </row>
    <row r="167" spans="1:6" ht="14.25" thickBot="1">
      <c r="A167" s="779" t="s">
        <v>526</v>
      </c>
      <c r="B167" s="773" t="s">
        <v>286</v>
      </c>
      <c r="C167" s="977">
        <v>0.125</v>
      </c>
      <c r="D167" s="977">
        <v>0.125</v>
      </c>
      <c r="E167" s="977">
        <v>0.121</v>
      </c>
      <c r="F167" s="989"/>
    </row>
    <row r="168" spans="1:6" ht="14.25" thickBot="1">
      <c r="A168" s="779" t="s">
        <v>526</v>
      </c>
      <c r="B168" s="773" t="s">
        <v>296</v>
      </c>
      <c r="C168" s="977">
        <v>0.13</v>
      </c>
      <c r="D168" s="977">
        <v>0.13</v>
      </c>
      <c r="E168" s="977">
        <v>0.126</v>
      </c>
      <c r="F168" s="989"/>
    </row>
    <row r="169" spans="1:6" ht="14.25" thickBot="1">
      <c r="A169" s="779" t="s">
        <v>526</v>
      </c>
      <c r="B169" s="773" t="s">
        <v>306</v>
      </c>
      <c r="C169" s="977">
        <v>0.128</v>
      </c>
      <c r="D169" s="977">
        <v>0.129</v>
      </c>
      <c r="E169" s="977">
        <v>0.13</v>
      </c>
      <c r="F169" s="989"/>
    </row>
    <row r="170" spans="1:6" ht="14.25" thickBot="1">
      <c r="A170" s="779" t="s">
        <v>526</v>
      </c>
      <c r="B170" s="773" t="s">
        <v>316</v>
      </c>
      <c r="C170" s="977">
        <v>0.14099999999999999</v>
      </c>
      <c r="D170" s="977">
        <v>0.13</v>
      </c>
      <c r="E170" s="977">
        <v>0.125</v>
      </c>
      <c r="F170" s="989"/>
    </row>
    <row r="171" spans="1:6" ht="14.25" thickBot="1">
      <c r="A171" s="779" t="s">
        <v>526</v>
      </c>
      <c r="B171" s="773" t="s">
        <v>885</v>
      </c>
      <c r="C171" s="977">
        <v>0.127</v>
      </c>
      <c r="D171" s="977">
        <v>0.126</v>
      </c>
      <c r="E171" s="977">
        <v>0.126</v>
      </c>
      <c r="F171" s="978">
        <v>0.11799999999999999</v>
      </c>
    </row>
    <row r="172" spans="1:6" ht="14.25" thickBot="1">
      <c r="A172" s="779" t="s">
        <v>526</v>
      </c>
      <c r="B172" s="773" t="s">
        <v>886</v>
      </c>
      <c r="C172" s="977">
        <v>0.13</v>
      </c>
      <c r="D172" s="977">
        <v>0.13</v>
      </c>
      <c r="E172" s="977">
        <v>0.13</v>
      </c>
      <c r="F172" s="989"/>
    </row>
    <row r="173" spans="1:6" ht="14.25" thickBot="1">
      <c r="A173" s="779" t="s">
        <v>526</v>
      </c>
      <c r="B173" s="773" t="s">
        <v>348</v>
      </c>
      <c r="C173" s="977">
        <v>0.13</v>
      </c>
      <c r="D173" s="977">
        <v>0.13</v>
      </c>
      <c r="E173" s="977">
        <v>0.13</v>
      </c>
      <c r="F173" s="989"/>
    </row>
    <row r="174" spans="1:6" ht="14.25" thickBot="1">
      <c r="A174" s="779" t="s">
        <v>526</v>
      </c>
      <c r="B174" s="773" t="s">
        <v>887</v>
      </c>
      <c r="C174" s="977">
        <v>0.13</v>
      </c>
      <c r="D174" s="977">
        <v>0.13</v>
      </c>
      <c r="E174" s="977">
        <v>0.13</v>
      </c>
      <c r="F174" s="978">
        <v>0.13</v>
      </c>
    </row>
    <row r="175" spans="1:6" ht="14.25" thickBot="1">
      <c r="A175" s="779" t="s">
        <v>526</v>
      </c>
      <c r="B175" s="773" t="s">
        <v>888</v>
      </c>
      <c r="C175" s="977">
        <v>0.13</v>
      </c>
      <c r="D175" s="977">
        <v>0.13</v>
      </c>
      <c r="E175" s="977">
        <v>0.13</v>
      </c>
      <c r="F175" s="978">
        <v>0.13</v>
      </c>
    </row>
    <row r="176" spans="1:6" ht="14.25" thickBot="1">
      <c r="A176" s="779" t="s">
        <v>526</v>
      </c>
      <c r="B176" s="773" t="s">
        <v>378</v>
      </c>
      <c r="C176" s="977">
        <v>0.13</v>
      </c>
      <c r="D176" s="977">
        <v>0.13</v>
      </c>
      <c r="E176" s="977">
        <v>0.13</v>
      </c>
      <c r="F176" s="978">
        <v>0.13</v>
      </c>
    </row>
    <row r="177" spans="1:6" ht="14.25" thickBot="1">
      <c r="A177" s="779" t="s">
        <v>526</v>
      </c>
      <c r="B177" s="773" t="s">
        <v>889</v>
      </c>
      <c r="C177" s="977">
        <v>0.13</v>
      </c>
      <c r="D177" s="977">
        <v>0.13</v>
      </c>
      <c r="E177" s="977">
        <v>0.13</v>
      </c>
      <c r="F177" s="978">
        <v>0.13</v>
      </c>
    </row>
    <row r="178" spans="1:6" ht="14.25" thickBot="1">
      <c r="A178" s="779" t="s">
        <v>526</v>
      </c>
      <c r="B178" s="773" t="s">
        <v>396</v>
      </c>
      <c r="C178" s="977">
        <v>0.13</v>
      </c>
      <c r="D178" s="977">
        <v>0.13</v>
      </c>
      <c r="E178" s="977">
        <v>0.13</v>
      </c>
      <c r="F178" s="978">
        <v>0.127</v>
      </c>
    </row>
    <row r="179" spans="1:6" ht="14.25" thickBot="1">
      <c r="A179" s="779" t="s">
        <v>526</v>
      </c>
      <c r="B179" s="773" t="s">
        <v>404</v>
      </c>
      <c r="C179" s="977">
        <v>0.13</v>
      </c>
      <c r="D179" s="977">
        <v>0.13</v>
      </c>
      <c r="E179" s="977">
        <v>0.13</v>
      </c>
      <c r="F179" s="989"/>
    </row>
    <row r="180" spans="1:6" ht="14.25" thickBot="1">
      <c r="A180" s="779" t="s">
        <v>526</v>
      </c>
      <c r="B180" s="773" t="s">
        <v>890</v>
      </c>
      <c r="C180" s="977">
        <v>0.13</v>
      </c>
      <c r="D180" s="977">
        <v>0.13</v>
      </c>
      <c r="E180" s="977">
        <v>0.125</v>
      </c>
      <c r="F180" s="978">
        <v>0.13</v>
      </c>
    </row>
    <row r="181" spans="1:6" ht="14.25" thickBot="1">
      <c r="A181" s="779" t="s">
        <v>526</v>
      </c>
      <c r="B181" s="773" t="s">
        <v>418</v>
      </c>
      <c r="C181" s="977">
        <v>0.122</v>
      </c>
      <c r="D181" s="977">
        <v>0.123</v>
      </c>
      <c r="E181" s="977">
        <v>0.126</v>
      </c>
      <c r="F181" s="978">
        <v>0.121</v>
      </c>
    </row>
    <row r="182" spans="1:6" ht="14.25" thickBot="1">
      <c r="A182" s="779" t="s">
        <v>526</v>
      </c>
      <c r="B182" s="773" t="s">
        <v>425</v>
      </c>
      <c r="C182" s="977">
        <v>0.125</v>
      </c>
      <c r="D182" s="977">
        <v>0.125</v>
      </c>
      <c r="E182" s="977">
        <v>0.11700000000000001</v>
      </c>
      <c r="F182" s="978">
        <v>0.13</v>
      </c>
    </row>
    <row r="183" spans="1:6" ht="14.25" thickBot="1">
      <c r="A183" s="779" t="s">
        <v>526</v>
      </c>
      <c r="B183" s="773" t="s">
        <v>432</v>
      </c>
      <c r="C183" s="977">
        <v>0.127</v>
      </c>
      <c r="D183" s="977">
        <v>0.127</v>
      </c>
      <c r="E183" s="977">
        <v>0.128</v>
      </c>
      <c r="F183" s="989"/>
    </row>
    <row r="184" spans="1:6" ht="14.25" thickBot="1">
      <c r="A184" s="779" t="s">
        <v>526</v>
      </c>
      <c r="B184" s="773" t="s">
        <v>439</v>
      </c>
      <c r="C184" s="977">
        <v>0.125</v>
      </c>
      <c r="D184" s="977">
        <v>0.125</v>
      </c>
      <c r="E184" s="977">
        <v>0.127</v>
      </c>
      <c r="F184" s="989"/>
    </row>
    <row r="185" spans="1:6" ht="14.25" thickBot="1">
      <c r="A185" s="779" t="s">
        <v>526</v>
      </c>
      <c r="B185" s="773" t="s">
        <v>891</v>
      </c>
      <c r="C185" s="977">
        <v>0.127</v>
      </c>
      <c r="D185" s="977">
        <v>0.127</v>
      </c>
      <c r="E185" s="977">
        <v>0.128</v>
      </c>
      <c r="F185" s="978">
        <v>0.13</v>
      </c>
    </row>
    <row r="186" spans="1:6" ht="24.75" thickBot="1">
      <c r="A186" s="779" t="s">
        <v>526</v>
      </c>
      <c r="B186" s="773" t="s">
        <v>892</v>
      </c>
      <c r="C186" s="990"/>
      <c r="D186" s="990"/>
      <c r="E186" s="990"/>
      <c r="F186" s="978">
        <v>0.05</v>
      </c>
    </row>
    <row r="187" spans="1:6" ht="14.25" thickBot="1">
      <c r="A187" s="779" t="s">
        <v>526</v>
      </c>
      <c r="B187" s="773" t="s">
        <v>893</v>
      </c>
      <c r="C187" s="990"/>
      <c r="D187" s="990"/>
      <c r="E187" s="990"/>
      <c r="F187" s="978">
        <v>0.05</v>
      </c>
    </row>
    <row r="188" spans="1:6" ht="14.25" thickBot="1">
      <c r="A188" s="779" t="s">
        <v>526</v>
      </c>
      <c r="B188" s="773" t="s">
        <v>894</v>
      </c>
      <c r="C188" s="990"/>
      <c r="D188" s="990"/>
      <c r="E188" s="990"/>
      <c r="F188" s="978">
        <v>0.05</v>
      </c>
    </row>
    <row r="189" spans="1:6" ht="24.75" thickBot="1">
      <c r="A189" s="779" t="s">
        <v>526</v>
      </c>
      <c r="B189" s="773" t="s">
        <v>895</v>
      </c>
      <c r="C189" s="990"/>
      <c r="D189" s="990"/>
      <c r="E189" s="990"/>
      <c r="F189" s="978">
        <v>0.05</v>
      </c>
    </row>
    <row r="190" spans="1:6" ht="24.75" thickBot="1">
      <c r="A190" s="779" t="s">
        <v>526</v>
      </c>
      <c r="B190" s="773" t="s">
        <v>896</v>
      </c>
      <c r="C190" s="990"/>
      <c r="D190" s="990"/>
      <c r="E190" s="990"/>
      <c r="F190" s="978">
        <v>0.05</v>
      </c>
    </row>
    <row r="191" spans="1:6" ht="24.75" thickBot="1">
      <c r="A191" s="779" t="s">
        <v>526</v>
      </c>
      <c r="B191" s="773" t="s">
        <v>897</v>
      </c>
      <c r="C191" s="990"/>
      <c r="D191" s="990"/>
      <c r="E191" s="990"/>
      <c r="F191" s="978">
        <v>0.05</v>
      </c>
    </row>
    <row r="192" spans="1:6" ht="24.75" thickBot="1">
      <c r="A192" s="779" t="s">
        <v>526</v>
      </c>
      <c r="B192" s="773" t="s">
        <v>898</v>
      </c>
      <c r="C192" s="990"/>
      <c r="D192" s="990"/>
      <c r="E192" s="990"/>
      <c r="F192" s="978">
        <v>0.05</v>
      </c>
    </row>
    <row r="193" spans="1:6" ht="24.75" thickBot="1">
      <c r="A193" s="779" t="s">
        <v>526</v>
      </c>
      <c r="B193" s="773" t="s">
        <v>899</v>
      </c>
      <c r="C193" s="990"/>
      <c r="D193" s="990"/>
      <c r="E193" s="990"/>
      <c r="F193" s="978">
        <v>0.05</v>
      </c>
    </row>
    <row r="194" spans="1:6" ht="24.75" thickBot="1">
      <c r="A194" s="779" t="s">
        <v>526</v>
      </c>
      <c r="B194" s="773" t="s">
        <v>900</v>
      </c>
      <c r="C194" s="990"/>
      <c r="D194" s="990"/>
      <c r="E194" s="990"/>
      <c r="F194" s="978">
        <v>0.05</v>
      </c>
    </row>
    <row r="195" spans="1:6" ht="14.25" thickBot="1">
      <c r="A195" s="779" t="s">
        <v>526</v>
      </c>
      <c r="B195" s="773" t="s">
        <v>901</v>
      </c>
      <c r="C195" s="990"/>
      <c r="D195" s="990"/>
      <c r="E195" s="990"/>
      <c r="F195" s="978">
        <v>0.05</v>
      </c>
    </row>
    <row r="196" spans="1:6" ht="24.75" thickBot="1">
      <c r="A196" s="779" t="s">
        <v>526</v>
      </c>
      <c r="B196" s="773" t="s">
        <v>902</v>
      </c>
      <c r="C196" s="990"/>
      <c r="D196" s="990"/>
      <c r="E196" s="990"/>
      <c r="F196" s="978">
        <v>0.05</v>
      </c>
    </row>
    <row r="197" spans="1:6" ht="24.75" thickBot="1">
      <c r="A197" s="779" t="s">
        <v>526</v>
      </c>
      <c r="B197" s="773" t="s">
        <v>903</v>
      </c>
      <c r="C197" s="990"/>
      <c r="D197" s="990"/>
      <c r="E197" s="990"/>
      <c r="F197" s="978">
        <v>0.05</v>
      </c>
    </row>
    <row r="198" spans="1:6" ht="24.75" thickBot="1">
      <c r="A198" s="779" t="s">
        <v>526</v>
      </c>
      <c r="B198" s="773" t="s">
        <v>904</v>
      </c>
      <c r="C198" s="990"/>
      <c r="D198" s="990"/>
      <c r="E198" s="990"/>
      <c r="F198" s="978">
        <v>0.05</v>
      </c>
    </row>
    <row r="199" spans="1:6" ht="24.75" thickBot="1">
      <c r="A199" s="779" t="s">
        <v>526</v>
      </c>
      <c r="B199" s="773" t="s">
        <v>905</v>
      </c>
      <c r="C199" s="990"/>
      <c r="D199" s="990"/>
      <c r="E199" s="990"/>
      <c r="F199" s="978">
        <v>0.05</v>
      </c>
    </row>
    <row r="200" spans="1:6" ht="24.75" thickBot="1">
      <c r="A200" s="779" t="s">
        <v>526</v>
      </c>
      <c r="B200" s="773" t="s">
        <v>906</v>
      </c>
      <c r="C200" s="990"/>
      <c r="D200" s="990"/>
      <c r="E200" s="990"/>
      <c r="F200" s="978">
        <v>0.05</v>
      </c>
    </row>
    <row r="201" spans="1:6" ht="24.75" thickBot="1">
      <c r="A201" s="779" t="s">
        <v>526</v>
      </c>
      <c r="B201" s="773" t="s">
        <v>907</v>
      </c>
      <c r="C201" s="990"/>
      <c r="D201" s="990"/>
      <c r="E201" s="990"/>
      <c r="F201" s="978">
        <v>0.05</v>
      </c>
    </row>
    <row r="202" spans="1:6" ht="24.75" thickBot="1">
      <c r="A202" s="779" t="s">
        <v>526</v>
      </c>
      <c r="B202" s="773" t="s">
        <v>908</v>
      </c>
      <c r="C202" s="990"/>
      <c r="D202" s="990"/>
      <c r="E202" s="990"/>
      <c r="F202" s="978">
        <v>0.05</v>
      </c>
    </row>
    <row r="203" spans="1:6" ht="24.75" thickBot="1">
      <c r="A203" s="779" t="s">
        <v>526</v>
      </c>
      <c r="B203" s="773" t="s">
        <v>909</v>
      </c>
      <c r="C203" s="990"/>
      <c r="D203" s="990"/>
      <c r="E203" s="990"/>
      <c r="F203" s="978">
        <v>0.05</v>
      </c>
    </row>
    <row r="204" spans="1:6" ht="14.25" thickBot="1">
      <c r="A204" s="779" t="s">
        <v>526</v>
      </c>
      <c r="B204" s="773" t="s">
        <v>910</v>
      </c>
      <c r="C204" s="990"/>
      <c r="D204" s="990"/>
      <c r="E204" s="990"/>
      <c r="F204" s="978">
        <v>0.05</v>
      </c>
    </row>
    <row r="205" spans="1:6" ht="14.25" thickBot="1">
      <c r="A205" s="789" t="s">
        <v>526</v>
      </c>
      <c r="B205" s="785" t="s">
        <v>911</v>
      </c>
      <c r="C205" s="987"/>
      <c r="D205" s="987"/>
      <c r="E205" s="987"/>
      <c r="F205" s="980">
        <v>0.05</v>
      </c>
    </row>
    <row r="206" spans="1:6" ht="14.25" thickBot="1">
      <c r="A206" s="779" t="s">
        <v>528</v>
      </c>
      <c r="B206" s="780" t="s">
        <v>912</v>
      </c>
      <c r="C206" s="975">
        <v>0.15</v>
      </c>
      <c r="D206" s="975">
        <v>0.15</v>
      </c>
      <c r="E206" s="975">
        <v>0.15</v>
      </c>
      <c r="F206" s="976">
        <v>0.15</v>
      </c>
    </row>
    <row r="207" spans="1:6" ht="14.25" thickBot="1">
      <c r="A207" s="779" t="s">
        <v>528</v>
      </c>
      <c r="B207" s="773" t="s">
        <v>194</v>
      </c>
      <c r="C207" s="977">
        <v>0.15</v>
      </c>
      <c r="D207" s="977">
        <v>0.15</v>
      </c>
      <c r="E207" s="977">
        <v>0.15</v>
      </c>
      <c r="F207" s="978">
        <v>0.14399999999999999</v>
      </c>
    </row>
    <row r="208" spans="1:6" ht="14.25" thickBot="1">
      <c r="A208" s="779" t="s">
        <v>528</v>
      </c>
      <c r="B208" s="773" t="s">
        <v>207</v>
      </c>
      <c r="C208" s="977">
        <v>0.15</v>
      </c>
      <c r="D208" s="977">
        <v>0.15</v>
      </c>
      <c r="E208" s="977">
        <v>0.15</v>
      </c>
      <c r="F208" s="978">
        <v>0.15</v>
      </c>
    </row>
    <row r="209" spans="1:6" ht="14.25" thickBot="1">
      <c r="A209" s="779" t="s">
        <v>528</v>
      </c>
      <c r="B209" s="773" t="s">
        <v>220</v>
      </c>
      <c r="C209" s="977">
        <v>0.13700000000000001</v>
      </c>
      <c r="D209" s="977">
        <v>0.13700000000000001</v>
      </c>
      <c r="E209" s="977">
        <v>0.14000000000000001</v>
      </c>
      <c r="F209" s="978">
        <v>0.11700000000000001</v>
      </c>
    </row>
    <row r="210" spans="1:6" ht="14.25" thickBot="1">
      <c r="A210" s="779" t="s">
        <v>528</v>
      </c>
      <c r="B210" s="773" t="s">
        <v>913</v>
      </c>
      <c r="C210" s="977">
        <v>0.15</v>
      </c>
      <c r="D210" s="977">
        <v>0.15</v>
      </c>
      <c r="E210" s="977">
        <v>0.15</v>
      </c>
      <c r="F210" s="978">
        <v>0.13800000000000001</v>
      </c>
    </row>
    <row r="211" spans="1:6" ht="14.25" thickBot="1">
      <c r="A211" s="779" t="s">
        <v>528</v>
      </c>
      <c r="B211" s="773" t="s">
        <v>914</v>
      </c>
      <c r="C211" s="977">
        <v>0.13700000000000001</v>
      </c>
      <c r="D211" s="977">
        <v>0.13500000000000001</v>
      </c>
      <c r="E211" s="977">
        <v>0.13600000000000001</v>
      </c>
      <c r="F211" s="978">
        <v>0.1</v>
      </c>
    </row>
    <row r="212" spans="1:6" ht="14.25" thickBot="1">
      <c r="A212" s="779" t="s">
        <v>528</v>
      </c>
      <c r="B212" s="773" t="s">
        <v>915</v>
      </c>
      <c r="C212" s="977">
        <v>0.15</v>
      </c>
      <c r="D212" s="977">
        <v>0.15</v>
      </c>
      <c r="E212" s="977">
        <v>0.14799999999999999</v>
      </c>
      <c r="F212" s="978">
        <v>0.13600000000000001</v>
      </c>
    </row>
    <row r="213" spans="1:6" ht="14.25" thickBot="1">
      <c r="A213" s="779" t="s">
        <v>528</v>
      </c>
      <c r="B213" s="773" t="s">
        <v>265</v>
      </c>
      <c r="C213" s="977">
        <v>0.15</v>
      </c>
      <c r="D213" s="977">
        <v>0.15</v>
      </c>
      <c r="E213" s="977">
        <v>0.15</v>
      </c>
      <c r="F213" s="978">
        <v>0.13800000000000001</v>
      </c>
    </row>
    <row r="214" spans="1:6" ht="14.25" thickBot="1">
      <c r="A214" s="779" t="s">
        <v>528</v>
      </c>
      <c r="B214" s="773" t="s">
        <v>277</v>
      </c>
      <c r="C214" s="977">
        <v>9.0999999999999998E-2</v>
      </c>
      <c r="D214" s="977">
        <v>0.09</v>
      </c>
      <c r="E214" s="977">
        <v>9.1999999999999998E-2</v>
      </c>
      <c r="F214" s="989"/>
    </row>
    <row r="215" spans="1:6" ht="14.25" thickBot="1">
      <c r="A215" s="779" t="s">
        <v>528</v>
      </c>
      <c r="B215" s="773" t="s">
        <v>916</v>
      </c>
      <c r="C215" s="977">
        <v>0.15</v>
      </c>
      <c r="D215" s="977">
        <v>0.15</v>
      </c>
      <c r="E215" s="977">
        <v>0.15</v>
      </c>
      <c r="F215" s="978">
        <v>0.15</v>
      </c>
    </row>
    <row r="216" spans="1:6" ht="14.25" thickBot="1">
      <c r="A216" s="779" t="s">
        <v>528</v>
      </c>
      <c r="B216" s="773" t="s">
        <v>297</v>
      </c>
      <c r="C216" s="977">
        <v>0.14699999999999999</v>
      </c>
      <c r="D216" s="977">
        <v>0.14699999999999999</v>
      </c>
      <c r="E216" s="977">
        <v>0.15</v>
      </c>
      <c r="F216" s="978">
        <v>0.14000000000000001</v>
      </c>
    </row>
    <row r="217" spans="1:6" ht="14.25" thickBot="1">
      <c r="A217" s="779" t="s">
        <v>528</v>
      </c>
      <c r="B217" s="773" t="s">
        <v>307</v>
      </c>
      <c r="C217" s="977">
        <v>0.15</v>
      </c>
      <c r="D217" s="977">
        <v>0.15</v>
      </c>
      <c r="E217" s="977">
        <v>0.15</v>
      </c>
      <c r="F217" s="978">
        <v>0.15</v>
      </c>
    </row>
    <row r="218" spans="1:6" ht="14.25" thickBot="1">
      <c r="A218" s="779" t="s">
        <v>528</v>
      </c>
      <c r="B218" s="773" t="s">
        <v>917</v>
      </c>
      <c r="C218" s="977">
        <v>0.15</v>
      </c>
      <c r="D218" s="977">
        <v>0.15</v>
      </c>
      <c r="E218" s="977">
        <v>0.15</v>
      </c>
      <c r="F218" s="978">
        <v>0.15</v>
      </c>
    </row>
    <row r="219" spans="1:6" ht="14.25" thickBot="1">
      <c r="A219" s="779" t="s">
        <v>528</v>
      </c>
      <c r="B219" s="773" t="s">
        <v>328</v>
      </c>
      <c r="C219" s="977">
        <v>0.15</v>
      </c>
      <c r="D219" s="977">
        <v>0.15</v>
      </c>
      <c r="E219" s="977">
        <v>0.15</v>
      </c>
      <c r="F219" s="978">
        <v>0.14799999999999999</v>
      </c>
    </row>
    <row r="220" spans="1:6" ht="14.25" thickBot="1">
      <c r="A220" s="779" t="s">
        <v>528</v>
      </c>
      <c r="B220" s="773" t="s">
        <v>918</v>
      </c>
      <c r="C220" s="977">
        <v>0.15</v>
      </c>
      <c r="D220" s="977">
        <v>0.15</v>
      </c>
      <c r="E220" s="977">
        <v>0.15</v>
      </c>
      <c r="F220" s="978">
        <v>0.15</v>
      </c>
    </row>
    <row r="221" spans="1:6" ht="14.25" thickBot="1">
      <c r="A221" s="779" t="s">
        <v>528</v>
      </c>
      <c r="B221" s="773" t="s">
        <v>349</v>
      </c>
      <c r="C221" s="977"/>
      <c r="D221" s="990"/>
      <c r="E221" s="990"/>
      <c r="F221" s="978">
        <v>0.14799999999999999</v>
      </c>
    </row>
    <row r="222" spans="1:6" ht="14.25" thickBot="1">
      <c r="A222" s="779" t="s">
        <v>528</v>
      </c>
      <c r="B222" s="773" t="s">
        <v>359</v>
      </c>
      <c r="C222" s="977"/>
      <c r="D222" s="990"/>
      <c r="E222" s="990"/>
      <c r="F222" s="978">
        <v>0.1</v>
      </c>
    </row>
    <row r="223" spans="1:6" ht="14.25" thickBot="1">
      <c r="A223" s="779" t="s">
        <v>528</v>
      </c>
      <c r="B223" s="773" t="s">
        <v>369</v>
      </c>
      <c r="C223" s="977"/>
      <c r="D223" s="990"/>
      <c r="E223" s="990"/>
      <c r="F223" s="978">
        <v>0.15</v>
      </c>
    </row>
    <row r="224" spans="1:6" ht="14.25" thickBot="1">
      <c r="A224" s="779" t="s">
        <v>528</v>
      </c>
      <c r="B224" s="773" t="s">
        <v>379</v>
      </c>
      <c r="C224" s="977"/>
      <c r="D224" s="990"/>
      <c r="E224" s="990"/>
      <c r="F224" s="978">
        <v>0.15</v>
      </c>
    </row>
    <row r="225" spans="1:6" ht="14.25" thickBot="1">
      <c r="A225" s="779" t="s">
        <v>528</v>
      </c>
      <c r="B225" s="773" t="s">
        <v>919</v>
      </c>
      <c r="C225" s="977">
        <v>0.15</v>
      </c>
      <c r="D225" s="977">
        <v>0.15</v>
      </c>
      <c r="E225" s="977">
        <v>0.15</v>
      </c>
      <c r="F225" s="978">
        <v>0.15</v>
      </c>
    </row>
    <row r="226" spans="1:6" ht="14.25" thickBot="1">
      <c r="A226" s="779" t="s">
        <v>528</v>
      </c>
      <c r="B226" s="773" t="s">
        <v>397</v>
      </c>
      <c r="C226" s="977">
        <v>0.15</v>
      </c>
      <c r="D226" s="977">
        <v>0.15</v>
      </c>
      <c r="E226" s="977">
        <v>0.15</v>
      </c>
      <c r="F226" s="978">
        <v>0.14799999999999999</v>
      </c>
    </row>
    <row r="227" spans="1:6" ht="14.25" thickBot="1">
      <c r="A227" s="779" t="s">
        <v>528</v>
      </c>
      <c r="B227" s="773" t="s">
        <v>920</v>
      </c>
      <c r="C227" s="977">
        <v>0.15</v>
      </c>
      <c r="D227" s="977">
        <v>0.15</v>
      </c>
      <c r="E227" s="977">
        <v>0.15</v>
      </c>
      <c r="F227" s="978">
        <v>0.15</v>
      </c>
    </row>
    <row r="228" spans="1:6" ht="14.25" thickBot="1">
      <c r="A228" s="779" t="s">
        <v>528</v>
      </c>
      <c r="B228" s="773" t="s">
        <v>412</v>
      </c>
      <c r="C228" s="977">
        <v>0.15</v>
      </c>
      <c r="D228" s="977">
        <v>0.15</v>
      </c>
      <c r="E228" s="977">
        <v>0.15</v>
      </c>
      <c r="F228" s="978">
        <v>0.15</v>
      </c>
    </row>
    <row r="229" spans="1:6" ht="14.25" thickBot="1">
      <c r="A229" s="779" t="s">
        <v>528</v>
      </c>
      <c r="B229" s="773" t="s">
        <v>419</v>
      </c>
      <c r="C229" s="977">
        <v>0.15</v>
      </c>
      <c r="D229" s="977">
        <v>0.15</v>
      </c>
      <c r="E229" s="977">
        <v>0.15</v>
      </c>
      <c r="F229" s="989"/>
    </row>
    <row r="230" spans="1:6" ht="14.25" thickBot="1">
      <c r="A230" s="779" t="s">
        <v>528</v>
      </c>
      <c r="B230" s="773" t="s">
        <v>426</v>
      </c>
      <c r="C230" s="977">
        <v>0.14499999999999999</v>
      </c>
      <c r="D230" s="977">
        <v>0.14499999999999999</v>
      </c>
      <c r="E230" s="977">
        <v>0.14399999999999999</v>
      </c>
      <c r="F230" s="989"/>
    </row>
    <row r="231" spans="1:6" ht="14.25" thickBot="1">
      <c r="A231" s="779" t="s">
        <v>528</v>
      </c>
      <c r="B231" s="773" t="s">
        <v>921</v>
      </c>
      <c r="C231" s="977">
        <v>0.128</v>
      </c>
      <c r="D231" s="977">
        <v>0.125</v>
      </c>
      <c r="E231" s="977">
        <v>0.13200000000000001</v>
      </c>
      <c r="F231" s="989"/>
    </row>
    <row r="232" spans="1:6" ht="14.25" thickBot="1">
      <c r="A232" s="779" t="s">
        <v>528</v>
      </c>
      <c r="B232" s="773" t="s">
        <v>922</v>
      </c>
      <c r="C232" s="977">
        <v>0.14499999999999999</v>
      </c>
      <c r="D232" s="977">
        <v>0.14399999999999999</v>
      </c>
      <c r="E232" s="977">
        <v>0.14599999999999999</v>
      </c>
      <c r="F232" s="978">
        <v>0.13800000000000001</v>
      </c>
    </row>
    <row r="233" spans="1:6" ht="14.25" thickBot="1">
      <c r="A233" s="779" t="s">
        <v>528</v>
      </c>
      <c r="B233" s="773" t="s">
        <v>923</v>
      </c>
      <c r="C233" s="977">
        <v>0.14499999999999999</v>
      </c>
      <c r="D233" s="977">
        <v>0.14299999999999999</v>
      </c>
      <c r="E233" s="977">
        <v>0.14199999999999999</v>
      </c>
      <c r="F233" s="989"/>
    </row>
    <row r="234" spans="1:6" ht="14.25" thickBot="1">
      <c r="A234" s="779" t="s">
        <v>528</v>
      </c>
      <c r="B234" s="773" t="s">
        <v>924</v>
      </c>
      <c r="C234" s="977">
        <v>0.14000000000000001</v>
      </c>
      <c r="D234" s="977">
        <v>0.14000000000000001</v>
      </c>
      <c r="E234" s="977">
        <v>0.14399999999999999</v>
      </c>
      <c r="F234" s="989"/>
    </row>
    <row r="235" spans="1:6" ht="14.25" thickBot="1">
      <c r="A235" s="779" t="s">
        <v>528</v>
      </c>
      <c r="B235" s="773" t="s">
        <v>925</v>
      </c>
      <c r="C235" s="977">
        <v>0.14099999999999999</v>
      </c>
      <c r="D235" s="977">
        <v>0.14199999999999999</v>
      </c>
      <c r="E235" s="977">
        <v>0.14499999999999999</v>
      </c>
      <c r="F235" s="978">
        <v>0.15</v>
      </c>
    </row>
    <row r="236" spans="1:6" ht="14.25" thickBot="1">
      <c r="A236" s="779" t="s">
        <v>528</v>
      </c>
      <c r="B236" s="773" t="s">
        <v>461</v>
      </c>
      <c r="C236" s="990"/>
      <c r="D236" s="990"/>
      <c r="E236" s="990"/>
      <c r="F236" s="978">
        <v>0.14299999999999999</v>
      </c>
    </row>
    <row r="237" spans="1:6" ht="24.75" thickBot="1">
      <c r="A237" s="779" t="s">
        <v>528</v>
      </c>
      <c r="B237" s="773" t="s">
        <v>926</v>
      </c>
      <c r="C237" s="990"/>
      <c r="D237" s="990"/>
      <c r="E237" s="990"/>
      <c r="F237" s="978">
        <v>0.05</v>
      </c>
    </row>
    <row r="238" spans="1:6" ht="24.75" thickBot="1">
      <c r="A238" s="779" t="s">
        <v>528</v>
      </c>
      <c r="B238" s="773" t="s">
        <v>927</v>
      </c>
      <c r="C238" s="990"/>
      <c r="D238" s="990"/>
      <c r="E238" s="990"/>
      <c r="F238" s="978">
        <v>0.05</v>
      </c>
    </row>
    <row r="239" spans="1:6" ht="24.75" thickBot="1">
      <c r="A239" s="779" t="s">
        <v>528</v>
      </c>
      <c r="B239" s="773" t="s">
        <v>928</v>
      </c>
      <c r="C239" s="990"/>
      <c r="D239" s="990"/>
      <c r="E239" s="990"/>
      <c r="F239" s="978">
        <v>0.05</v>
      </c>
    </row>
    <row r="240" spans="1:6" ht="24.75" thickBot="1">
      <c r="A240" s="779" t="s">
        <v>528</v>
      </c>
      <c r="B240" s="773" t="s">
        <v>929</v>
      </c>
      <c r="C240" s="990"/>
      <c r="D240" s="990"/>
      <c r="E240" s="990"/>
      <c r="F240" s="978">
        <v>0.05</v>
      </c>
    </row>
    <row r="241" spans="1:6" ht="24.75" thickBot="1">
      <c r="A241" s="779" t="s">
        <v>528</v>
      </c>
      <c r="B241" s="773" t="s">
        <v>930</v>
      </c>
      <c r="C241" s="990"/>
      <c r="D241" s="990"/>
      <c r="E241" s="990"/>
      <c r="F241" s="978">
        <v>0.05</v>
      </c>
    </row>
    <row r="242" spans="1:6" ht="24.75" thickBot="1">
      <c r="A242" s="779" t="s">
        <v>528</v>
      </c>
      <c r="B242" s="773" t="s">
        <v>931</v>
      </c>
      <c r="C242" s="990"/>
      <c r="D242" s="990"/>
      <c r="E242" s="990"/>
      <c r="F242" s="978">
        <v>0.05</v>
      </c>
    </row>
    <row r="243" spans="1:6" ht="24.75" thickBot="1">
      <c r="A243" s="779" t="s">
        <v>528</v>
      </c>
      <c r="B243" s="773" t="s">
        <v>932</v>
      </c>
      <c r="C243" s="990"/>
      <c r="D243" s="990"/>
      <c r="E243" s="990"/>
      <c r="F243" s="978">
        <v>0.05</v>
      </c>
    </row>
    <row r="244" spans="1:6" ht="24.75" thickBot="1">
      <c r="A244" s="789" t="s">
        <v>528</v>
      </c>
      <c r="B244" s="785" t="s">
        <v>933</v>
      </c>
      <c r="C244" s="987"/>
      <c r="D244" s="987"/>
      <c r="E244" s="987"/>
      <c r="F244" s="980">
        <v>0.05</v>
      </c>
    </row>
    <row r="245" spans="1:6" ht="14.25" thickBot="1">
      <c r="A245" s="779" t="s">
        <v>530</v>
      </c>
      <c r="B245" s="780" t="s">
        <v>934</v>
      </c>
      <c r="C245" s="975">
        <v>0.15</v>
      </c>
      <c r="D245" s="975">
        <v>0.15</v>
      </c>
      <c r="E245" s="975">
        <v>0.15</v>
      </c>
      <c r="F245" s="976">
        <v>0.14299999999999999</v>
      </c>
    </row>
    <row r="246" spans="1:6" ht="14.25" thickBot="1">
      <c r="A246" s="779" t="s">
        <v>530</v>
      </c>
      <c r="B246" s="773" t="s">
        <v>195</v>
      </c>
      <c r="C246" s="977">
        <v>0.15</v>
      </c>
      <c r="D246" s="977">
        <v>0.15</v>
      </c>
      <c r="E246" s="977">
        <v>0.15</v>
      </c>
      <c r="F246" s="978">
        <v>0.114</v>
      </c>
    </row>
    <row r="247" spans="1:6" ht="14.25" thickBot="1">
      <c r="A247" s="779" t="s">
        <v>530</v>
      </c>
      <c r="B247" s="773" t="s">
        <v>935</v>
      </c>
      <c r="C247" s="977">
        <v>0.15</v>
      </c>
      <c r="D247" s="977">
        <v>0.15</v>
      </c>
      <c r="E247" s="977">
        <v>0.15</v>
      </c>
      <c r="F247" s="978">
        <v>0.15</v>
      </c>
    </row>
    <row r="248" spans="1:6" ht="14.25" thickBot="1">
      <c r="A248" s="779" t="s">
        <v>530</v>
      </c>
      <c r="B248" s="773" t="s">
        <v>936</v>
      </c>
      <c r="C248" s="977">
        <v>0.15</v>
      </c>
      <c r="D248" s="977">
        <v>0.15</v>
      </c>
      <c r="E248" s="977">
        <v>0.15</v>
      </c>
      <c r="F248" s="978">
        <v>0.14000000000000001</v>
      </c>
    </row>
    <row r="249" spans="1:6" ht="14.25" thickBot="1">
      <c r="A249" s="779" t="s">
        <v>530</v>
      </c>
      <c r="B249" s="773" t="s">
        <v>937</v>
      </c>
      <c r="C249" s="977">
        <v>0.15</v>
      </c>
      <c r="D249" s="977">
        <v>0.14899999999999999</v>
      </c>
      <c r="E249" s="977">
        <v>0.15</v>
      </c>
      <c r="F249" s="978">
        <v>0.1</v>
      </c>
    </row>
    <row r="250" spans="1:6" ht="14.25" thickBot="1">
      <c r="A250" s="779" t="s">
        <v>530</v>
      </c>
      <c r="B250" s="773" t="s">
        <v>938</v>
      </c>
      <c r="C250" s="977">
        <v>0.15</v>
      </c>
      <c r="D250" s="977">
        <v>0.15</v>
      </c>
      <c r="E250" s="977">
        <v>0.15</v>
      </c>
      <c r="F250" s="978">
        <v>0.14399999999999999</v>
      </c>
    </row>
    <row r="251" spans="1:6" ht="14.25" thickBot="1">
      <c r="A251" s="779" t="s">
        <v>530</v>
      </c>
      <c r="B251" s="773" t="s">
        <v>255</v>
      </c>
      <c r="C251" s="977">
        <v>0.15</v>
      </c>
      <c r="D251" s="977">
        <v>0.15</v>
      </c>
      <c r="E251" s="977">
        <v>0.15</v>
      </c>
      <c r="F251" s="978">
        <v>0.14299999999999999</v>
      </c>
    </row>
    <row r="252" spans="1:6" ht="14.25" thickBot="1">
      <c r="A252" s="779" t="s">
        <v>530</v>
      </c>
      <c r="B252" s="773" t="s">
        <v>266</v>
      </c>
      <c r="C252" s="977">
        <v>0.15</v>
      </c>
      <c r="D252" s="977">
        <v>0.15</v>
      </c>
      <c r="E252" s="977">
        <v>0.15</v>
      </c>
      <c r="F252" s="978">
        <v>0.1</v>
      </c>
    </row>
    <row r="253" spans="1:6" ht="14.25" thickBot="1">
      <c r="A253" s="779" t="s">
        <v>530</v>
      </c>
      <c r="B253" s="773" t="s">
        <v>278</v>
      </c>
      <c r="C253" s="977">
        <v>0.15</v>
      </c>
      <c r="D253" s="977">
        <v>0.15</v>
      </c>
      <c r="E253" s="977">
        <v>0.15</v>
      </c>
      <c r="F253" s="978">
        <v>0.1</v>
      </c>
    </row>
    <row r="254" spans="1:6" ht="14.25" thickBot="1">
      <c r="A254" s="779" t="s">
        <v>530</v>
      </c>
      <c r="B254" s="773" t="s">
        <v>288</v>
      </c>
      <c r="C254" s="990"/>
      <c r="D254" s="990"/>
      <c r="E254" s="990"/>
      <c r="F254" s="978">
        <v>0.15</v>
      </c>
    </row>
    <row r="255" spans="1:6" ht="14.25" thickBot="1">
      <c r="A255" s="779" t="s">
        <v>530</v>
      </c>
      <c r="B255" s="773" t="s">
        <v>298</v>
      </c>
      <c r="C255" s="990"/>
      <c r="D255" s="990"/>
      <c r="E255" s="990"/>
      <c r="F255" s="978">
        <v>0.14299999999999999</v>
      </c>
    </row>
    <row r="256" spans="1:6" ht="14.25" thickBot="1">
      <c r="A256" s="779" t="s">
        <v>530</v>
      </c>
      <c r="B256" s="773" t="s">
        <v>939</v>
      </c>
      <c r="C256" s="977">
        <v>0.14599999999999999</v>
      </c>
      <c r="D256" s="977">
        <v>0.14699999999999999</v>
      </c>
      <c r="E256" s="977">
        <v>0.15</v>
      </c>
      <c r="F256" s="978">
        <v>0.13200000000000001</v>
      </c>
    </row>
    <row r="257" spans="1:6" ht="14.25" thickBot="1">
      <c r="A257" s="779" t="s">
        <v>530</v>
      </c>
      <c r="B257" s="773" t="s">
        <v>318</v>
      </c>
      <c r="C257" s="977">
        <v>0.15</v>
      </c>
      <c r="D257" s="977">
        <v>0.15</v>
      </c>
      <c r="E257" s="977">
        <v>0.15</v>
      </c>
      <c r="F257" s="978">
        <v>0.13900000000000001</v>
      </c>
    </row>
    <row r="258" spans="1:6" ht="14.25" thickBot="1">
      <c r="A258" s="779" t="s">
        <v>530</v>
      </c>
      <c r="B258" s="773" t="s">
        <v>329</v>
      </c>
      <c r="C258" s="977">
        <v>0.15</v>
      </c>
      <c r="D258" s="977">
        <v>0.15</v>
      </c>
      <c r="E258" s="977">
        <v>0.15</v>
      </c>
      <c r="F258" s="978">
        <v>0.13</v>
      </c>
    </row>
    <row r="259" spans="1:6" ht="14.25" thickBot="1">
      <c r="A259" s="779" t="s">
        <v>530</v>
      </c>
      <c r="B259" s="773" t="s">
        <v>940</v>
      </c>
      <c r="C259" s="977">
        <v>0.14799999999999999</v>
      </c>
      <c r="D259" s="977">
        <v>0.14899999999999999</v>
      </c>
      <c r="E259" s="977">
        <v>0.15</v>
      </c>
      <c r="F259" s="978">
        <v>0.13700000000000001</v>
      </c>
    </row>
    <row r="260" spans="1:6" ht="14.25" thickBot="1">
      <c r="A260" s="779" t="s">
        <v>530</v>
      </c>
      <c r="B260" s="773" t="s">
        <v>350</v>
      </c>
      <c r="C260" s="977">
        <v>0.15</v>
      </c>
      <c r="D260" s="977">
        <v>0.15</v>
      </c>
      <c r="E260" s="977">
        <v>0.15</v>
      </c>
      <c r="F260" s="978">
        <v>0.14199999999999999</v>
      </c>
    </row>
    <row r="261" spans="1:6" ht="14.25" thickBot="1">
      <c r="A261" s="779" t="s">
        <v>530</v>
      </c>
      <c r="B261" s="773" t="s">
        <v>360</v>
      </c>
      <c r="C261" s="977">
        <v>0.15</v>
      </c>
      <c r="D261" s="977">
        <v>0.15</v>
      </c>
      <c r="E261" s="977">
        <v>0.14899999999999999</v>
      </c>
      <c r="F261" s="978">
        <v>0.14799999999999999</v>
      </c>
    </row>
    <row r="262" spans="1:6" ht="14.25" thickBot="1">
      <c r="A262" s="779" t="s">
        <v>530</v>
      </c>
      <c r="B262" s="773" t="s">
        <v>370</v>
      </c>
      <c r="C262" s="977">
        <v>0.15</v>
      </c>
      <c r="D262" s="977">
        <v>0.15</v>
      </c>
      <c r="E262" s="977">
        <v>0.15</v>
      </c>
      <c r="F262" s="989"/>
    </row>
    <row r="263" spans="1:6" ht="14.25" thickBot="1">
      <c r="A263" s="779" t="s">
        <v>530</v>
      </c>
      <c r="B263" s="773" t="s">
        <v>941</v>
      </c>
      <c r="C263" s="977">
        <v>0.14899999999999999</v>
      </c>
      <c r="D263" s="977">
        <v>0.14899999999999999</v>
      </c>
      <c r="E263" s="977">
        <v>0.15</v>
      </c>
      <c r="F263" s="978">
        <v>0.13</v>
      </c>
    </row>
    <row r="264" spans="1:6" ht="14.25" thickBot="1">
      <c r="A264" s="779" t="s">
        <v>530</v>
      </c>
      <c r="B264" s="773" t="s">
        <v>389</v>
      </c>
      <c r="C264" s="977">
        <v>0.14799999999999999</v>
      </c>
      <c r="D264" s="977">
        <v>0.14699999999999999</v>
      </c>
      <c r="E264" s="977">
        <v>0.15</v>
      </c>
      <c r="F264" s="978">
        <v>7.8E-2</v>
      </c>
    </row>
    <row r="265" spans="1:6" ht="14.25" thickBot="1">
      <c r="A265" s="779" t="s">
        <v>530</v>
      </c>
      <c r="B265" s="773" t="s">
        <v>398</v>
      </c>
      <c r="C265" s="977">
        <v>0.15</v>
      </c>
      <c r="D265" s="977">
        <v>0.15</v>
      </c>
      <c r="E265" s="977">
        <v>0.15</v>
      </c>
      <c r="F265" s="978">
        <v>7.3999999999999996E-2</v>
      </c>
    </row>
    <row r="266" spans="1:6" ht="14.25" thickBot="1">
      <c r="A266" s="779" t="s">
        <v>530</v>
      </c>
      <c r="B266" s="773" t="s">
        <v>406</v>
      </c>
      <c r="C266" s="977">
        <v>0.14699999999999999</v>
      </c>
      <c r="D266" s="977">
        <v>0.14699999999999999</v>
      </c>
      <c r="E266" s="977">
        <v>0.15</v>
      </c>
      <c r="F266" s="978">
        <v>0.14299999999999999</v>
      </c>
    </row>
    <row r="267" spans="1:6" ht="14.25" thickBot="1">
      <c r="A267" s="779" t="s">
        <v>530</v>
      </c>
      <c r="B267" s="773" t="s">
        <v>413</v>
      </c>
      <c r="C267" s="977">
        <v>0.14199999999999999</v>
      </c>
      <c r="D267" s="977">
        <v>0.14299999999999999</v>
      </c>
      <c r="E267" s="977">
        <v>0.15</v>
      </c>
      <c r="F267" s="989"/>
    </row>
    <row r="268" spans="1:6" ht="14.25" thickBot="1">
      <c r="A268" s="779" t="s">
        <v>530</v>
      </c>
      <c r="B268" s="773" t="s">
        <v>942</v>
      </c>
      <c r="C268" s="977">
        <v>0.15</v>
      </c>
      <c r="D268" s="977">
        <v>0.15</v>
      </c>
      <c r="E268" s="977">
        <v>0.15</v>
      </c>
      <c r="F268" s="978">
        <v>0.13</v>
      </c>
    </row>
    <row r="269" spans="1:6" ht="14.25" thickBot="1">
      <c r="A269" s="779" t="s">
        <v>530</v>
      </c>
      <c r="B269" s="773" t="s">
        <v>427</v>
      </c>
      <c r="C269" s="977">
        <v>0.15</v>
      </c>
      <c r="D269" s="977">
        <v>0.15</v>
      </c>
      <c r="E269" s="977">
        <v>0.15</v>
      </c>
      <c r="F269" s="978">
        <v>0.14299999999999999</v>
      </c>
    </row>
    <row r="270" spans="1:6" ht="14.25" thickBot="1">
      <c r="A270" s="779" t="s">
        <v>530</v>
      </c>
      <c r="B270" s="773" t="s">
        <v>434</v>
      </c>
      <c r="C270" s="977">
        <v>0.14499999999999999</v>
      </c>
      <c r="D270" s="977">
        <v>0.14499999999999999</v>
      </c>
      <c r="E270" s="977">
        <v>0.15</v>
      </c>
      <c r="F270" s="978">
        <v>0.14699999999999999</v>
      </c>
    </row>
    <row r="271" spans="1:6" ht="14.25" thickBot="1">
      <c r="A271" s="779" t="s">
        <v>530</v>
      </c>
      <c r="B271" s="773" t="s">
        <v>441</v>
      </c>
      <c r="C271" s="977">
        <v>0.15</v>
      </c>
      <c r="D271" s="977">
        <v>0.15</v>
      </c>
      <c r="E271" s="977">
        <v>0.15</v>
      </c>
      <c r="F271" s="978">
        <v>0.13800000000000001</v>
      </c>
    </row>
    <row r="272" spans="1:6" ht="14.25" thickBot="1">
      <c r="A272" s="779" t="s">
        <v>530</v>
      </c>
      <c r="B272" s="773" t="s">
        <v>448</v>
      </c>
      <c r="C272" s="990"/>
      <c r="D272" s="990"/>
      <c r="E272" s="990"/>
      <c r="F272" s="978">
        <v>0.14000000000000001</v>
      </c>
    </row>
    <row r="273" spans="1:6" ht="14.25" thickBot="1">
      <c r="A273" s="779" t="s">
        <v>530</v>
      </c>
      <c r="B273" s="773" t="s">
        <v>943</v>
      </c>
      <c r="C273" s="977">
        <v>0.14199999999999999</v>
      </c>
      <c r="D273" s="977">
        <v>0.14299999999999999</v>
      </c>
      <c r="E273" s="977">
        <v>0.15</v>
      </c>
      <c r="F273" s="978">
        <v>0.1</v>
      </c>
    </row>
    <row r="274" spans="1:6" ht="14.25" thickBot="1">
      <c r="A274" s="779" t="s">
        <v>530</v>
      </c>
      <c r="B274" s="773" t="s">
        <v>944</v>
      </c>
      <c r="C274" s="977">
        <v>0.14799999999999999</v>
      </c>
      <c r="D274" s="977">
        <v>0.14799999999999999</v>
      </c>
      <c r="E274" s="977">
        <v>0.15</v>
      </c>
      <c r="F274" s="978">
        <v>6.7000000000000004E-2</v>
      </c>
    </row>
    <row r="275" spans="1:6" ht="14.25" thickBot="1">
      <c r="A275" s="779" t="s">
        <v>530</v>
      </c>
      <c r="B275" s="773" t="s">
        <v>945</v>
      </c>
      <c r="C275" s="977">
        <v>0.15</v>
      </c>
      <c r="D275" s="977">
        <v>0.15</v>
      </c>
      <c r="E275" s="977">
        <v>0.15</v>
      </c>
      <c r="F275" s="978">
        <v>0.15</v>
      </c>
    </row>
    <row r="276" spans="1:6" ht="14.25" thickBot="1">
      <c r="A276" s="779" t="s">
        <v>530</v>
      </c>
      <c r="B276" s="773" t="s">
        <v>946</v>
      </c>
      <c r="C276" s="977">
        <v>0.14499999999999999</v>
      </c>
      <c r="D276" s="977">
        <v>0.14299999999999999</v>
      </c>
      <c r="E276" s="977">
        <v>0.15</v>
      </c>
      <c r="F276" s="978">
        <v>5.8999999999999997E-2</v>
      </c>
    </row>
    <row r="277" spans="1:6" ht="14.25" thickBot="1">
      <c r="A277" s="779" t="s">
        <v>530</v>
      </c>
      <c r="B277" s="773" t="s">
        <v>947</v>
      </c>
      <c r="C277" s="977">
        <v>0.15</v>
      </c>
      <c r="D277" s="977">
        <v>0.15</v>
      </c>
      <c r="E277" s="977">
        <v>0.15</v>
      </c>
      <c r="F277" s="978">
        <v>0.121</v>
      </c>
    </row>
    <row r="278" spans="1:6" ht="14.25" thickBot="1">
      <c r="A278" s="779" t="s">
        <v>530</v>
      </c>
      <c r="B278" s="773" t="s">
        <v>948</v>
      </c>
      <c r="C278" s="977">
        <v>0.15</v>
      </c>
      <c r="D278" s="977">
        <v>0.15</v>
      </c>
      <c r="E278" s="977">
        <v>0.15</v>
      </c>
      <c r="F278" s="978">
        <v>0.13800000000000001</v>
      </c>
    </row>
    <row r="279" spans="1:6" ht="24.75" thickBot="1">
      <c r="A279" s="779" t="s">
        <v>530</v>
      </c>
      <c r="B279" s="773" t="s">
        <v>949</v>
      </c>
      <c r="C279" s="990"/>
      <c r="D279" s="990"/>
      <c r="E279" s="990"/>
      <c r="F279" s="978">
        <v>0.05</v>
      </c>
    </row>
    <row r="280" spans="1:6" ht="24.75" thickBot="1">
      <c r="A280" s="779" t="s">
        <v>530</v>
      </c>
      <c r="B280" s="773" t="s">
        <v>950</v>
      </c>
      <c r="C280" s="990"/>
      <c r="D280" s="990"/>
      <c r="E280" s="990"/>
      <c r="F280" s="978">
        <v>0.05</v>
      </c>
    </row>
    <row r="281" spans="1:6" ht="24.75" thickBot="1">
      <c r="A281" s="779" t="s">
        <v>530</v>
      </c>
      <c r="B281" s="773" t="s">
        <v>951</v>
      </c>
      <c r="C281" s="990"/>
      <c r="D281" s="990"/>
      <c r="E281" s="990"/>
      <c r="F281" s="978">
        <v>0.05</v>
      </c>
    </row>
    <row r="282" spans="1:6" ht="24.75" thickBot="1">
      <c r="A282" s="779" t="s">
        <v>530</v>
      </c>
      <c r="B282" s="773" t="s">
        <v>952</v>
      </c>
      <c r="C282" s="990"/>
      <c r="D282" s="990"/>
      <c r="E282" s="990"/>
      <c r="F282" s="978">
        <v>0.05</v>
      </c>
    </row>
    <row r="283" spans="1:6" ht="24.75" thickBot="1">
      <c r="A283" s="779" t="s">
        <v>530</v>
      </c>
      <c r="B283" s="773" t="s">
        <v>953</v>
      </c>
      <c r="C283" s="990"/>
      <c r="D283" s="990"/>
      <c r="E283" s="990"/>
      <c r="F283" s="978">
        <v>0.05</v>
      </c>
    </row>
    <row r="284" spans="1:6" ht="24.75" thickBot="1">
      <c r="A284" s="779" t="s">
        <v>530</v>
      </c>
      <c r="B284" s="773" t="s">
        <v>954</v>
      </c>
      <c r="C284" s="990"/>
      <c r="D284" s="990"/>
      <c r="E284" s="990"/>
      <c r="F284" s="978">
        <v>0.05</v>
      </c>
    </row>
    <row r="285" spans="1:6" ht="24.75" thickBot="1">
      <c r="A285" s="779" t="s">
        <v>530</v>
      </c>
      <c r="B285" s="773" t="s">
        <v>955</v>
      </c>
      <c r="C285" s="990"/>
      <c r="D285" s="990"/>
      <c r="E285" s="990"/>
      <c r="F285" s="978">
        <v>0.05</v>
      </c>
    </row>
    <row r="286" spans="1:6" ht="24.75" thickBot="1">
      <c r="A286" s="779" t="s">
        <v>530</v>
      </c>
      <c r="B286" s="773" t="s">
        <v>956</v>
      </c>
      <c r="C286" s="990"/>
      <c r="D286" s="990"/>
      <c r="E286" s="990"/>
      <c r="F286" s="978">
        <v>0.05</v>
      </c>
    </row>
    <row r="287" spans="1:6" ht="24.75" thickBot="1">
      <c r="A287" s="779" t="s">
        <v>530</v>
      </c>
      <c r="B287" s="773" t="s">
        <v>957</v>
      </c>
      <c r="C287" s="990"/>
      <c r="D287" s="990"/>
      <c r="E287" s="990"/>
      <c r="F287" s="978">
        <v>0.05</v>
      </c>
    </row>
    <row r="288" spans="1:6" ht="24.75" thickBot="1">
      <c r="A288" s="779" t="s">
        <v>530</v>
      </c>
      <c r="B288" s="773" t="s">
        <v>958</v>
      </c>
      <c r="C288" s="990"/>
      <c r="D288" s="990"/>
      <c r="E288" s="990"/>
      <c r="F288" s="978">
        <v>0.05</v>
      </c>
    </row>
    <row r="289" spans="1:6" ht="24.75" thickBot="1">
      <c r="A289" s="789" t="s">
        <v>530</v>
      </c>
      <c r="B289" s="785" t="s">
        <v>959</v>
      </c>
      <c r="C289" s="987"/>
      <c r="D289" s="987"/>
      <c r="E289" s="987"/>
      <c r="F289" s="980">
        <v>0.05</v>
      </c>
    </row>
    <row r="290" spans="1:6" ht="14.25" thickBot="1">
      <c r="A290" s="779" t="s">
        <v>534</v>
      </c>
      <c r="B290" s="780" t="s">
        <v>960</v>
      </c>
      <c r="C290" s="975">
        <v>0.15</v>
      </c>
      <c r="D290" s="975">
        <v>0.15</v>
      </c>
      <c r="E290" s="975">
        <v>0.15</v>
      </c>
      <c r="F290" s="992"/>
    </row>
    <row r="291" spans="1:6" ht="14.25" thickBot="1">
      <c r="A291" s="779" t="s">
        <v>534</v>
      </c>
      <c r="B291" s="773" t="s">
        <v>196</v>
      </c>
      <c r="C291" s="977">
        <v>0.15</v>
      </c>
      <c r="D291" s="977">
        <v>0.15</v>
      </c>
      <c r="E291" s="977">
        <v>0.15</v>
      </c>
      <c r="F291" s="989"/>
    </row>
    <row r="292" spans="1:6" ht="14.25" thickBot="1">
      <c r="A292" s="779" t="s">
        <v>534</v>
      </c>
      <c r="B292" s="773" t="s">
        <v>961</v>
      </c>
      <c r="C292" s="977">
        <v>0.15</v>
      </c>
      <c r="D292" s="977">
        <v>0.15</v>
      </c>
      <c r="E292" s="977">
        <v>0.15</v>
      </c>
      <c r="F292" s="978">
        <v>0.14699999999999999</v>
      </c>
    </row>
    <row r="293" spans="1:6" ht="14.25" thickBot="1">
      <c r="A293" s="779" t="s">
        <v>534</v>
      </c>
      <c r="B293" s="773" t="s">
        <v>962</v>
      </c>
      <c r="C293" s="990"/>
      <c r="D293" s="990"/>
      <c r="E293" s="990"/>
      <c r="F293" s="978">
        <v>0.1</v>
      </c>
    </row>
    <row r="294" spans="1:6" ht="14.25" thickBot="1">
      <c r="A294" s="779" t="s">
        <v>534</v>
      </c>
      <c r="B294" s="773" t="s">
        <v>963</v>
      </c>
      <c r="C294" s="977">
        <v>0.15</v>
      </c>
      <c r="D294" s="977">
        <v>0.15</v>
      </c>
      <c r="E294" s="977">
        <v>0.15</v>
      </c>
      <c r="F294" s="978">
        <v>0.15</v>
      </c>
    </row>
    <row r="295" spans="1:6" ht="14.25" thickBot="1">
      <c r="A295" s="779" t="s">
        <v>534</v>
      </c>
      <c r="B295" s="773" t="s">
        <v>234</v>
      </c>
      <c r="C295" s="977">
        <v>0.15</v>
      </c>
      <c r="D295" s="977">
        <v>0.15</v>
      </c>
      <c r="E295" s="977">
        <v>0.15</v>
      </c>
      <c r="F295" s="978">
        <v>0.15</v>
      </c>
    </row>
    <row r="296" spans="1:6" ht="14.25" thickBot="1">
      <c r="A296" s="779" t="s">
        <v>534</v>
      </c>
      <c r="B296" s="773" t="s">
        <v>964</v>
      </c>
      <c r="C296" s="977">
        <v>0.15</v>
      </c>
      <c r="D296" s="977">
        <v>0.15</v>
      </c>
      <c r="E296" s="977">
        <v>0.15</v>
      </c>
      <c r="F296" s="978">
        <v>0.15</v>
      </c>
    </row>
    <row r="297" spans="1:6" ht="14.25" thickBot="1">
      <c r="A297" s="779" t="s">
        <v>534</v>
      </c>
      <c r="B297" s="773" t="s">
        <v>965</v>
      </c>
      <c r="C297" s="977">
        <v>0.14799999999999999</v>
      </c>
      <c r="D297" s="977">
        <v>0.14899999999999999</v>
      </c>
      <c r="E297" s="977">
        <v>0.15</v>
      </c>
      <c r="F297" s="978">
        <v>0.13700000000000001</v>
      </c>
    </row>
    <row r="298" spans="1:6" ht="14.25" thickBot="1">
      <c r="A298" s="779" t="s">
        <v>534</v>
      </c>
      <c r="B298" s="773" t="s">
        <v>267</v>
      </c>
      <c r="C298" s="977">
        <v>0.13400000000000001</v>
      </c>
      <c r="D298" s="977">
        <v>0.13400000000000001</v>
      </c>
      <c r="E298" s="977">
        <v>0.14499999999999999</v>
      </c>
      <c r="F298" s="978">
        <v>0.14799999999999999</v>
      </c>
    </row>
    <row r="299" spans="1:6" ht="14.25" thickBot="1">
      <c r="A299" s="779" t="s">
        <v>534</v>
      </c>
      <c r="B299" s="773" t="s">
        <v>279</v>
      </c>
      <c r="C299" s="977">
        <v>0.15</v>
      </c>
      <c r="D299" s="977">
        <v>0.15</v>
      </c>
      <c r="E299" s="977">
        <v>0.15</v>
      </c>
      <c r="F299" s="989"/>
    </row>
    <row r="300" spans="1:6" ht="14.25" thickBot="1">
      <c r="A300" s="779" t="s">
        <v>534</v>
      </c>
      <c r="B300" s="773" t="s">
        <v>966</v>
      </c>
      <c r="C300" s="977">
        <v>0.15</v>
      </c>
      <c r="D300" s="977">
        <v>0.15</v>
      </c>
      <c r="E300" s="977">
        <v>0.15</v>
      </c>
      <c r="F300" s="978">
        <v>0.15</v>
      </c>
    </row>
    <row r="301" spans="1:6" ht="14.25" thickBot="1">
      <c r="A301" s="779" t="s">
        <v>534</v>
      </c>
      <c r="B301" s="773" t="s">
        <v>299</v>
      </c>
      <c r="C301" s="977">
        <v>0.15</v>
      </c>
      <c r="D301" s="977">
        <v>0.15</v>
      </c>
      <c r="E301" s="977">
        <v>0.15</v>
      </c>
      <c r="F301" s="989"/>
    </row>
    <row r="302" spans="1:6" ht="14.25" thickBot="1">
      <c r="A302" s="779" t="s">
        <v>534</v>
      </c>
      <c r="B302" s="773" t="s">
        <v>967</v>
      </c>
      <c r="C302" s="977">
        <v>0.15</v>
      </c>
      <c r="D302" s="977">
        <v>0.15</v>
      </c>
      <c r="E302" s="977">
        <v>0.15</v>
      </c>
      <c r="F302" s="978">
        <v>0.15</v>
      </c>
    </row>
    <row r="303" spans="1:6" ht="14.25" thickBot="1">
      <c r="A303" s="779" t="s">
        <v>534</v>
      </c>
      <c r="B303" s="773" t="s">
        <v>319</v>
      </c>
      <c r="C303" s="977">
        <v>0.15</v>
      </c>
      <c r="D303" s="977">
        <v>0.15</v>
      </c>
      <c r="E303" s="977">
        <v>0.15</v>
      </c>
      <c r="F303" s="978">
        <v>0.15</v>
      </c>
    </row>
    <row r="304" spans="1:6" ht="14.25" thickBot="1">
      <c r="A304" s="779" t="s">
        <v>534</v>
      </c>
      <c r="B304" s="773" t="s">
        <v>330</v>
      </c>
      <c r="C304" s="977">
        <v>0.15</v>
      </c>
      <c r="D304" s="977">
        <v>0.15</v>
      </c>
      <c r="E304" s="977">
        <v>0.15</v>
      </c>
      <c r="F304" s="989"/>
    </row>
    <row r="305" spans="1:6" ht="14.25" thickBot="1">
      <c r="A305" s="779" t="s">
        <v>534</v>
      </c>
      <c r="B305" s="773" t="s">
        <v>968</v>
      </c>
      <c r="C305" s="977">
        <v>0.15</v>
      </c>
      <c r="D305" s="977">
        <v>0.15</v>
      </c>
      <c r="E305" s="977">
        <v>0.15</v>
      </c>
      <c r="F305" s="978">
        <v>0.14000000000000001</v>
      </c>
    </row>
    <row r="306" spans="1:6" ht="14.25" thickBot="1">
      <c r="A306" s="779" t="s">
        <v>534</v>
      </c>
      <c r="B306" s="773" t="s">
        <v>351</v>
      </c>
      <c r="C306" s="977">
        <v>0.15</v>
      </c>
      <c r="D306" s="977">
        <v>0.15</v>
      </c>
      <c r="E306" s="977">
        <v>0.15</v>
      </c>
      <c r="F306" s="989"/>
    </row>
    <row r="307" spans="1:6" ht="14.25" thickBot="1">
      <c r="A307" s="779" t="s">
        <v>534</v>
      </c>
      <c r="B307" s="773" t="s">
        <v>969</v>
      </c>
      <c r="C307" s="977">
        <v>0.15</v>
      </c>
      <c r="D307" s="977">
        <v>0.15</v>
      </c>
      <c r="E307" s="977">
        <v>0.15</v>
      </c>
      <c r="F307" s="978">
        <v>0.14299999999999999</v>
      </c>
    </row>
    <row r="308" spans="1:6" ht="14.25" thickBot="1">
      <c r="A308" s="779" t="s">
        <v>534</v>
      </c>
      <c r="B308" s="773" t="s">
        <v>371</v>
      </c>
      <c r="C308" s="977">
        <v>0.15</v>
      </c>
      <c r="D308" s="977">
        <v>0.15</v>
      </c>
      <c r="E308" s="977">
        <v>0.15</v>
      </c>
      <c r="F308" s="978">
        <v>0.15</v>
      </c>
    </row>
    <row r="309" spans="1:6" ht="14.25" thickBot="1">
      <c r="A309" s="779" t="s">
        <v>534</v>
      </c>
      <c r="B309" s="773" t="s">
        <v>381</v>
      </c>
      <c r="C309" s="977">
        <v>0.15</v>
      </c>
      <c r="D309" s="977">
        <v>0.15</v>
      </c>
      <c r="E309" s="977">
        <v>0.15</v>
      </c>
      <c r="F309" s="989"/>
    </row>
    <row r="310" spans="1:6" ht="14.25" thickBot="1">
      <c r="A310" s="779" t="s">
        <v>534</v>
      </c>
      <c r="B310" s="773" t="s">
        <v>970</v>
      </c>
      <c r="C310" s="977">
        <v>0.15</v>
      </c>
      <c r="D310" s="977">
        <v>0.15</v>
      </c>
      <c r="E310" s="977">
        <v>0.15</v>
      </c>
      <c r="F310" s="978">
        <v>0.13700000000000001</v>
      </c>
    </row>
    <row r="311" spans="1:6" ht="14.25" thickBot="1">
      <c r="A311" s="779" t="s">
        <v>534</v>
      </c>
      <c r="B311" s="773" t="s">
        <v>971</v>
      </c>
      <c r="C311" s="977">
        <v>0.15</v>
      </c>
      <c r="D311" s="977">
        <v>0.15</v>
      </c>
      <c r="E311" s="977">
        <v>0.15</v>
      </c>
      <c r="F311" s="978">
        <v>0.15</v>
      </c>
    </row>
    <row r="312" spans="1:6" ht="14.25" thickBot="1">
      <c r="A312" s="779" t="s">
        <v>534</v>
      </c>
      <c r="B312" s="773" t="s">
        <v>407</v>
      </c>
      <c r="C312" s="977">
        <v>0.15</v>
      </c>
      <c r="D312" s="977">
        <v>0.15</v>
      </c>
      <c r="E312" s="977">
        <v>0.15</v>
      </c>
      <c r="F312" s="978">
        <v>0.1</v>
      </c>
    </row>
    <row r="313" spans="1:6" ht="14.25" thickBot="1">
      <c r="A313" s="779" t="s">
        <v>534</v>
      </c>
      <c r="B313" s="773" t="s">
        <v>972</v>
      </c>
      <c r="C313" s="977">
        <v>0.15</v>
      </c>
      <c r="D313" s="977">
        <v>0.15</v>
      </c>
      <c r="E313" s="977">
        <v>0.15</v>
      </c>
      <c r="F313" s="978">
        <v>0.15</v>
      </c>
    </row>
    <row r="314" spans="1:6" ht="24.75" thickBot="1">
      <c r="A314" s="779" t="s">
        <v>534</v>
      </c>
      <c r="B314" s="773" t="s">
        <v>973</v>
      </c>
      <c r="C314" s="990"/>
      <c r="D314" s="990"/>
      <c r="E314" s="990"/>
      <c r="F314" s="978">
        <v>0.05</v>
      </c>
    </row>
    <row r="315" spans="1:6" ht="24.75" thickBot="1">
      <c r="A315" s="779" t="s">
        <v>534</v>
      </c>
      <c r="B315" s="773" t="s">
        <v>974</v>
      </c>
      <c r="C315" s="990"/>
      <c r="D315" s="990"/>
      <c r="E315" s="990"/>
      <c r="F315" s="978">
        <v>0.05</v>
      </c>
    </row>
    <row r="316" spans="1:6" ht="24.75" thickBot="1">
      <c r="A316" s="789" t="s">
        <v>534</v>
      </c>
      <c r="B316" s="785" t="s">
        <v>975</v>
      </c>
      <c r="C316" s="987"/>
      <c r="D316" s="987"/>
      <c r="E316" s="987"/>
      <c r="F316" s="980">
        <v>0.05</v>
      </c>
    </row>
    <row r="317" spans="1:6" ht="14.25" thickBot="1">
      <c r="A317" s="779" t="s">
        <v>976</v>
      </c>
      <c r="B317" s="780" t="s">
        <v>977</v>
      </c>
      <c r="C317" s="975">
        <v>0.15</v>
      </c>
      <c r="D317" s="975">
        <v>0.15</v>
      </c>
      <c r="E317" s="975">
        <v>0.15</v>
      </c>
      <c r="F317" s="976">
        <v>0.15</v>
      </c>
    </row>
    <row r="318" spans="1:6" ht="14.25" thickBot="1">
      <c r="A318" s="779" t="s">
        <v>976</v>
      </c>
      <c r="B318" s="773" t="s">
        <v>978</v>
      </c>
      <c r="C318" s="977">
        <v>0.107</v>
      </c>
      <c r="D318" s="977">
        <v>0.11</v>
      </c>
      <c r="E318" s="977">
        <v>0.112</v>
      </c>
      <c r="F318" s="989"/>
    </row>
    <row r="319" spans="1:6" ht="14.25" thickBot="1">
      <c r="A319" s="779" t="s">
        <v>976</v>
      </c>
      <c r="B319" s="773" t="s">
        <v>979</v>
      </c>
      <c r="C319" s="977">
        <v>0.15</v>
      </c>
      <c r="D319" s="977">
        <v>0.15</v>
      </c>
      <c r="E319" s="977">
        <v>0.15</v>
      </c>
      <c r="F319" s="978">
        <v>0.15</v>
      </c>
    </row>
    <row r="320" spans="1:6" ht="14.25" thickBot="1">
      <c r="A320" s="779" t="s">
        <v>976</v>
      </c>
      <c r="B320" s="773" t="s">
        <v>223</v>
      </c>
      <c r="C320" s="977">
        <v>0.15</v>
      </c>
      <c r="D320" s="977">
        <v>0.15</v>
      </c>
      <c r="E320" s="977">
        <v>0.15</v>
      </c>
      <c r="F320" s="989"/>
    </row>
    <row r="321" spans="1:6" ht="14.25" thickBot="1">
      <c r="A321" s="779" t="s">
        <v>976</v>
      </c>
      <c r="B321" s="773" t="s">
        <v>980</v>
      </c>
      <c r="C321" s="977">
        <v>0.15</v>
      </c>
      <c r="D321" s="977">
        <v>0.15</v>
      </c>
      <c r="E321" s="977">
        <v>0.15</v>
      </c>
      <c r="F321" s="989"/>
    </row>
    <row r="322" spans="1:6" ht="14.25" thickBot="1">
      <c r="A322" s="779" t="s">
        <v>976</v>
      </c>
      <c r="B322" s="773" t="s">
        <v>981</v>
      </c>
      <c r="C322" s="977">
        <v>0.15</v>
      </c>
      <c r="D322" s="977">
        <v>0.15</v>
      </c>
      <c r="E322" s="977">
        <v>0.15</v>
      </c>
      <c r="F322" s="978">
        <v>0.15</v>
      </c>
    </row>
    <row r="323" spans="1:6" ht="14.25" thickBot="1">
      <c r="A323" s="779" t="s">
        <v>976</v>
      </c>
      <c r="B323" s="773" t="s">
        <v>982</v>
      </c>
      <c r="C323" s="977">
        <v>0.15</v>
      </c>
      <c r="D323" s="977">
        <v>0.15</v>
      </c>
      <c r="E323" s="977">
        <v>0.15</v>
      </c>
      <c r="F323" s="989"/>
    </row>
    <row r="324" spans="1:6" ht="14.25" thickBot="1">
      <c r="A324" s="779" t="s">
        <v>976</v>
      </c>
      <c r="B324" s="773" t="s">
        <v>983</v>
      </c>
      <c r="C324" s="977">
        <v>0.15</v>
      </c>
      <c r="D324" s="977">
        <v>0.15</v>
      </c>
      <c r="E324" s="977">
        <v>0.15</v>
      </c>
      <c r="F324" s="989"/>
    </row>
    <row r="325" spans="1:6" ht="14.25" thickBot="1">
      <c r="A325" s="779" t="s">
        <v>976</v>
      </c>
      <c r="B325" s="773" t="s">
        <v>984</v>
      </c>
      <c r="C325" s="977">
        <v>0.15</v>
      </c>
      <c r="D325" s="977">
        <v>0.15</v>
      </c>
      <c r="E325" s="977">
        <v>0.15</v>
      </c>
      <c r="F325" s="978">
        <v>0.14699999999999999</v>
      </c>
    </row>
    <row r="326" spans="1:6" ht="14.25" thickBot="1">
      <c r="A326" s="779" t="s">
        <v>976</v>
      </c>
      <c r="B326" s="773" t="s">
        <v>290</v>
      </c>
      <c r="C326" s="977">
        <v>0.15</v>
      </c>
      <c r="D326" s="977">
        <v>0.15</v>
      </c>
      <c r="E326" s="977">
        <v>0.15</v>
      </c>
      <c r="F326" s="989"/>
    </row>
    <row r="327" spans="1:6" ht="14.25" thickBot="1">
      <c r="A327" s="779" t="s">
        <v>976</v>
      </c>
      <c r="B327" s="773" t="s">
        <v>985</v>
      </c>
      <c r="C327" s="977">
        <v>0.15</v>
      </c>
      <c r="D327" s="977">
        <v>0.15</v>
      </c>
      <c r="E327" s="977">
        <v>0.15</v>
      </c>
      <c r="F327" s="978">
        <v>0.15</v>
      </c>
    </row>
    <row r="328" spans="1:6" ht="14.25" thickBot="1">
      <c r="A328" s="779" t="s">
        <v>976</v>
      </c>
      <c r="B328" s="773" t="s">
        <v>310</v>
      </c>
      <c r="C328" s="977">
        <v>0.15</v>
      </c>
      <c r="D328" s="977">
        <v>0.15</v>
      </c>
      <c r="E328" s="977">
        <v>0.15</v>
      </c>
      <c r="F328" s="978">
        <v>0.14099999999999999</v>
      </c>
    </row>
    <row r="329" spans="1:6" ht="14.25" thickBot="1">
      <c r="A329" s="779" t="s">
        <v>976</v>
      </c>
      <c r="B329" s="773" t="s">
        <v>320</v>
      </c>
      <c r="C329" s="977">
        <v>0.15</v>
      </c>
      <c r="D329" s="977">
        <v>0.15</v>
      </c>
      <c r="E329" s="977">
        <v>0.15</v>
      </c>
      <c r="F329" s="978">
        <v>0.15</v>
      </c>
    </row>
    <row r="330" spans="1:6" ht="14.25" thickBot="1">
      <c r="A330" s="779" t="s">
        <v>976</v>
      </c>
      <c r="B330" s="773" t="s">
        <v>331</v>
      </c>
      <c r="C330" s="977">
        <v>0.15</v>
      </c>
      <c r="D330" s="977">
        <v>0.15</v>
      </c>
      <c r="E330" s="977">
        <v>0.15</v>
      </c>
      <c r="F330" s="989"/>
    </row>
    <row r="331" spans="1:6" ht="14.25" thickBot="1">
      <c r="A331" s="779" t="s">
        <v>976</v>
      </c>
      <c r="B331" s="773" t="s">
        <v>986</v>
      </c>
      <c r="C331" s="977">
        <v>0.15</v>
      </c>
      <c r="D331" s="977">
        <v>0.15</v>
      </c>
      <c r="E331" s="977">
        <v>0.15</v>
      </c>
      <c r="F331" s="978">
        <v>0.15</v>
      </c>
    </row>
    <row r="332" spans="1:6" ht="14.25" thickBot="1">
      <c r="A332" s="779" t="s">
        <v>976</v>
      </c>
      <c r="B332" s="773" t="s">
        <v>352</v>
      </c>
      <c r="C332" s="977">
        <v>0.15</v>
      </c>
      <c r="D332" s="977">
        <v>0.15</v>
      </c>
      <c r="E332" s="977">
        <v>0.15</v>
      </c>
      <c r="F332" s="978">
        <v>0.15</v>
      </c>
    </row>
    <row r="333" spans="1:6" ht="14.25" thickBot="1">
      <c r="A333" s="779" t="s">
        <v>976</v>
      </c>
      <c r="B333" s="773" t="s">
        <v>987</v>
      </c>
      <c r="C333" s="977">
        <v>0.15</v>
      </c>
      <c r="D333" s="977">
        <v>0.15</v>
      </c>
      <c r="E333" s="977">
        <v>0.15</v>
      </c>
      <c r="F333" s="978">
        <v>0.14099999999999999</v>
      </c>
    </row>
    <row r="334" spans="1:6" ht="14.25" thickBot="1">
      <c r="A334" s="779" t="s">
        <v>976</v>
      </c>
      <c r="B334" s="773" t="s">
        <v>372</v>
      </c>
      <c r="C334" s="977">
        <v>0.15</v>
      </c>
      <c r="D334" s="977">
        <v>0.15</v>
      </c>
      <c r="E334" s="977">
        <v>0.15</v>
      </c>
      <c r="F334" s="978">
        <v>0.15</v>
      </c>
    </row>
    <row r="335" spans="1:6" ht="14.25" thickBot="1">
      <c r="A335" s="779" t="s">
        <v>976</v>
      </c>
      <c r="B335" s="773" t="s">
        <v>382</v>
      </c>
      <c r="C335" s="977">
        <v>0.15</v>
      </c>
      <c r="D335" s="977">
        <v>0.15</v>
      </c>
      <c r="E335" s="977">
        <v>0.15</v>
      </c>
      <c r="F335" s="989"/>
    </row>
    <row r="336" spans="1:6" ht="14.25" thickBot="1">
      <c r="A336" s="779" t="s">
        <v>976</v>
      </c>
      <c r="B336" s="773" t="s">
        <v>988</v>
      </c>
      <c r="C336" s="977">
        <v>0.15</v>
      </c>
      <c r="D336" s="977">
        <v>0.15</v>
      </c>
      <c r="E336" s="977">
        <v>0.15</v>
      </c>
      <c r="F336" s="978">
        <v>0.11799999999999999</v>
      </c>
    </row>
    <row r="337" spans="1:6" ht="14.25" thickBot="1">
      <c r="A337" s="789" t="s">
        <v>976</v>
      </c>
      <c r="B337" s="785" t="s">
        <v>400</v>
      </c>
      <c r="C337" s="987"/>
      <c r="D337" s="987"/>
      <c r="E337" s="987"/>
      <c r="F337" s="980">
        <v>0.14299999999999999</v>
      </c>
    </row>
    <row r="338" spans="1:6" ht="14.25" thickBot="1">
      <c r="A338" s="779" t="s">
        <v>989</v>
      </c>
      <c r="B338" s="780" t="s">
        <v>990</v>
      </c>
      <c r="C338" s="975">
        <v>0.15</v>
      </c>
      <c r="D338" s="975">
        <v>0.15</v>
      </c>
      <c r="E338" s="975">
        <v>0.15</v>
      </c>
      <c r="F338" s="992"/>
    </row>
    <row r="339" spans="1:6" ht="14.25" thickBot="1">
      <c r="A339" s="779" t="s">
        <v>989</v>
      </c>
      <c r="B339" s="773" t="s">
        <v>991</v>
      </c>
      <c r="C339" s="977">
        <v>0.15</v>
      </c>
      <c r="D339" s="977">
        <v>0.15</v>
      </c>
      <c r="E339" s="977">
        <v>0.15</v>
      </c>
      <c r="F339" s="989"/>
    </row>
    <row r="340" spans="1:6" ht="14.25" thickBot="1">
      <c r="A340" s="779" t="s">
        <v>989</v>
      </c>
      <c r="B340" s="773" t="s">
        <v>992</v>
      </c>
      <c r="C340" s="977">
        <v>0.15</v>
      </c>
      <c r="D340" s="977">
        <v>0.15</v>
      </c>
      <c r="E340" s="977">
        <v>0.15</v>
      </c>
      <c r="F340" s="989"/>
    </row>
    <row r="341" spans="1:6" ht="14.25" thickBot="1">
      <c r="A341" s="779" t="s">
        <v>989</v>
      </c>
      <c r="B341" s="773" t="s">
        <v>993</v>
      </c>
      <c r="C341" s="977">
        <v>0.15</v>
      </c>
      <c r="D341" s="977">
        <v>0.15</v>
      </c>
      <c r="E341" s="977">
        <v>0.15</v>
      </c>
      <c r="F341" s="978">
        <v>0.15</v>
      </c>
    </row>
    <row r="342" spans="1:6" ht="14.25" thickBot="1">
      <c r="A342" s="779" t="s">
        <v>989</v>
      </c>
      <c r="B342" s="773" t="s">
        <v>994</v>
      </c>
      <c r="C342" s="977">
        <v>0.15</v>
      </c>
      <c r="D342" s="977">
        <v>0.15</v>
      </c>
      <c r="E342" s="977">
        <v>0.15</v>
      </c>
      <c r="F342" s="978">
        <v>0.15</v>
      </c>
    </row>
    <row r="343" spans="1:6" ht="14.25" thickBot="1">
      <c r="A343" s="779" t="s">
        <v>989</v>
      </c>
      <c r="B343" s="773" t="s">
        <v>995</v>
      </c>
      <c r="C343" s="977">
        <v>0.15</v>
      </c>
      <c r="D343" s="977">
        <v>0.15</v>
      </c>
      <c r="E343" s="977">
        <v>0.15</v>
      </c>
      <c r="F343" s="978">
        <v>0.15</v>
      </c>
    </row>
    <row r="344" spans="1:6" ht="14.25" thickBot="1">
      <c r="A344" s="789" t="s">
        <v>989</v>
      </c>
      <c r="B344" s="785"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44328</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962" t="s">
        <v>1603</v>
      </c>
      <c r="E3" s="962" t="s">
        <v>1609</v>
      </c>
      <c r="F3" s="962" t="s">
        <v>1603</v>
      </c>
      <c r="G3" s="962" t="s">
        <v>1604</v>
      </c>
      <c r="H3" s="962" t="s">
        <v>1603</v>
      </c>
      <c r="I3" s="962" t="s">
        <v>1604</v>
      </c>
    </row>
    <row r="4" spans="1:9" ht="15">
      <c r="A4" s="1689" t="str">
        <f>项目基本情况!S2</f>
        <v>北京市房地产</v>
      </c>
      <c r="B4" s="962">
        <f>项目基本情况!C17</f>
        <v>1568.25</v>
      </c>
      <c r="C4" s="962">
        <f>项目基本情况!C18</f>
        <v>0</v>
      </c>
      <c r="D4" s="962">
        <f ca="1">结果表!D118</f>
        <v>5716</v>
      </c>
      <c r="E4" s="962">
        <f ca="1">结果表!E118</f>
        <v>36448</v>
      </c>
      <c r="F4" s="962">
        <f ca="1">结果表!F118</f>
        <v>1032</v>
      </c>
      <c r="G4" s="962">
        <f ca="1">结果表!G118</f>
        <v>6581</v>
      </c>
      <c r="H4" s="962">
        <f ca="1">结果表!H118</f>
        <v>6748</v>
      </c>
      <c r="I4" s="962">
        <f ca="1">结果表!I118</f>
        <v>43029</v>
      </c>
    </row>
    <row r="5" spans="1:9" ht="30" customHeight="1">
      <c r="A5" s="3077" t="s">
        <v>1605</v>
      </c>
      <c r="B5" s="3077"/>
      <c r="C5" s="3077"/>
      <c r="D5" s="3078" t="str">
        <f ca="1">结果表!D119</f>
        <v>伍仟柒佰壹拾陆万元整</v>
      </c>
      <c r="E5" s="3078"/>
      <c r="F5" s="3078" t="str">
        <f ca="1">结果表!F119</f>
        <v>壹仟零叁拾贰万元整</v>
      </c>
      <c r="G5" s="3078"/>
      <c r="H5" s="3078" t="str">
        <f ca="1">结果表!H119</f>
        <v>陆仟柒佰肆拾捌万元整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房地产抵押价值</v>
      </c>
      <c r="B8" s="3076"/>
      <c r="C8" s="3076"/>
      <c r="D8" s="3076">
        <f ca="1">结果表!D122</f>
        <v>6748</v>
      </c>
      <c r="E8" s="3076"/>
      <c r="F8" s="3076"/>
      <c r="G8" s="3076"/>
      <c r="H8" s="3076"/>
      <c r="I8" s="3076"/>
    </row>
    <row r="9" spans="1:9" ht="15">
      <c r="A9" s="3077" t="s">
        <v>1605</v>
      </c>
      <c r="B9" s="3077"/>
      <c r="C9" s="3077"/>
      <c r="D9" s="3078" t="str">
        <f ca="1">结果表!D123</f>
        <v>陆仟柒佰肆拾捌万元整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1605</v>
      </c>
      <c r="B13" s="3073"/>
      <c r="C13" s="3073"/>
      <c r="D13" s="3074" t="e">
        <f>结果表!D127</f>
        <v>#VALUE!</v>
      </c>
      <c r="E13" s="3074"/>
      <c r="F13" s="3074"/>
      <c r="G13" s="3074"/>
      <c r="H13" s="3074"/>
      <c r="I13" s="3074"/>
    </row>
    <row r="14" spans="1:9" ht="15" thickTop="1">
      <c r="A14" s="3075" t="s">
        <v>1610</v>
      </c>
      <c r="B14" s="3075"/>
      <c r="C14" s="3075"/>
      <c r="D14" s="3075"/>
      <c r="E14" s="3075"/>
      <c r="F14" s="3075"/>
      <c r="G14" s="3075"/>
      <c r="H14" s="3075"/>
      <c r="I14" s="3075"/>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0" t="s">
        <v>1627</v>
      </c>
      <c r="B1" s="3090"/>
      <c r="C1" s="3090"/>
      <c r="D1" s="3090"/>
    </row>
    <row r="2" spans="1:4" ht="18">
      <c r="A2" s="3091" t="s">
        <v>1611</v>
      </c>
      <c r="B2" s="3091"/>
      <c r="C2" s="3091"/>
      <c r="D2" s="309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1" t="s">
        <v>1617</v>
      </c>
      <c r="B6" s="3091"/>
      <c r="C6" s="3091"/>
      <c r="D6" s="3091"/>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1623</v>
      </c>
      <c r="B22" s="3088"/>
      <c r="C22" s="3088"/>
      <c r="D22" s="308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098" t="s">
        <v>1634</v>
      </c>
      <c r="B15" s="3093" t="s">
        <v>136</v>
      </c>
      <c r="C15" s="3094"/>
    </row>
    <row r="16" spans="1:7" ht="13.5">
      <c r="A16" s="3099"/>
      <c r="B16" s="3093" t="s">
        <v>69</v>
      </c>
      <c r="C16" s="3094"/>
    </row>
    <row r="17" spans="1:3" ht="13.5">
      <c r="A17" s="3099"/>
      <c r="B17" s="3096" t="s">
        <v>1635</v>
      </c>
      <c r="C17" s="1716" t="s">
        <v>1634</v>
      </c>
    </row>
    <row r="18" spans="1:3" ht="13.5">
      <c r="A18" s="3099"/>
      <c r="B18" s="3096"/>
      <c r="C18" s="1716" t="s">
        <v>1636</v>
      </c>
    </row>
    <row r="19" spans="1:3" ht="13.5">
      <c r="A19" s="3099"/>
      <c r="B19" s="3096"/>
      <c r="C19" s="1716" t="s">
        <v>1637</v>
      </c>
    </row>
    <row r="20" spans="1:3" ht="13.5">
      <c r="A20" s="3100"/>
      <c r="B20" s="3095" t="s">
        <v>1638</v>
      </c>
      <c r="C20" s="3094"/>
    </row>
    <row r="21" spans="1:3" ht="13.5">
      <c r="A21" s="1717" t="s">
        <v>1639</v>
      </c>
      <c r="B21" s="1718"/>
      <c r="C21" s="1719"/>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6" t="s">
        <v>1645</v>
      </c>
    </row>
    <row r="26" spans="1:3" ht="13.5">
      <c r="A26" s="3097"/>
      <c r="B26" s="3096"/>
      <c r="C26" s="1716" t="s">
        <v>1646</v>
      </c>
    </row>
    <row r="27" spans="1:3" ht="13.5">
      <c r="A27" s="3097"/>
      <c r="B27" s="3096"/>
      <c r="C27" s="1716" t="s">
        <v>1647</v>
      </c>
    </row>
    <row r="28" spans="1:3" ht="13.5">
      <c r="A28" s="3097"/>
      <c r="B28" s="3096"/>
      <c r="C28" s="1716" t="s">
        <v>1648</v>
      </c>
    </row>
    <row r="29" spans="1:3" ht="13.5">
      <c r="A29" s="3097"/>
      <c r="B29" s="3096"/>
      <c r="C29" s="1716" t="s">
        <v>1649</v>
      </c>
    </row>
    <row r="30" spans="1:3" ht="13.5">
      <c r="A30" s="3097"/>
      <c r="B30" s="3096"/>
      <c r="C30" s="1716" t="s">
        <v>1650</v>
      </c>
    </row>
    <row r="31" spans="1:3" ht="13.5">
      <c r="A31" s="3097"/>
      <c r="B31" s="3096"/>
      <c r="C31" s="1716" t="s">
        <v>1651</v>
      </c>
    </row>
    <row r="32" spans="1:3" ht="13.5">
      <c r="A32" s="3097"/>
      <c r="B32" s="3096"/>
      <c r="C32" s="1716" t="s">
        <v>1652</v>
      </c>
    </row>
    <row r="33" spans="1:3" ht="13.5">
      <c r="A33" s="3097"/>
      <c r="B33" s="309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44328</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f ca="1">IF(C6&lt;B2,"已过期",1120050019)</f>
        <v>1120050019</v>
      </c>
      <c r="C6" s="2567">
        <v>44395</v>
      </c>
      <c r="D6" s="2568" t="str">
        <f t="shared" ca="1" si="0"/>
        <v>王鹏（注册号：1120050019）</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f ca="1">IF(C13&lt;B2,"已过期",1120020033)</f>
        <v>1120020033</v>
      </c>
      <c r="C13" s="2567">
        <v>44339</v>
      </c>
      <c r="D13" s="2568" t="str">
        <f t="shared" ca="1" si="0"/>
        <v>刘敬东（注册号：1120020033）</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1" t="s">
        <v>2902</v>
      </c>
      <c r="B17" s="3101"/>
      <c r="C17" s="3101"/>
      <c r="D17" s="3101"/>
      <c r="E17" s="3101"/>
      <c r="F17" s="3101"/>
      <c r="G17" s="3101"/>
      <c r="H17" s="3101"/>
    </row>
    <row r="18" spans="1:8" ht="24" customHeight="1">
      <c r="A18" s="3102" t="s">
        <v>2903</v>
      </c>
      <c r="B18" s="3102"/>
      <c r="C18" s="3102"/>
      <c r="D18" s="2565"/>
      <c r="E18" s="3103" t="s">
        <v>2904</v>
      </c>
      <c r="F18" s="3102"/>
      <c r="G18" s="3102"/>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2021-05-12T05:14:59Z</dcterms:modified>
</cp:coreProperties>
</file>