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北苑车位租金\"/>
    </mc:Choice>
  </mc:AlternateContent>
  <xr:revisionPtr revIDLastSave="0" documentId="13_ncr:1_{502EEBD4-D0D7-4CAD-8FC7-6CCA4BCFBD7A}" xr6:coauthVersionLast="47" xr6:coauthVersionMax="47" xr10:uidLastSave="{00000000-0000-0000-0000-000000000000}"/>
  <bookViews>
    <workbookView xWindow="-120" yWindow="-120" windowWidth="38640" windowHeight="21240" tabRatio="899" firstSheet="7"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月租" sheetId="35" r:id="rId30"/>
    <sheet name="比较法-车位时租" sheetId="81" r:id="rId31"/>
    <sheet name="Sheet1" sheetId="80"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0" hidden="1">'比较法-车位时租'!$A$1:$L$39</definedName>
    <definedName name="_xlnm._FilterDatabase" localSheetId="29" hidden="1">'比较法-车位月租'!$A$1:$L$39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0">'比较法-车位时租'!$A$1:$K$44,'比较法-车位时租'!$A$47:$M$102</definedName>
    <definedName name="_xlnm.Print_Area" localSheetId="29">'比较法-车位月租'!$A$1:$K$44,'比较法-车位月租'!$A$47:$M$102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0">'比较法-车位时租'!$B$83:$M$83</definedName>
    <definedName name="车位公共部分装修">'比较法-车位月租'!$B$83:$M$83</definedName>
    <definedName name="车位交易情况" localSheetId="30">'比较法-车位时租'!$A$51:$M$51</definedName>
    <definedName name="车位交易情况">'比较法-车位月租'!$A$51:$M$51</definedName>
    <definedName name="车位类型" localSheetId="30">'比较法-车位时租'!$B$93:$M$93</definedName>
    <definedName name="车位类型">'比较法-车位月租'!$B$93:$M$93</definedName>
    <definedName name="车位楼层" localSheetId="30">'比较法-车位时租'!$B$71:$M$71</definedName>
    <definedName name="车位楼层">'比较法-车位月租'!$B$71:$M$71</definedName>
    <definedName name="车位配套类型" localSheetId="30">'比较法-车位时租'!$B$79:$M$79</definedName>
    <definedName name="车位配套类型">'比较法-车位月租'!$B$79:$M$79</definedName>
    <definedName name="车位物业等级" localSheetId="30">'比较法-车位时租'!$B$88:$M$88</definedName>
    <definedName name="车位物业等级">'比较法-车位月租'!$B$88:$M$88</definedName>
    <definedName name="车位用途" localSheetId="30">'比较法-车位时租'!$B$53:$M$53</definedName>
    <definedName name="车位用途">'比较法-车位月租'!$B$53:$M$53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30">'比较法-车位时租'!$B$95:$M$95</definedName>
    <definedName name="是否直接入户">'比较法-车位月租'!$B$95:$M$95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8" i="81" l="1"/>
  <c r="B101" i="81"/>
  <c r="B99" i="81"/>
  <c r="B97" i="81"/>
  <c r="H34" i="81" s="1"/>
  <c r="D96" i="81"/>
  <c r="E96" i="81" s="1"/>
  <c r="F96" i="81" s="1"/>
  <c r="G96" i="81" s="1"/>
  <c r="E94" i="81"/>
  <c r="F94" i="81" s="1"/>
  <c r="G94" i="81" s="1"/>
  <c r="H94" i="81" s="1"/>
  <c r="I94" i="81" s="1"/>
  <c r="J94" i="81" s="1"/>
  <c r="K94" i="81" s="1"/>
  <c r="L94" i="81" s="1"/>
  <c r="M94" i="81" s="1"/>
  <c r="D94" i="81"/>
  <c r="M90" i="81"/>
  <c r="L90" i="81"/>
  <c r="K90" i="81"/>
  <c r="J90" i="81"/>
  <c r="I90" i="81"/>
  <c r="H90" i="81"/>
  <c r="G90" i="81"/>
  <c r="F90" i="81"/>
  <c r="E90" i="81"/>
  <c r="D90" i="81"/>
  <c r="C90" i="81"/>
  <c r="F89" i="81"/>
  <c r="G89" i="81" s="1"/>
  <c r="H89" i="81" s="1"/>
  <c r="I89" i="81" s="1"/>
  <c r="J89" i="81" s="1"/>
  <c r="K89" i="81" s="1"/>
  <c r="L89" i="81" s="1"/>
  <c r="M89" i="81" s="1"/>
  <c r="D89" i="81"/>
  <c r="E89" i="81" s="1"/>
  <c r="D87" i="81"/>
  <c r="E87" i="81" s="1"/>
  <c r="G85" i="81"/>
  <c r="F85" i="81"/>
  <c r="E85" i="81"/>
  <c r="D85" i="81"/>
  <c r="C85" i="81"/>
  <c r="D84" i="81"/>
  <c r="J28" i="81" s="1"/>
  <c r="W28" i="81" s="1"/>
  <c r="I80" i="81"/>
  <c r="J80" i="81" s="1"/>
  <c r="K80" i="81" s="1"/>
  <c r="L80" i="81" s="1"/>
  <c r="M80" i="81" s="1"/>
  <c r="E80" i="81"/>
  <c r="F80" i="81" s="1"/>
  <c r="G80" i="81" s="1"/>
  <c r="H80" i="81" s="1"/>
  <c r="D80" i="81"/>
  <c r="B77" i="81"/>
  <c r="B75" i="81"/>
  <c r="B73" i="81"/>
  <c r="E72" i="81"/>
  <c r="F72" i="81" s="1"/>
  <c r="G72" i="81" s="1"/>
  <c r="D72" i="81"/>
  <c r="E70" i="81"/>
  <c r="F70" i="81" s="1"/>
  <c r="G70" i="81" s="1"/>
  <c r="D70" i="81"/>
  <c r="E68" i="81"/>
  <c r="F68" i="81" s="1"/>
  <c r="G68" i="81" s="1"/>
  <c r="D68" i="81"/>
  <c r="E66" i="81"/>
  <c r="F66" i="81" s="1"/>
  <c r="G66" i="81" s="1"/>
  <c r="D66" i="81"/>
  <c r="E64" i="81"/>
  <c r="F64" i="81" s="1"/>
  <c r="G64" i="81" s="1"/>
  <c r="D64" i="81"/>
  <c r="B61" i="81"/>
  <c r="B59" i="81"/>
  <c r="B57" i="81"/>
  <c r="C53" i="81"/>
  <c r="I44" i="81"/>
  <c r="J44" i="81" s="1"/>
  <c r="G44" i="81"/>
  <c r="H44" i="81" s="1"/>
  <c r="E44" i="81"/>
  <c r="F44" i="81" s="1"/>
  <c r="P39" i="81"/>
  <c r="P38" i="81"/>
  <c r="K38" i="81"/>
  <c r="B38" i="81"/>
  <c r="V37" i="81"/>
  <c r="T37" i="81"/>
  <c r="R37" i="81"/>
  <c r="P37" i="81"/>
  <c r="Q36" i="81"/>
  <c r="Z36" i="81" s="1"/>
  <c r="J36" i="81"/>
  <c r="AC36" i="81" s="1"/>
  <c r="H36" i="81"/>
  <c r="AB36" i="81" s="1"/>
  <c r="F36" i="81"/>
  <c r="AA36" i="81" s="1"/>
  <c r="Q35" i="81"/>
  <c r="Z35" i="81" s="1"/>
  <c r="J35" i="81"/>
  <c r="AC35" i="81" s="1"/>
  <c r="H35" i="81"/>
  <c r="AB35" i="81" s="1"/>
  <c r="F35" i="81"/>
  <c r="AA35" i="81" s="1"/>
  <c r="AC34" i="81"/>
  <c r="Q34" i="81"/>
  <c r="Z34" i="81" s="1"/>
  <c r="J34" i="81"/>
  <c r="W34" i="81" s="1"/>
  <c r="Q33" i="81"/>
  <c r="Z33" i="81" s="1"/>
  <c r="J33" i="81"/>
  <c r="AC33" i="81" s="1"/>
  <c r="H33" i="81"/>
  <c r="U33" i="81" s="1"/>
  <c r="F33" i="81"/>
  <c r="AA33" i="81" s="1"/>
  <c r="Q32" i="81"/>
  <c r="Z32" i="81" s="1"/>
  <c r="J32" i="81"/>
  <c r="AC32" i="81" s="1"/>
  <c r="H32" i="81"/>
  <c r="AB32" i="81" s="1"/>
  <c r="F32" i="81"/>
  <c r="AA32" i="81" s="1"/>
  <c r="Z31" i="81"/>
  <c r="Q31" i="81"/>
  <c r="J31" i="81"/>
  <c r="AC31" i="81" s="1"/>
  <c r="H31" i="81"/>
  <c r="AB31" i="81" s="1"/>
  <c r="F31" i="81"/>
  <c r="AA31" i="81" s="1"/>
  <c r="AC30" i="81"/>
  <c r="W30" i="81"/>
  <c r="Q30" i="81"/>
  <c r="Z30" i="81" s="1"/>
  <c r="M30" i="81"/>
  <c r="J30" i="81"/>
  <c r="H30" i="81"/>
  <c r="AB30" i="81" s="1"/>
  <c r="F30" i="81"/>
  <c r="AA30" i="81" s="1"/>
  <c r="Q29" i="81"/>
  <c r="Z29" i="81" s="1"/>
  <c r="M29" i="81"/>
  <c r="Q28" i="81"/>
  <c r="Z28" i="81" s="1"/>
  <c r="F28" i="81"/>
  <c r="AA28" i="81" s="1"/>
  <c r="Q27" i="81"/>
  <c r="Z27" i="81" s="1"/>
  <c r="J27" i="81"/>
  <c r="AC27" i="81" s="1"/>
  <c r="H27" i="81"/>
  <c r="AB27" i="81" s="1"/>
  <c r="F27" i="81"/>
  <c r="AA27" i="81" s="1"/>
  <c r="Q26" i="81"/>
  <c r="Z26" i="81" s="1"/>
  <c r="C26" i="81"/>
  <c r="Q25" i="81"/>
  <c r="Z25" i="81" s="1"/>
  <c r="J25" i="81"/>
  <c r="AC25" i="81" s="1"/>
  <c r="H25" i="81"/>
  <c r="U25" i="81" s="1"/>
  <c r="F25" i="81"/>
  <c r="AA25" i="81" s="1"/>
  <c r="AA24" i="81"/>
  <c r="S24" i="81"/>
  <c r="Q24" i="81"/>
  <c r="Z24" i="81" s="1"/>
  <c r="F24" i="81"/>
  <c r="Q23" i="81"/>
  <c r="Z23" i="81" s="1"/>
  <c r="J23" i="81"/>
  <c r="AC23" i="81" s="1"/>
  <c r="H23" i="81"/>
  <c r="AB23" i="81" s="1"/>
  <c r="F23" i="81"/>
  <c r="AA23" i="81" s="1"/>
  <c r="AC22" i="81"/>
  <c r="W22" i="81"/>
  <c r="Q22" i="81"/>
  <c r="Z22" i="81" s="1"/>
  <c r="J22" i="81"/>
  <c r="H22" i="81"/>
  <c r="AB22" i="81" s="1"/>
  <c r="F22" i="81"/>
  <c r="AA22" i="81" s="1"/>
  <c r="U20" i="81"/>
  <c r="Q20" i="81"/>
  <c r="Z20" i="81" s="1"/>
  <c r="J20" i="81"/>
  <c r="AC20" i="81" s="1"/>
  <c r="H20" i="81"/>
  <c r="AB20" i="81" s="1"/>
  <c r="F20" i="81"/>
  <c r="AA20" i="81" s="1"/>
  <c r="C20" i="81"/>
  <c r="Q18" i="81"/>
  <c r="Z18" i="81" s="1"/>
  <c r="J18" i="81"/>
  <c r="AC18" i="81" s="1"/>
  <c r="H18" i="81"/>
  <c r="U18" i="81" s="1"/>
  <c r="F18" i="81"/>
  <c r="AA18" i="81" s="1"/>
  <c r="C18" i="81"/>
  <c r="U16" i="81"/>
  <c r="Q16" i="81"/>
  <c r="Z16" i="81" s="1"/>
  <c r="J16" i="81"/>
  <c r="AC16" i="81" s="1"/>
  <c r="H16" i="81"/>
  <c r="AB16" i="81" s="1"/>
  <c r="F16" i="81"/>
  <c r="AA16" i="81" s="1"/>
  <c r="C16" i="81"/>
  <c r="U14" i="81"/>
  <c r="Q14" i="81"/>
  <c r="Z14" i="81" s="1"/>
  <c r="J14" i="81"/>
  <c r="AC14" i="81" s="1"/>
  <c r="H14" i="81"/>
  <c r="AB14" i="81" s="1"/>
  <c r="F14" i="81"/>
  <c r="AA14" i="81" s="1"/>
  <c r="C14" i="81"/>
  <c r="U13" i="81"/>
  <c r="Q13" i="81"/>
  <c r="Z13" i="81" s="1"/>
  <c r="J13" i="81"/>
  <c r="AC13" i="81" s="1"/>
  <c r="H13" i="81"/>
  <c r="AB13" i="81" s="1"/>
  <c r="F13" i="81"/>
  <c r="AA13" i="81" s="1"/>
  <c r="Q12" i="81"/>
  <c r="Z12" i="81" s="1"/>
  <c r="J12" i="81"/>
  <c r="AC12" i="81" s="1"/>
  <c r="H12" i="81"/>
  <c r="AB12" i="81" s="1"/>
  <c r="F12" i="81"/>
  <c r="AA12" i="81" s="1"/>
  <c r="Q11" i="81"/>
  <c r="Z11" i="81" s="1"/>
  <c r="W10" i="81"/>
  <c r="Q10" i="81"/>
  <c r="Z10" i="81" s="1"/>
  <c r="J10" i="81"/>
  <c r="AC10" i="81" s="1"/>
  <c r="H10" i="81"/>
  <c r="AB10" i="81" s="1"/>
  <c r="F10" i="81"/>
  <c r="AA10" i="81" s="1"/>
  <c r="U9" i="81"/>
  <c r="Q9" i="81"/>
  <c r="Z9" i="81" s="1"/>
  <c r="J9" i="81"/>
  <c r="AC9" i="81" s="1"/>
  <c r="H9" i="81"/>
  <c r="AB9" i="81" s="1"/>
  <c r="F9" i="81"/>
  <c r="AA9" i="81" s="1"/>
  <c r="AB8" i="81"/>
  <c r="AA8" i="81"/>
  <c r="S8" i="81"/>
  <c r="J8" i="81"/>
  <c r="H8" i="81"/>
  <c r="U8" i="81" s="1"/>
  <c r="F8" i="81"/>
  <c r="C7" i="81"/>
  <c r="C48" i="81" s="1"/>
  <c r="F3" i="81"/>
  <c r="D3" i="81"/>
  <c r="M30" i="35"/>
  <c r="M29" i="35"/>
  <c r="M28" i="35"/>
  <c r="D3" i="4"/>
  <c r="E27" i="45"/>
  <c r="D2" i="81"/>
  <c r="S12" i="81" l="1"/>
  <c r="AB18" i="81"/>
  <c r="AB25" i="81"/>
  <c r="AB33" i="81"/>
  <c r="J11" i="81"/>
  <c r="H11" i="81"/>
  <c r="F11" i="81"/>
  <c r="D48" i="81"/>
  <c r="E48" i="81" s="1"/>
  <c r="F48" i="81" s="1"/>
  <c r="G48" i="81" s="1"/>
  <c r="H48" i="81" s="1"/>
  <c r="I48" i="81" s="1"/>
  <c r="J48" i="81" s="1"/>
  <c r="K48" i="81" s="1"/>
  <c r="L48" i="81" s="1"/>
  <c r="M48" i="81" s="1"/>
  <c r="N48" i="81" s="1"/>
  <c r="O48" i="81" s="1"/>
  <c r="F26" i="81"/>
  <c r="S32" i="81"/>
  <c r="AB34" i="81"/>
  <c r="U34" i="81"/>
  <c r="W8" i="81"/>
  <c r="AC8" i="81"/>
  <c r="W27" i="81"/>
  <c r="S36" i="81"/>
  <c r="J24" i="81"/>
  <c r="H24" i="81"/>
  <c r="AC28" i="81"/>
  <c r="F87" i="81"/>
  <c r="W9" i="81"/>
  <c r="U12" i="81"/>
  <c r="W13" i="81"/>
  <c r="W16" i="81"/>
  <c r="W20" i="81"/>
  <c r="S23" i="81"/>
  <c r="W25" i="81"/>
  <c r="S31" i="81"/>
  <c r="U32" i="81"/>
  <c r="W33" i="81"/>
  <c r="S35" i="81"/>
  <c r="U36" i="81"/>
  <c r="W14" i="81"/>
  <c r="W18" i="81"/>
  <c r="S10" i="81"/>
  <c r="W12" i="81"/>
  <c r="S22" i="81"/>
  <c r="U23" i="81"/>
  <c r="S27" i="81"/>
  <c r="H28" i="81"/>
  <c r="S28" i="81"/>
  <c r="S30" i="81"/>
  <c r="U31" i="81"/>
  <c r="W32" i="81"/>
  <c r="F34" i="81"/>
  <c r="U35" i="81"/>
  <c r="W36" i="81"/>
  <c r="C79" i="81"/>
  <c r="E84" i="81"/>
  <c r="F84" i="81" s="1"/>
  <c r="G84" i="81" s="1"/>
  <c r="H84" i="81" s="1"/>
  <c r="I84" i="81" s="1"/>
  <c r="J84" i="81" s="1"/>
  <c r="K84" i="81" s="1"/>
  <c r="L84" i="81" s="1"/>
  <c r="M84" i="81" s="1"/>
  <c r="S9" i="81"/>
  <c r="U10" i="81"/>
  <c r="S13" i="81"/>
  <c r="S14" i="81"/>
  <c r="S16" i="81"/>
  <c r="S18" i="81"/>
  <c r="S20" i="81"/>
  <c r="U22" i="81"/>
  <c r="W23" i="81"/>
  <c r="S25" i="81"/>
  <c r="U27" i="81"/>
  <c r="U30" i="81"/>
  <c r="W31" i="81"/>
  <c r="S33" i="81"/>
  <c r="W35" i="81"/>
  <c r="G14" i="73"/>
  <c r="F14" i="73"/>
  <c r="E14" i="73"/>
  <c r="AA34" i="81" l="1"/>
  <c r="S34" i="81"/>
  <c r="F7" i="81"/>
  <c r="AA11" i="81"/>
  <c r="S11" i="81"/>
  <c r="J26" i="81"/>
  <c r="H26" i="81"/>
  <c r="H7" i="81"/>
  <c r="AB11" i="81"/>
  <c r="U11" i="81"/>
  <c r="AA26" i="81"/>
  <c r="S26" i="81"/>
  <c r="AB28" i="81"/>
  <c r="U28" i="81"/>
  <c r="AB24" i="81"/>
  <c r="U24" i="81"/>
  <c r="G87" i="81"/>
  <c r="F29" i="81"/>
  <c r="AC24" i="81"/>
  <c r="W24" i="81"/>
  <c r="J7" i="81"/>
  <c r="AC11" i="81"/>
  <c r="W11" i="81"/>
  <c r="I12" i="79"/>
  <c r="U7" i="81" l="1"/>
  <c r="AB7" i="81"/>
  <c r="AA7" i="81"/>
  <c r="S7" i="81"/>
  <c r="AB26" i="81"/>
  <c r="U26" i="81"/>
  <c r="AA29" i="81"/>
  <c r="S29" i="81"/>
  <c r="AC26" i="81"/>
  <c r="W26" i="81"/>
  <c r="W7" i="81"/>
  <c r="AC7" i="81"/>
  <c r="H87" i="81"/>
  <c r="I87" i="81" s="1"/>
  <c r="J87" i="81" s="1"/>
  <c r="K87" i="81" s="1"/>
  <c r="L87" i="81" s="1"/>
  <c r="M87" i="81" s="1"/>
  <c r="J29" i="81"/>
  <c r="H29"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V38" i="81" l="1"/>
  <c r="I38" i="81" s="1"/>
  <c r="AB29" i="81"/>
  <c r="U29" i="81"/>
  <c r="R38" i="81"/>
  <c r="W29" i="81"/>
  <c r="AC29" i="81"/>
  <c r="T38" i="81"/>
  <c r="G38" i="81"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42" i="81" l="1"/>
  <c r="H42" i="81" s="1"/>
  <c r="G43" i="81"/>
  <c r="H43" i="81" s="1"/>
  <c r="R39" i="81"/>
  <c r="E38" i="81"/>
  <c r="I42" i="81"/>
  <c r="J42" i="81" s="1"/>
  <c r="AR7" i="79"/>
  <c r="AD33" i="79"/>
  <c r="AR34" i="79"/>
  <c r="AR35" i="79" s="1"/>
  <c r="AR36" i="79" s="1"/>
  <c r="AR8" i="79"/>
  <c r="D60" i="78"/>
  <c r="C60" i="78"/>
  <c r="B55" i="78"/>
  <c r="D55" i="78" s="1"/>
  <c r="D53" i="78"/>
  <c r="D52" i="78"/>
  <c r="D51" i="78" s="1"/>
  <c r="B51" i="78"/>
  <c r="B56" i="78" s="1"/>
  <c r="C39" i="81" l="1"/>
  <c r="C38" i="81"/>
  <c r="E43" i="81"/>
  <c r="F43" i="81" s="1"/>
  <c r="E42" i="81"/>
  <c r="F42" i="81" s="1"/>
  <c r="I43" i="81"/>
  <c r="J43" i="81" s="1"/>
  <c r="C51" i="78"/>
  <c r="C56" i="78" s="1"/>
  <c r="C58" i="78" s="1"/>
  <c r="B62" i="78"/>
  <c r="B54" i="78"/>
  <c r="D54" i="78" s="1"/>
  <c r="D56" i="78" s="1"/>
  <c r="M3" i="81" l="1"/>
  <c r="B2" i="81"/>
  <c r="B3" i="81" s="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W40" i="79"/>
  <c r="AK40" i="79" s="1"/>
  <c r="AH40" i="79"/>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Y37" i="71" s="1"/>
  <c r="Z37" i="71" s="1"/>
  <c r="N37" i="71"/>
  <c r="B38" i="71" s="1"/>
  <c r="D37" i="71"/>
  <c r="Q36" i="71"/>
  <c r="P36" i="71"/>
  <c r="O36" i="71"/>
  <c r="N36" i="71"/>
  <c r="Q35" i="71"/>
  <c r="AB35" i="71"/>
  <c r="P35" i="71"/>
  <c r="AA35" i="71" s="1"/>
  <c r="O35" i="71"/>
  <c r="N35" i="71"/>
  <c r="Q34" i="71"/>
  <c r="P34" i="71"/>
  <c r="O34" i="71"/>
  <c r="N34" i="71"/>
  <c r="Q33" i="71"/>
  <c r="F34" i="71" s="1"/>
  <c r="F35" i="71" s="1"/>
  <c r="F36" i="71" s="1"/>
  <c r="V36" i="71" s="1"/>
  <c r="P33" i="71"/>
  <c r="O33" i="71"/>
  <c r="N33" i="71"/>
  <c r="D33" i="71"/>
  <c r="Q32" i="71"/>
  <c r="AB32" i="71" s="1"/>
  <c r="P32" i="71"/>
  <c r="O32" i="71"/>
  <c r="N32" i="71"/>
  <c r="Q31" i="71"/>
  <c r="P31" i="71"/>
  <c r="O31" i="71"/>
  <c r="N31" i="71"/>
  <c r="Q30" i="71"/>
  <c r="P30" i="71"/>
  <c r="O30" i="71"/>
  <c r="N30" i="71"/>
  <c r="Q29" i="71"/>
  <c r="P29" i="71"/>
  <c r="O29" i="71"/>
  <c r="N29" i="71"/>
  <c r="D29" i="71"/>
  <c r="O28" i="71"/>
  <c r="N28" i="71"/>
  <c r="B30" i="71"/>
  <c r="B31" i="71"/>
  <c r="B32" i="71" s="1"/>
  <c r="S32" i="71" s="1"/>
  <c r="E30" i="71"/>
  <c r="E31" i="71" s="1"/>
  <c r="E32" i="71" s="1"/>
  <c r="U32" i="71" s="1"/>
  <c r="B39" i="71"/>
  <c r="B40" i="71" s="1"/>
  <c r="S40" i="71" s="1"/>
  <c r="E34" i="71"/>
  <c r="C30" i="71"/>
  <c r="C34" i="71"/>
  <c r="D34" i="71" s="1"/>
  <c r="AB33" i="71"/>
  <c r="C38" i="71"/>
  <c r="Y27" i="71"/>
  <c r="Z27" i="71" s="1"/>
  <c r="B28" i="71"/>
  <c r="C31" i="71"/>
  <c r="C32" i="71" s="1"/>
  <c r="T32" i="71" s="1"/>
  <c r="D30" i="71"/>
  <c r="C47" i="71"/>
  <c r="D47" i="71" s="1"/>
  <c r="D50" i="71"/>
  <c r="P28" i="71"/>
  <c r="E59" i="71"/>
  <c r="E60" i="71" s="1"/>
  <c r="U60" i="71" s="1"/>
  <c r="U68" i="71"/>
  <c r="E67" i="71"/>
  <c r="E66" i="71" s="1"/>
  <c r="Q28" i="71"/>
  <c r="C55" i="71"/>
  <c r="C56" i="71" s="1"/>
  <c r="D54" i="71"/>
  <c r="C63" i="71"/>
  <c r="D62" i="71"/>
  <c r="Q67" i="71"/>
  <c r="T68" i="71"/>
  <c r="O68" i="71"/>
  <c r="D68" i="71"/>
  <c r="C67" i="71"/>
  <c r="Q68" i="71"/>
  <c r="E71" i="71"/>
  <c r="E70" i="71"/>
  <c r="D72" i="71"/>
  <c r="C75" i="71"/>
  <c r="D76" i="71"/>
  <c r="D80" i="71"/>
  <c r="F28" i="71"/>
  <c r="F27" i="71"/>
  <c r="F26" i="71"/>
  <c r="D75" i="71"/>
  <c r="C74" i="71"/>
  <c r="D74" i="71" s="1"/>
  <c r="D55" i="71"/>
  <c r="P67" i="71"/>
  <c r="D31" i="71"/>
  <c r="D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B68" i="43"/>
  <c r="C29" i="39"/>
  <c r="S21" i="34"/>
  <c r="H25" i="40"/>
  <c r="AB25" i="40" s="1"/>
  <c r="J25" i="40"/>
  <c r="H29" i="39"/>
  <c r="AB29" i="39" s="1"/>
  <c r="J29" i="39"/>
  <c r="J18" i="36"/>
  <c r="AC18" i="36" s="1"/>
  <c r="H18" i="35"/>
  <c r="AB18" i="35" s="1"/>
  <c r="J18" i="35"/>
  <c r="AC18" i="35" s="1"/>
  <c r="H21" i="37"/>
  <c r="F21" i="37"/>
  <c r="H21" i="34"/>
  <c r="AB21" i="34" s="1"/>
  <c r="H21" i="33"/>
  <c r="U21" i="33" s="1"/>
  <c r="F21" i="33"/>
  <c r="S21" i="33" s="1"/>
  <c r="E83" i="21"/>
  <c r="F83" i="21" s="1"/>
  <c r="H1" i="69"/>
  <c r="AC25" i="40"/>
  <c r="W25" i="40"/>
  <c r="U25" i="40"/>
  <c r="U29" i="39"/>
  <c r="W18" i="36"/>
  <c r="AB21" i="37"/>
  <c r="U21" i="37"/>
  <c r="U21" i="34"/>
  <c r="AB21" i="33"/>
  <c r="AA21" i="33"/>
  <c r="J21" i="37"/>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AB31" i="35" s="1"/>
  <c r="F31" i="35"/>
  <c r="AA31" i="35" s="1"/>
  <c r="D87" i="35"/>
  <c r="E87" i="35" s="1"/>
  <c r="F87" i="35" s="1"/>
  <c r="G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AB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2" i="35"/>
  <c r="S31" i="35"/>
  <c r="F36" i="34"/>
  <c r="J35" i="34"/>
  <c r="W9" i="34"/>
  <c r="H39" i="33"/>
  <c r="AB39" i="33" s="1"/>
  <c r="F26" i="33"/>
  <c r="AA26" i="33" s="1"/>
  <c r="U33" i="33"/>
  <c r="S40" i="33"/>
  <c r="W39" i="33"/>
  <c r="H39" i="37"/>
  <c r="AB39" i="37"/>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AC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S12" i="36"/>
  <c r="AA12" i="36"/>
  <c r="AB30" i="36"/>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26" i="33"/>
  <c r="AB30" i="21"/>
  <c r="AA14" i="37"/>
  <c r="S11" i="36"/>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AC36"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BL200" i="3"/>
  <c r="G201" i="3"/>
  <c r="BA203" i="3"/>
  <c r="AZ203" i="3" s="1"/>
  <c r="BL204" i="3"/>
  <c r="AZ204" i="3" s="1"/>
  <c r="AZ79" i="3"/>
  <c r="AZ144" i="3"/>
  <c r="AZ176"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AZ269" i="3"/>
  <c r="BA379" i="3"/>
  <c r="BL380" i="3"/>
  <c r="G381" i="3"/>
  <c r="BA383" i="3"/>
  <c r="AZ383" i="3" s="1"/>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AZ499" i="3"/>
  <c r="AZ509" i="3"/>
  <c r="G509" i="3"/>
  <c r="BL493" i="3"/>
  <c r="AZ493" i="3"/>
  <c r="U36" i="40"/>
  <c r="F83" i="43"/>
  <c r="H85" i="43" s="1"/>
  <c r="F50" i="43"/>
  <c r="H54" i="43" s="1"/>
  <c r="F72" i="43"/>
  <c r="H75" i="43" s="1"/>
  <c r="U17" i="39"/>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S20" i="35" s="1"/>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51" i="3"/>
  <c r="AZ256" i="3"/>
  <c r="AZ259" i="3"/>
  <c r="AZ271"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BA14" i="3"/>
  <c r="AZ14" i="3" s="1"/>
  <c r="AZ18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6"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S37" i="21"/>
  <c r="AA23" i="21"/>
  <c r="AB15" i="21"/>
  <c r="J23" i="21"/>
  <c r="F85" i="21"/>
  <c r="G85" i="21" s="1"/>
  <c r="H23" i="21"/>
  <c r="S13" i="21"/>
  <c r="D6" i="52"/>
  <c r="AP7" i="1"/>
  <c r="AB45" i="21"/>
  <c r="AA32" i="21"/>
  <c r="S32" i="21"/>
  <c r="W9" i="21"/>
  <c r="AC9" i="21"/>
  <c r="AB32" i="21"/>
  <c r="U32" i="21"/>
  <c r="A18" i="62"/>
  <c r="B64" i="72" s="1"/>
  <c r="U32" i="39"/>
  <c r="AC32" i="39"/>
  <c r="W32" i="39"/>
  <c r="J63" i="37"/>
  <c r="K63" i="37" s="1"/>
  <c r="L63" i="37" s="1"/>
  <c r="M63" i="37" s="1"/>
  <c r="J11" i="37"/>
  <c r="AC11" i="37" s="1"/>
  <c r="H70" i="34"/>
  <c r="I70" i="34" s="1"/>
  <c r="J70" i="34" s="1"/>
  <c r="K70" i="34" s="1"/>
  <c r="L70" i="34" s="1"/>
  <c r="M70" i="34" s="1"/>
  <c r="J11" i="34"/>
  <c r="W11" i="34" s="1"/>
  <c r="AB36" i="33"/>
  <c r="W25" i="33"/>
  <c r="AB19" i="33"/>
  <c r="AA17" i="33"/>
  <c r="U23" i="21"/>
  <c r="AB23" i="21"/>
  <c r="AC23" i="21"/>
  <c r="W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67"/>
  <c r="C20" i="9"/>
  <c r="C76" i="67"/>
  <c r="M29" i="15"/>
  <c r="J15" i="15"/>
  <c r="B7" i="76"/>
  <c r="F16" i="15"/>
  <c r="L47" i="15"/>
  <c r="L48" i="67"/>
  <c r="F13" i="67"/>
  <c r="M9" i="15"/>
  <c r="F4" i="73"/>
  <c r="M9" i="67"/>
  <c r="M28" i="67"/>
  <c r="F38" i="15"/>
  <c r="F6" i="15"/>
  <c r="M23" i="67"/>
  <c r="M8" i="15"/>
  <c r="E2" i="68"/>
  <c r="E13" i="76"/>
  <c r="C76" i="15"/>
  <c r="M26" i="67"/>
  <c r="L47" i="67"/>
  <c r="B11" i="76"/>
  <c r="F6" i="67"/>
  <c r="F42" i="67"/>
  <c r="E12" i="76"/>
  <c r="AO13" i="1"/>
  <c r="M26" i="15"/>
  <c r="F7" i="73"/>
  <c r="F9" i="15"/>
  <c r="M22" i="15"/>
  <c r="E11" i="76"/>
  <c r="F8" i="15"/>
  <c r="C19" i="9"/>
  <c r="F6" i="73"/>
  <c r="D19" i="9"/>
  <c r="E10" i="76"/>
  <c r="E9" i="76"/>
  <c r="F20" i="31"/>
  <c r="F8" i="67"/>
  <c r="F36" i="15"/>
  <c r="M28" i="15"/>
  <c r="F9" i="67"/>
  <c r="E8" i="76"/>
  <c r="M6" i="15"/>
  <c r="F16" i="67"/>
  <c r="M22" i="67"/>
  <c r="F7" i="67"/>
  <c r="F37" i="15"/>
  <c r="B9" i="76"/>
  <c r="M6" i="67"/>
  <c r="E2" i="69"/>
  <c r="M24" i="67"/>
  <c r="F37" i="67"/>
  <c r="E7" i="76"/>
  <c r="F43" i="15"/>
  <c r="D35" i="9"/>
  <c r="F42" i="15"/>
  <c r="J15" i="67"/>
  <c r="B12" i="76"/>
  <c r="F38" i="67"/>
  <c r="M8" i="67"/>
  <c r="B10" i="76"/>
  <c r="F40" i="67"/>
  <c r="F26" i="67"/>
  <c r="B8" i="76"/>
  <c r="M24" i="15"/>
  <c r="F3" i="73"/>
  <c r="F7" i="15"/>
  <c r="D20" i="9"/>
  <c r="M23" i="15"/>
  <c r="F36" i="67"/>
  <c r="F5" i="73"/>
  <c r="B13" i="76"/>
  <c r="L48" i="15"/>
  <c r="F40" i="15"/>
  <c r="M29" i="67"/>
  <c r="F26" i="15"/>
  <c r="F13" i="15"/>
  <c r="D34" i="9"/>
  <c r="U32" i="35" l="1"/>
  <c r="H87" i="35"/>
  <c r="I87" i="35" s="1"/>
  <c r="J87" i="35" s="1"/>
  <c r="K87" i="35" s="1"/>
  <c r="L87" i="35" s="1"/>
  <c r="M87" i="35" s="1"/>
  <c r="J29" i="35"/>
  <c r="AC29" i="35" s="1"/>
  <c r="H29" i="35"/>
  <c r="AB29" i="35" s="1"/>
  <c r="F29" i="35"/>
  <c r="S29" i="35" s="1"/>
  <c r="AA33" i="35"/>
  <c r="U31" i="35"/>
  <c r="AA20" i="35"/>
  <c r="W18" i="35"/>
  <c r="AA16" i="35"/>
  <c r="W16" i="35"/>
  <c r="S14" i="35"/>
  <c r="J1" i="73"/>
  <c r="AC27" i="40"/>
  <c r="W27" i="40"/>
  <c r="AZ159" i="3"/>
  <c r="U34" i="35"/>
  <c r="AB34" i="35"/>
  <c r="AC27" i="33"/>
  <c r="AC23" i="37"/>
  <c r="U9" i="21"/>
  <c r="AA23" i="37"/>
  <c r="AC33" i="34"/>
  <c r="W33" i="34"/>
  <c r="AA30" i="40"/>
  <c r="S30" i="40"/>
  <c r="AZ384" i="3"/>
  <c r="AZ379" i="3"/>
  <c r="AZ307" i="3"/>
  <c r="W17" i="21"/>
  <c r="AC15" i="21"/>
  <c r="S39" i="39"/>
  <c r="AA39" i="39"/>
  <c r="S40" i="34"/>
  <c r="AA40" i="34"/>
  <c r="S11" i="39"/>
  <c r="AA11" i="39"/>
  <c r="AA19" i="33"/>
  <c r="AB32" i="37"/>
  <c r="U32" i="37"/>
  <c r="W20" i="36"/>
  <c r="AC20" i="36"/>
  <c r="AZ140" i="3"/>
  <c r="W11" i="39"/>
  <c r="AC11" i="39"/>
  <c r="AZ345" i="3"/>
  <c r="AZ372" i="3"/>
  <c r="AZ347" i="3"/>
  <c r="AZ337" i="3"/>
  <c r="AZ376" i="3"/>
  <c r="AZ309" i="3"/>
  <c r="AC12" i="37"/>
  <c r="W47" i="34"/>
  <c r="AZ515" i="3"/>
  <c r="AZ523" i="3"/>
  <c r="AZ547" i="3"/>
  <c r="AZ569" i="3"/>
  <c r="AZ571" i="3"/>
  <c r="AZ579" i="3"/>
  <c r="AZ516" i="3"/>
  <c r="AZ524" i="3"/>
  <c r="AC28" i="21"/>
  <c r="AC31" i="34"/>
  <c r="AC11" i="35"/>
  <c r="W11" i="40"/>
  <c r="U38" i="40"/>
  <c r="AB39" i="40"/>
  <c r="U35" i="33"/>
  <c r="W28" i="36"/>
  <c r="BL585" i="3"/>
  <c r="AZ585" i="3" s="1"/>
  <c r="B75" i="43"/>
  <c r="H9" i="33"/>
  <c r="H23" i="35"/>
  <c r="W31" i="35"/>
  <c r="AC31" i="35"/>
  <c r="G552" i="3"/>
  <c r="AZ419" i="3"/>
  <c r="AZ448" i="3"/>
  <c r="AZ529" i="3"/>
  <c r="J24" i="36"/>
  <c r="H24" i="36"/>
  <c r="BA551" i="3"/>
  <c r="AZ551" i="3" s="1"/>
  <c r="BA550" i="3"/>
  <c r="BL548" i="3"/>
  <c r="F29" i="6"/>
  <c r="E29" i="6" s="1"/>
  <c r="K15" i="1" s="1"/>
  <c r="AZ391" i="3"/>
  <c r="AZ318" i="3"/>
  <c r="AZ364" i="3"/>
  <c r="AZ329" i="3"/>
  <c r="AZ304" i="3"/>
  <c r="AZ139" i="3"/>
  <c r="AZ306" i="3"/>
  <c r="AZ577" i="3"/>
  <c r="AZ513" i="3"/>
  <c r="AZ575" i="3"/>
  <c r="AZ528" i="3"/>
  <c r="AZ548" i="3"/>
  <c r="AZ566" i="3"/>
  <c r="AZ574" i="3"/>
  <c r="AZ582" i="3"/>
  <c r="AZ502" i="3"/>
  <c r="S45" i="33"/>
  <c r="U46" i="33"/>
  <c r="S27" i="35"/>
  <c r="W33" i="33"/>
  <c r="U34" i="34"/>
  <c r="W28" i="35"/>
  <c r="U9" i="39"/>
  <c r="BL587" i="3"/>
  <c r="AZ587" i="3" s="1"/>
  <c r="BL586" i="3"/>
  <c r="AZ586" i="3" s="1"/>
  <c r="J12" i="35"/>
  <c r="G582" i="3"/>
  <c r="AZ217" i="3"/>
  <c r="AZ519" i="3"/>
  <c r="AZ573" i="3"/>
  <c r="BL550" i="3"/>
  <c r="AZ228" i="3"/>
  <c r="AZ458" i="3"/>
  <c r="AZ462" i="3"/>
  <c r="AZ301" i="3"/>
  <c r="W21" i="37"/>
  <c r="AC21" i="37"/>
  <c r="C25" i="40"/>
  <c r="B88" i="43"/>
  <c r="AA18" i="36"/>
  <c r="S18" i="36"/>
  <c r="F30" i="71"/>
  <c r="F31" i="71" s="1"/>
  <c r="F32" i="71" s="1"/>
  <c r="V32" i="71" s="1"/>
  <c r="AB28" i="71"/>
  <c r="AA39" i="71"/>
  <c r="AA38" i="71"/>
  <c r="U76" i="71"/>
  <c r="E75" i="71"/>
  <c r="E74" i="71" s="1"/>
  <c r="U80" i="71"/>
  <c r="E79" i="71"/>
  <c r="E78" i="71"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AZ238" i="3" s="1"/>
  <c r="BA243" i="3"/>
  <c r="BA248" i="3"/>
  <c r="AZ248" i="3" s="1"/>
  <c r="BA249" i="3"/>
  <c r="BL249" i="3"/>
  <c r="BA252" i="3"/>
  <c r="AZ252" i="3" s="1"/>
  <c r="BA254" i="3"/>
  <c r="AZ254" i="3" s="1"/>
  <c r="G260" i="3"/>
  <c r="BL260" i="3"/>
  <c r="G262" i="3"/>
  <c r="BL264" i="3"/>
  <c r="BA267" i="3"/>
  <c r="AZ267" i="3" s="1"/>
  <c r="G270" i="3"/>
  <c r="BL270" i="3"/>
  <c r="AZ270" i="3" s="1"/>
  <c r="BA274" i="3"/>
  <c r="AZ274" i="3" s="1"/>
  <c r="BL274" i="3"/>
  <c r="BL278" i="3"/>
  <c r="BA288" i="3"/>
  <c r="BA125" i="3"/>
  <c r="AZ125" i="3" s="1"/>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BL464" i="3"/>
  <c r="BL466" i="3"/>
  <c r="AZ466" i="3" s="1"/>
  <c r="G468" i="3"/>
  <c r="G469" i="3"/>
  <c r="BL476" i="3"/>
  <c r="AZ476" i="3" s="1"/>
  <c r="BL477" i="3"/>
  <c r="AZ477" i="3" s="1"/>
  <c r="BL478" i="3"/>
  <c r="G479" i="3"/>
  <c r="G480" i="3"/>
  <c r="BL480" i="3"/>
  <c r="AZ480" i="3" s="1"/>
  <c r="G482" i="3"/>
  <c r="BA483" i="3"/>
  <c r="BL483" i="3"/>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G246" i="3"/>
  <c r="BA247" i="3"/>
  <c r="BL247" i="3"/>
  <c r="BL250" i="3"/>
  <c r="AZ250" i="3" s="1"/>
  <c r="G258" i="3"/>
  <c r="BA263" i="3"/>
  <c r="AZ263" i="3" s="1"/>
  <c r="G268" i="3"/>
  <c r="BL275" i="3"/>
  <c r="AZ275" i="3" s="1"/>
  <c r="BA281" i="3"/>
  <c r="BA286" i="3"/>
  <c r="AZ286" i="3" s="1"/>
  <c r="BL287" i="3"/>
  <c r="BL289" i="3"/>
  <c r="G574" i="3"/>
  <c r="BL16" i="3"/>
  <c r="AZ16" i="3" s="1"/>
  <c r="BA401" i="3"/>
  <c r="AZ401" i="3" s="1"/>
  <c r="BA403" i="3"/>
  <c r="AZ403" i="3" s="1"/>
  <c r="BA404" i="3"/>
  <c r="AZ404" i="3" s="1"/>
  <c r="BA405" i="3"/>
  <c r="AZ405" i="3" s="1"/>
  <c r="BL410" i="3"/>
  <c r="G412" i="3"/>
  <c r="G418" i="3"/>
  <c r="BA422" i="3"/>
  <c r="AZ422" i="3" s="1"/>
  <c r="G429" i="3"/>
  <c r="BL431" i="3"/>
  <c r="G433" i="3"/>
  <c r="BL434" i="3"/>
  <c r="G436" i="3"/>
  <c r="BL438" i="3"/>
  <c r="BL439" i="3"/>
  <c r="AZ439" i="3" s="1"/>
  <c r="BA441" i="3"/>
  <c r="BL445" i="3"/>
  <c r="BL446" i="3"/>
  <c r="BL449" i="3"/>
  <c r="AZ449" i="3" s="1"/>
  <c r="BL450" i="3"/>
  <c r="BL452" i="3"/>
  <c r="G454" i="3"/>
  <c r="BL456" i="3"/>
  <c r="AZ456" i="3" s="1"/>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6" i="3"/>
  <c r="G256" i="3"/>
  <c r="BA258" i="3"/>
  <c r="G266" i="3"/>
  <c r="BA268" i="3"/>
  <c r="AA25" i="40"/>
  <c r="S25" i="40"/>
  <c r="BL273" i="3"/>
  <c r="G274" i="3"/>
  <c r="BA277" i="3"/>
  <c r="BL277" i="3"/>
  <c r="BA282" i="3"/>
  <c r="BL282" i="3"/>
  <c r="BA284" i="3"/>
  <c r="BL290" i="3"/>
  <c r="AZ290" i="3" s="1"/>
  <c r="BL291" i="3"/>
  <c r="AZ291" i="3" s="1"/>
  <c r="BL293" i="3"/>
  <c r="BL294" i="3"/>
  <c r="BA297" i="3"/>
  <c r="AZ297" i="3" s="1"/>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BA181" i="3"/>
  <c r="AZ181" i="3" s="1"/>
  <c r="BA182" i="3"/>
  <c r="AZ182" i="3" s="1"/>
  <c r="BL185" i="3"/>
  <c r="BL193" i="3"/>
  <c r="BL194" i="3"/>
  <c r="AZ194" i="3" s="1"/>
  <c r="BA198" i="3"/>
  <c r="AZ198" i="3" s="1"/>
  <c r="BA48" i="3"/>
  <c r="BA49" i="3"/>
  <c r="BL50" i="3"/>
  <c r="BL51" i="3"/>
  <c r="AZ51" i="3" s="1"/>
  <c r="BL53" i="3"/>
  <c r="BA56" i="3"/>
  <c r="BA57" i="3"/>
  <c r="AZ57" i="3" s="1"/>
  <c r="BL58" i="3"/>
  <c r="AZ58" i="3" s="1"/>
  <c r="G60" i="3"/>
  <c r="BA60" i="3"/>
  <c r="BL77" i="3"/>
  <c r="AZ77" i="3" s="1"/>
  <c r="BL81" i="3"/>
  <c r="BA82" i="3"/>
  <c r="G109" i="3"/>
  <c r="C64" i="71"/>
  <c r="D64" i="71" s="1"/>
  <c r="D63" i="71"/>
  <c r="P65" i="71"/>
  <c r="P66" i="71"/>
  <c r="B27" i="71"/>
  <c r="B26" i="71" s="1"/>
  <c r="S28" i="71"/>
  <c r="BA116" i="3"/>
  <c r="AZ116" i="3" s="1"/>
  <c r="BA121" i="3"/>
  <c r="BL121" i="3"/>
  <c r="BA124" i="3"/>
  <c r="AZ124" i="3" s="1"/>
  <c r="BA126" i="3"/>
  <c r="AZ126" i="3" s="1"/>
  <c r="BA129" i="3"/>
  <c r="BL133" i="3"/>
  <c r="AZ133" i="3" s="1"/>
  <c r="BL139" i="3"/>
  <c r="BL141" i="3"/>
  <c r="BL143" i="3"/>
  <c r="AZ143" i="3" s="1"/>
  <c r="BL157" i="3"/>
  <c r="AZ157" i="3" s="1"/>
  <c r="BL159" i="3"/>
  <c r="BL177" i="3"/>
  <c r="AZ177" i="3" s="1"/>
  <c r="BL183" i="3"/>
  <c r="AZ183" i="3" s="1"/>
  <c r="BA186" i="3"/>
  <c r="AZ186" i="3" s="1"/>
  <c r="BA190" i="3"/>
  <c r="AZ190" i="3" s="1"/>
  <c r="BA197" i="3"/>
  <c r="AZ197" i="3" s="1"/>
  <c r="BA201" i="3"/>
  <c r="AZ201" i="3" s="1"/>
  <c r="BA202" i="3"/>
  <c r="BL206" i="3"/>
  <c r="BA19" i="3"/>
  <c r="AZ19" i="3" s="1"/>
  <c r="G27" i="3"/>
  <c r="BA27" i="3"/>
  <c r="AZ27" i="3" s="1"/>
  <c r="BL30" i="3"/>
  <c r="BL31" i="3"/>
  <c r="AZ31" i="3" s="1"/>
  <c r="G37" i="3"/>
  <c r="BL40" i="3"/>
  <c r="AZ40" i="3" s="1"/>
  <c r="BL41" i="3"/>
  <c r="AZ41" i="3" s="1"/>
  <c r="BL45" i="3"/>
  <c r="BL49" i="3"/>
  <c r="BA64" i="3"/>
  <c r="AZ64" i="3" s="1"/>
  <c r="C5" i="68"/>
  <c r="BL245" i="3"/>
  <c r="AZ245" i="3" s="1"/>
  <c r="G247" i="3"/>
  <c r="BL255" i="3"/>
  <c r="AZ255" i="3" s="1"/>
  <c r="G257" i="3"/>
  <c r="BL257" i="3"/>
  <c r="AZ257" i="3" s="1"/>
  <c r="BL258" i="3"/>
  <c r="G259" i="3"/>
  <c r="BA262" i="3"/>
  <c r="AZ262" i="3" s="1"/>
  <c r="G265" i="3"/>
  <c r="BL265" i="3"/>
  <c r="AZ265" i="3" s="1"/>
  <c r="G267" i="3"/>
  <c r="G269" i="3"/>
  <c r="BA273" i="3"/>
  <c r="AZ273" i="3" s="1"/>
  <c r="BA278" i="3"/>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8" i="3"/>
  <c r="BL199" i="3"/>
  <c r="AZ199" i="3" s="1"/>
  <c r="BA200" i="3"/>
  <c r="AZ200" i="3" s="1"/>
  <c r="G204" i="3"/>
  <c r="G205" i="3"/>
  <c r="BA18" i="3"/>
  <c r="BL21" i="3"/>
  <c r="G23" i="3"/>
  <c r="BL29" i="3"/>
  <c r="G33" i="3"/>
  <c r="G34" i="3"/>
  <c r="BA37" i="3"/>
  <c r="BL39" i="3"/>
  <c r="G43" i="3"/>
  <c r="G44" i="3"/>
  <c r="BA45" i="3"/>
  <c r="AZ45" i="3" s="1"/>
  <c r="BA46" i="3"/>
  <c r="BA50" i="3"/>
  <c r="BL54" i="3"/>
  <c r="BL55" i="3"/>
  <c r="AZ55" i="3" s="1"/>
  <c r="G57" i="3"/>
  <c r="BA59" i="3"/>
  <c r="AZ59" i="3" s="1"/>
  <c r="G61" i="3"/>
  <c r="BL61" i="3"/>
  <c r="AZ61" i="3" s="1"/>
  <c r="BA66" i="3"/>
  <c r="BL82" i="3"/>
  <c r="G83" i="3"/>
  <c r="BA84" i="3"/>
  <c r="AZ84" i="3" s="1"/>
  <c r="BL88" i="3"/>
  <c r="AZ88" i="3" s="1"/>
  <c r="G90" i="3"/>
  <c r="BL90" i="3"/>
  <c r="BA100" i="3"/>
  <c r="AZ100" i="3" s="1"/>
  <c r="AZ103" i="3"/>
  <c r="G111" i="3"/>
  <c r="AC29" i="39"/>
  <c r="W29" i="39"/>
  <c r="D56" i="71"/>
  <c r="T56" i="71"/>
  <c r="E28" i="71"/>
  <c r="AA27" i="71"/>
  <c r="AA28" i="71"/>
  <c r="D38" i="71"/>
  <c r="C39" i="71"/>
  <c r="AA34" i="71"/>
  <c r="X35" i="71"/>
  <c r="X38" i="71"/>
  <c r="V76" i="71"/>
  <c r="F75" i="71"/>
  <c r="F74" i="71" s="1"/>
  <c r="D84" i="71"/>
  <c r="C83" i="71"/>
  <c r="AB27" i="71"/>
  <c r="AB26" i="71"/>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AZ62" i="3" s="1"/>
  <c r="BL63" i="3"/>
  <c r="AZ63" i="3" s="1"/>
  <c r="G65" i="3"/>
  <c r="BL65" i="3"/>
  <c r="AZ65" i="3" s="1"/>
  <c r="BL66" i="3"/>
  <c r="BL67" i="3"/>
  <c r="AZ67" i="3" s="1"/>
  <c r="G69" i="3"/>
  <c r="G70" i="3"/>
  <c r="BL70" i="3"/>
  <c r="AZ70" i="3" s="1"/>
  <c r="BL71" i="3"/>
  <c r="AZ71" i="3" s="1"/>
  <c r="BL72" i="3"/>
  <c r="AZ72" i="3" s="1"/>
  <c r="BL75" i="3"/>
  <c r="BL91" i="3"/>
  <c r="BL100" i="3"/>
  <c r="BL105" i="3"/>
  <c r="AZ105" i="3" s="1"/>
  <c r="BL107" i="3"/>
  <c r="AA3" i="71"/>
  <c r="D67" i="71"/>
  <c r="C66" i="71"/>
  <c r="O67" i="71"/>
  <c r="Y26" i="71"/>
  <c r="Z26" i="71" s="1"/>
  <c r="X36" i="71"/>
  <c r="X31" i="71"/>
  <c r="E35" i="71"/>
  <c r="E36" i="71" s="1"/>
  <c r="U36" i="71" s="1"/>
  <c r="X26" i="71"/>
  <c r="Y29" i="71"/>
  <c r="Z29" i="71" s="1"/>
  <c r="Y30" i="71"/>
  <c r="Z30" i="71" s="1"/>
  <c r="X25" i="71"/>
  <c r="B34" i="71"/>
  <c r="B35" i="71" s="1"/>
  <c r="B36" i="71" s="1"/>
  <c r="S36" i="71" s="1"/>
  <c r="AB34" i="71"/>
  <c r="Y35" i="71"/>
  <c r="Z35" i="71" s="1"/>
  <c r="AB31" i="71"/>
  <c r="AB36" i="71"/>
  <c r="AA36" i="71"/>
  <c r="AA37" i="71"/>
  <c r="E38" i="71"/>
  <c r="E39" i="71" s="1"/>
  <c r="E40" i="71" s="1"/>
  <c r="U40" i="71" s="1"/>
  <c r="C51" i="71"/>
  <c r="C60" i="71"/>
  <c r="D59" i="71"/>
  <c r="B63" i="71"/>
  <c r="B64" i="71" s="1"/>
  <c r="S64" i="71" s="1"/>
  <c r="B67" i="71"/>
  <c r="N68" i="71"/>
  <c r="BL68" i="3"/>
  <c r="BA69" i="3"/>
  <c r="AZ69" i="3" s="1"/>
  <c r="BL73" i="3"/>
  <c r="AZ73" i="3" s="1"/>
  <c r="BA74" i="3"/>
  <c r="AZ74" i="3" s="1"/>
  <c r="BA75" i="3"/>
  <c r="AZ75" i="3" s="1"/>
  <c r="BA78" i="3"/>
  <c r="BA80" i="3"/>
  <c r="G84" i="3"/>
  <c r="BL84" i="3"/>
  <c r="BA89" i="3"/>
  <c r="BL92" i="3"/>
  <c r="AZ92" i="3" s="1"/>
  <c r="BL94" i="3"/>
  <c r="AZ94" i="3" s="1"/>
  <c r="BL99" i="3"/>
  <c r="G101" i="3"/>
  <c r="BA101" i="3"/>
  <c r="AZ101" i="3" s="1"/>
  <c r="BA102" i="3"/>
  <c r="BL110" i="3"/>
  <c r="BL111" i="3"/>
  <c r="AZ111" i="3" s="1"/>
  <c r="AA21" i="37"/>
  <c r="S21" i="37"/>
  <c r="X34" i="71"/>
  <c r="AA30" i="71"/>
  <c r="C28" i="71"/>
  <c r="Y28" i="71"/>
  <c r="Z28" i="71" s="1"/>
  <c r="Y25" i="71"/>
  <c r="Z25" i="71" s="1"/>
  <c r="T72" i="71"/>
  <c r="C71" i="71"/>
  <c r="T80" i="71"/>
  <c r="C79" i="71"/>
  <c r="G81" i="3"/>
  <c r="G85" i="3"/>
  <c r="BL85" i="3"/>
  <c r="BA86" i="3"/>
  <c r="AZ86" i="3" s="1"/>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D5" i="73"/>
  <c r="D6" i="73"/>
  <c r="C16" i="15"/>
  <c r="D7" i="73"/>
  <c r="C16" i="67"/>
  <c r="D4" i="73"/>
  <c r="U29" i="35" l="1"/>
  <c r="AA29" i="35"/>
  <c r="W29" i="35"/>
  <c r="J7" i="36"/>
  <c r="D71" i="71"/>
  <c r="C70" i="71"/>
  <c r="D70" i="71" s="1"/>
  <c r="C27" i="71"/>
  <c r="D28" i="71"/>
  <c r="U28" i="71" s="1"/>
  <c r="T28" i="71"/>
  <c r="D51" i="71"/>
  <c r="C52" i="71"/>
  <c r="K16" i="1"/>
  <c r="C36" i="71"/>
  <c r="D35" i="71"/>
  <c r="N67" i="71"/>
  <c r="B66" i="71"/>
  <c r="AZ137" i="3"/>
  <c r="W12" i="35"/>
  <c r="AC12" i="35"/>
  <c r="E26" i="43"/>
  <c r="D26" i="43" s="1"/>
  <c r="C25" i="43" s="1"/>
  <c r="H26" i="43"/>
  <c r="AZ80" i="3"/>
  <c r="AZ114" i="3"/>
  <c r="AZ474" i="3"/>
  <c r="C44" i="71"/>
  <c r="D43" i="71"/>
  <c r="C40" i="71"/>
  <c r="D39" i="71"/>
  <c r="AZ278" i="3"/>
  <c r="AZ121" i="3"/>
  <c r="AZ49" i="3"/>
  <c r="AZ302" i="3"/>
  <c r="AZ5" i="3" s="1"/>
  <c r="AZ284" i="3"/>
  <c r="AZ277" i="3"/>
  <c r="AZ247" i="3"/>
  <c r="AZ483" i="3"/>
  <c r="AZ457" i="3"/>
  <c r="AZ249" i="3"/>
  <c r="AB24" i="36"/>
  <c r="U24" i="36"/>
  <c r="U23" i="35"/>
  <c r="AB23" i="35"/>
  <c r="T64" i="71"/>
  <c r="G5" i="3"/>
  <c r="B3" i="3" s="1"/>
  <c r="E212" i="3" s="1"/>
  <c r="AZ295" i="3"/>
  <c r="C78" i="71"/>
  <c r="D78" i="71" s="1"/>
  <c r="D79" i="71"/>
  <c r="O65" i="71"/>
  <c r="O66" i="71"/>
  <c r="D66" i="71"/>
  <c r="C82" i="71"/>
  <c r="D82" i="71" s="1"/>
  <c r="D83" i="71"/>
  <c r="AZ50" i="3"/>
  <c r="AZ82" i="3"/>
  <c r="AZ461" i="3"/>
  <c r="AZ425" i="3"/>
  <c r="AZ223" i="3"/>
  <c r="AC24" i="36"/>
  <c r="W24" i="36"/>
  <c r="AB9" i="33"/>
  <c r="U9" i="33"/>
  <c r="AZ37" i="3"/>
  <c r="AZ165" i="3"/>
  <c r="AZ486" i="3"/>
  <c r="C86" i="71"/>
  <c r="D86" i="71" s="1"/>
  <c r="D87" i="71"/>
  <c r="AZ102" i="3"/>
  <c r="T60" i="71"/>
  <c r="D60" i="71"/>
  <c r="AZ66" i="3"/>
  <c r="AZ282" i="3"/>
  <c r="AZ441" i="3"/>
  <c r="AZ415" i="3"/>
  <c r="AZ398" i="3"/>
  <c r="AZ243" i="3"/>
  <c r="AZ368" i="3"/>
  <c r="AZ353" i="3"/>
  <c r="AZ550" i="3"/>
  <c r="G16" i="1"/>
  <c r="F10" i="39" s="1"/>
  <c r="J7" i="37"/>
  <c r="AC7" i="37" s="1"/>
  <c r="K1" i="7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W7" i="37"/>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Y6" i="3" l="1"/>
  <c r="E3" i="6"/>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C26" i="71"/>
  <c r="D26" i="71" s="1"/>
  <c r="D27" i="71"/>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142" i="3"/>
  <c r="R36" i="36"/>
  <c r="R37" i="36"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N65" i="71"/>
  <c r="N66" i="71"/>
  <c r="E118" i="3"/>
  <c r="U7" i="3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4" i="71"/>
  <c r="D44"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F25" i="12" l="1"/>
  <c r="C26" i="12" s="1"/>
  <c r="D25" i="12"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C44" i="11" l="1"/>
  <c r="D41" i="11" s="1"/>
  <c r="C26" i="11"/>
  <c r="D22" i="11" s="1"/>
  <c r="C26" i="68"/>
  <c r="D22" i="68" s="1"/>
  <c r="C23" i="68"/>
  <c r="C44" i="68"/>
  <c r="D41"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10"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73" i="9" l="1"/>
  <c r="C78" i="9"/>
  <c r="B22" i="72"/>
  <c r="D6" i="53"/>
  <c r="B32" i="72"/>
  <c r="D14" i="53"/>
  <c r="E97" i="9"/>
  <c r="E96" i="9"/>
  <c r="C96" i="9"/>
  <c r="B47" i="72"/>
  <c r="D4" i="52"/>
  <c r="M55" i="9"/>
  <c r="D59" i="9"/>
  <c r="N61" i="9"/>
  <c r="N59" i="9"/>
  <c r="N60" i="9"/>
  <c r="H5" i="52"/>
  <c r="H119" i="9"/>
  <c r="D5" i="53"/>
  <c r="B20" i="72"/>
  <c r="D9" i="52"/>
  <c r="D123" i="9"/>
  <c r="B31" i="72"/>
  <c r="D15" i="53"/>
  <c r="D118" i="9"/>
  <c r="D119" i="9"/>
  <c r="D5" i="52"/>
  <c r="B49" i="72"/>
  <c r="C86" i="9"/>
  <c r="C93" i="9"/>
  <c r="H108" i="9"/>
  <c r="C6" i="74"/>
  <c r="C5" i="74"/>
  <c r="D122" i="9"/>
  <c r="D8" i="52"/>
  <c r="F119" i="9"/>
  <c r="F5" i="52"/>
  <c r="B53" i="72"/>
  <c r="D54" i="9"/>
  <c r="C64" i="9"/>
  <c r="C63" i="9"/>
  <c r="C67" i="9"/>
  <c r="C68" i="9"/>
  <c r="C104" i="9"/>
  <c r="H4" i="52"/>
  <c r="C81" i="9"/>
  <c r="C105" i="9"/>
  <c r="I4" i="52"/>
  <c r="D52" i="9"/>
  <c r="D53" i="9"/>
  <c r="C85" i="9"/>
  <c r="C95" i="9"/>
  <c r="C97" i="9"/>
  <c r="D58" i="9"/>
  <c r="D56" i="9"/>
  <c r="M54" i="9"/>
  <c r="M48" i="9"/>
  <c r="H102" i="9"/>
  <c r="D7" i="53"/>
  <c r="B21" i="72"/>
  <c r="P57" i="9"/>
  <c r="D55" i="9"/>
  <c r="M53" i="9"/>
  <c r="N57" i="9"/>
  <c r="N58" i="9"/>
  <c r="H107" i="9"/>
  <c r="D13" i="53"/>
  <c r="B30" i="72"/>
  <c r="F4" i="52"/>
  <c r="B51" i="72"/>
  <c r="F118" i="9"/>
  <c r="G118" i="9"/>
  <c r="G4" i="52"/>
  <c r="B52" i="72"/>
  <c r="E118" i="9"/>
  <c r="E4" i="52"/>
  <c r="B48"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CE4E360D-594E-4AC8-89A9-65EA041822A1}">
      <text>
        <r>
          <rPr>
            <b/>
            <sz val="12"/>
            <color indexed="81"/>
            <rFont val="宋体"/>
            <family val="3"/>
            <charset val="134"/>
          </rPr>
          <t>主用途</t>
        </r>
        <r>
          <rPr>
            <sz val="12"/>
            <color indexed="81"/>
            <rFont val="宋体"/>
            <family val="3"/>
            <charset val="134"/>
          </rPr>
          <t xml:space="preserve">
</t>
        </r>
      </text>
    </comment>
    <comment ref="K38" authorId="1" shapeId="0" xr:uid="{B60BEFE1-DF7A-46A8-908F-47F1D47F9032}">
      <text>
        <r>
          <rPr>
            <b/>
            <sz val="9"/>
            <color indexed="81"/>
            <rFont val="宋体"/>
            <family val="3"/>
            <charset val="134"/>
          </rPr>
          <t>权重验证</t>
        </r>
        <r>
          <rPr>
            <sz val="9"/>
            <color indexed="81"/>
            <rFont val="宋体"/>
            <family val="3"/>
            <charset val="134"/>
          </rPr>
          <t xml:space="preserve">
</t>
        </r>
      </text>
    </comment>
    <comment ref="C48" authorId="0" shapeId="0" xr:uid="{AC4EE44E-CEFF-4405-A6BD-72DDF8CDF0E2}">
      <text>
        <r>
          <rPr>
            <b/>
            <sz val="12"/>
            <color indexed="81"/>
            <rFont val="宋体"/>
            <family val="3"/>
            <charset val="134"/>
          </rPr>
          <t>价值时点所在月度</t>
        </r>
        <r>
          <rPr>
            <sz val="12"/>
            <color indexed="81"/>
            <rFont val="宋体"/>
            <family val="3"/>
            <charset val="134"/>
          </rPr>
          <t xml:space="preserve">
</t>
        </r>
      </text>
    </comment>
    <comment ref="B88" authorId="0" shapeId="0" xr:uid="{28C48139-201B-4A94-A36D-4CBFD3BCAB7F}">
      <text>
        <r>
          <rPr>
            <b/>
            <sz val="12"/>
            <color indexed="81"/>
            <rFont val="宋体"/>
            <family val="3"/>
            <charset val="134"/>
          </rPr>
          <t>所属项目品质或
物业管理</t>
        </r>
      </text>
    </comment>
    <comment ref="B90" authorId="0" shapeId="0" xr:uid="{A753B673-3104-4F1F-B75B-693C3D963687}">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<sst xmlns="http://schemas.openxmlformats.org/spreadsheetml/2006/main" count="8143" uniqueCount="3439">
  <si>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</si>
  <si>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</si>
  <si>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</si>
  <si>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</si>
  <si>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</si>
  <si>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</si>
  <si>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</si>
  <si>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</si>
  <si>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</si>
  <si>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</si>
  <si>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</si>
  <si>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</si>
  <si>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</si>
  <si>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</si>
  <si>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</si>
  <si>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</si>
  <si>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</si>
  <si>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</si>
  <si>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</si>
  <si>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</si>
  <si>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</si>
  <si>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</si>
  <si>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</si>
  <si>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</si>
  <si>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</si>
  <si>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</si>
  <si>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</si>
  <si>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</si>
  <si>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</si>
  <si>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</si>
  <si>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</si>
  <si>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</si>
  <si>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</si>
  <si>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</si>
  <si>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</si>
  <si>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</si>
  <si>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</si>
  <si>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</si>
  <si>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</si>
  <si>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</si>
  <si>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</si>
  <si>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</si>
  <si>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</si>
  <si>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</si>
  <si>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</si>
  <si>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</si>
  <si>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</si>
  <si>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</si>
  <si>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</si>
  <si>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</si>
  <si>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</si>
  <si>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</si>
  <si>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</si>
  <si>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</si>
  <si>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</si>
  <si>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</si>
  <si>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</si>
  <si>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</si>
  <si>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</si>
  <si>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</si>
  <si>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</si>
  <si>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</si>
  <si>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</si>
  <si>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</si>
  <si>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</si>
  <si>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</si>
  <si>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</si>
  <si>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</si>
  <si>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</si>
  <si>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</si>
  <si>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</si>
  <si>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</si>
  <si>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</si>
  <si>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</si>
  <si>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</si>
  <si>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</si>
  <si>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</si>
  <si>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</si>
  <si>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</si>
  <si>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</si>
  <si>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</si>
  <si>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</si>
  <si>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</si>
  <si>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</si>
  <si>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</si>
  <si>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</si>
  <si>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</si>
  <si>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</si>
  <si>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</si>
  <si>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</si>
  <si>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</si>
  <si>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</si>
  <si>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</si>
  <si>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</si>
  <si>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</si>
  <si>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</si>
  <si>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</si>
  <si>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</si>
  <si>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</si>
  <si>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</si>
  <si>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</si>
  <si>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</si>
  <si>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</si>
  <si>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</si>
  <si>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</si>
  <si>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</si>
  <si>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</si>
  <si>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</si>
  <si>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</si>
  <si>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</si>
  <si>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</si>
  <si>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</si>
  <si>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</si>
  <si>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</si>
  <si>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</si>
  <si>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</si>
  <si>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</si>
  <si>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</si>
  <si>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</si>
  <si>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</si>
  <si>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</si>
  <si>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</si>
  <si>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</si>
  <si>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</si>
  <si>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</si>
  <si>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</si>
  <si>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</si>
  <si>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</si>
  <si>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</si>
  <si>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</si>
  <si>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</si>
  <si>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</si>
  <si>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</si>
  <si>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</si>
  <si>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</si>
  <si>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</si>
  <si>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</si>
  <si>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</si>
  <si>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</si>
  <si>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</si>
  <si>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</si>
  <si>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</si>
  <si>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</si>
  <si>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</si>
  <si>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</si>
  <si>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</si>
  <si>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</si>
  <si>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</si>
  <si>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</si>
  <si>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</si>
  <si>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</si>
  <si>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</si>
  <si>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</si>
  <si>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</si>
  <si>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</si>
  <si>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</si>
  <si>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</si>
  <si>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</si>
  <si>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</si>
  <si>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</si>
  <si>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</si>
  <si>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</si>
  <si>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</si>
  <si>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</si>
  <si>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</si>
  <si>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</si>
  <si>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</si>
  <si>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</si>
  <si>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</si>
  <si>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</si>
  <si>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</si>
  <si>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</si>
  <si>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</si>
  <si>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</si>
  <si>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</si>
  <si>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</si>
  <si>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</si>
  <si>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</si>
  <si>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</si>
  <si>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</si>
  <si>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</si>
  <si>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</si>
  <si>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</si>
  <si>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</si>
  <si>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</si>
  <si>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</si>
  <si>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</si>
  <si>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</si>
  <si>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</si>
  <si>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</si>
  <si>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</si>
  <si>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</si>
  <si>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</si>
  <si>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</si>
  <si>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</si>
  <si>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</si>
  <si>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</si>
  <si>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</si>
  <si>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</si>
  <si>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</si>
  <si>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</si>
  <si>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</si>
  <si>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</si>
  <si>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</si>
  <si>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</si>
  <si>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</si>
  <si>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</si>
  <si>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</si>
  <si>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</si>
  <si>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</si>
  <si>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</si>
  <si>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</si>
  <si>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</si>
  <si>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</si>
  <si>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</si>
  <si>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</si>
  <si>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</si>
  <si>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</si>
  <si>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</si>
  <si>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</si>
  <si>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</si>
  <si>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</si>
  <si>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</si>
  <si>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</si>
  <si>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</si>
  <si>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</si>
  <si>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</si>
  <si>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</si>
  <si>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</si>
  <si>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</si>
  <si>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</si>
  <si>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</si>
  <si>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</si>
  <si>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</si>
  <si>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</si>
  <si>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</si>
  <si>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</si>
  <si>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</si>
  <si>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</si>
  <si>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</si>
  <si>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</si>
  <si>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</si>
  <si>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</si>
  <si>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</si>
  <si>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</si>
  <si>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</si>
  <si>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</si>
  <si>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</si>
  <si>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</si>
  <si>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</si>
  <si>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</si>
  <si>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</si>
  <si>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</si>
  <si>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</si>
  <si>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</si>
  <si>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</si>
  <si>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</si>
  <si>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</si>
  <si>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</si>
  <si>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</si>
  <si>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</si>
  <si>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</si>
  <si>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</si>
  <si>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</si>
  <si>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</si>
  <si>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</si>
  <si>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</si>
  <si>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</si>
  <si>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</si>
  <si>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</si>
  <si>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</si>
  <si>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</si>
  <si>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</si>
  <si>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</si>
  <si>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</si>
  <si>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</si>
  <si>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</si>
  <si>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</si>
  <si>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</si>
  <si>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</si>
  <si>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</si>
  <si>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</si>
  <si>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</si>
  <si>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</si>
  <si>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</si>
  <si>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</si>
  <si>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</si>
  <si>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</si>
  <si>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</si>
  <si>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</si>
  <si>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</si>
  <si>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</si>
  <si>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</si>
  <si>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</si>
  <si>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</si>
  <si>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</si>
  <si>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</si>
  <si>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</si>
  <si>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</si>
  <si>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</si>
  <si>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</si>
  <si>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</si>
  <si>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</si>
  <si>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</si>
  <si>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</si>
  <si>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</si>
  <si>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</si>
  <si>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</si>
  <si>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</si>
  <si>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</si>
  <si>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</si>
  <si>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</si>
  <si>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</si>
  <si>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</si>
  <si>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</si>
  <si>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</si>
  <si>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</si>
  <si>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</si>
  <si>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</si>
  <si>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</si>
  <si>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</si>
  <si>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</si>
  <si>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</si>
  <si>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</si>
  <si>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</si>
  <si>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</si>
  <si>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</si>
  <si>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</si>
  <si>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</si>
  <si>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</si>
  <si>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</si>
  <si>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</si>
  <si>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</si>
  <si>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</si>
  <si>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</si>
  <si>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</si>
  <si>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</si>
  <si>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</si>
  <si>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</si>
  <si>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</si>
  <si>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</si>
  <si>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</si>
  <si>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</si>
  <si>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</si>
  <si>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</si>
  <si>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</si>
  <si>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</si>
  <si>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</si>
  <si>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</si>
  <si>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</si>
  <si>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</si>
  <si>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</si>
  <si>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</si>
  <si>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</si>
  <si>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</si>
  <si>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</si>
  <si>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</si>
  <si>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</si>
  <si>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</si>
  <si>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</si>
  <si>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</si>
  <si>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</si>
  <si>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</si>
  <si>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</si>
  <si>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</si>
  <si>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</si>
  <si>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</si>
  <si>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</si>
  <si>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</si>
  <si>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</si>
  <si>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</si>
  <si>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</si>
  <si>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</si>
  <si>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</si>
  <si>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</si>
  <si>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</si>
  <si>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</si>
  <si>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</si>
  <si>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</si>
  <si>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</si>
  <si>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</si>
  <si>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</si>
  <si>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</si>
  <si>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</si>
  <si>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</si>
  <si>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</si>
  <si>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</si>
  <si>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</si>
  <si>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</si>
  <si>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</si>
  <si>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</si>
  <si>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</si>
  <si>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</si>
  <si>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</si>
  <si>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</si>
  <si>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</si>
  <si>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</si>
  <si>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</si>
  <si>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</si>
  <si>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</si>
  <si>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</si>
  <si>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</si>
  <si>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</si>
  <si>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</si>
  <si>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</si>
  <si>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</si>
  <si>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</si>
  <si>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</si>
  <si>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</si>
  <si>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</si>
  <si>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</si>
  <si>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</si>
  <si>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</si>
  <si>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</si>
  <si>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</si>
  <si>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</si>
  <si>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</si>
  <si>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</si>
  <si>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</si>
  <si>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</si>
  <si>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</si>
  <si>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</si>
  <si>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</si>
  <si>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</si>
  <si>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</si>
  <si>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</si>
  <si>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</si>
  <si>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</si>
  <si>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</si>
  <si>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</si>
  <si>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</si>
  <si>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</si>
  <si>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</si>
  <si>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</si>
  <si>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</si>
  <si>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</si>
  <si>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</si>
  <si>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</si>
  <si>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</si>
  <si>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</si>
  <si>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</si>
  <si>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</si>
  <si>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</si>
  <si>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</si>
  <si>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</si>
  <si>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</si>
  <si>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</si>
  <si>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</si>
  <si>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</si>
  <si>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</si>
  <si>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</si>
  <si>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</si>
  <si>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</si>
  <si>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</si>
  <si>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</si>
  <si>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</si>
  <si>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</si>
  <si>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</si>
  <si>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</si>
  <si>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</si>
  <si>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</si>
  <si>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</si>
  <si>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</si>
  <si>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</si>
  <si>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</si>
  <si>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</si>
  <si>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</si>
  <si>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</si>
  <si>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</si>
  <si>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</si>
  <si>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</si>
  <si>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</si>
  <si>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</si>
  <si>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</si>
  <si>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</si>
  <si>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</si>
  <si>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</si>
  <si>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</si>
  <si>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</si>
  <si>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</si>
  <si>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</si>
  <si>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</si>
  <si>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</si>
  <si>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</si>
  <si>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</si>
  <si>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</si>
  <si>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</si>
  <si>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</si>
  <si>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</si>
  <si>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</si>
  <si>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</si>
  <si>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</si>
  <si>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</si>
  <si>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</si>
  <si>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</si>
  <si>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</si>
  <si>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</si>
  <si>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</si>
  <si>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</si>
  <si>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</si>
  <si>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</si>
  <si>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</si>
  <si>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</si>
  <si>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</si>
  <si>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</si>
  <si>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</si>
  <si>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</si>
  <si>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</si>
  <si>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</si>
  <si>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</si>
  <si>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</si>
  <si>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</si>
  <si>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</si>
  <si>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</si>
  <si>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</si>
  <si>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</si>
  <si>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</si>
  <si>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</si>
  <si>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</si>
  <si>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</si>
  <si>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</si>
  <si>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</si>
  <si>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</si>
  <si>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</si>
  <si>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</si>
  <si>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</si>
  <si>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</si>
  <si>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</si>
  <si>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</si>
  <si>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</si>
  <si>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</si>
  <si>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</si>
  <si>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</si>
  <si>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</si>
  <si>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</si>
  <si>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</si>
  <si>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</si>
  <si>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</si>
  <si>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</si>
  <si>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</si>
  <si>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</si>
  <si>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</si>
  <si>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</si>
  <si>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</si>
  <si>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</si>
  <si>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</si>
  <si>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</si>
  <si>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</si>
  <si>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</si>
  <si>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</si>
  <si>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</si>
  <si>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</si>
  <si>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</si>
  <si>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</si>
  <si>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</si>
  <si>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</si>
  <si>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</si>
  <si>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</si>
  <si>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</si>
  <si>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</si>
  <si>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</si>
  <si>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</si>
  <si>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</si>
  <si>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</si>
  <si>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</si>
  <si>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</si>
  <si>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</si>
  <si>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</si>
  <si>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</si>
  <si>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</si>
  <si>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</si>
  <si>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</si>
  <si>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</si>
  <si>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</si>
  <si>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</si>
  <si>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</si>
  <si>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</si>
  <si>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</si>
  <si>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</si>
  <si>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</si>
  <si>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</si>
  <si>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</si>
  <si>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</si>
  <si>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</si>
  <si>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</si>
  <si>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</si>
  <si>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</si>
  <si>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</si>
  <si>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</si>
  <si>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</si>
  <si>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</si>
  <si>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</si>
  <si>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</si>
  <si>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</si>
  <si>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</si>
  <si>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</si>
  <si>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</si>
  <si>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</si>
  <si>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</si>
  <si>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</si>
  <si>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</si>
  <si>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</si>
  <si>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</si>
  <si>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</si>
  <si>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</si>
  <si>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</si>
  <si>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</si>
  <si>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</si>
  <si>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</si>
  <si>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</si>
  <si>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</si>
  <si>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</si>
  <si>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</si>
  <si>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</si>
  <si>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</si>
  <si>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</si>
  <si>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</si>
  <si>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</si>
  <si>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</si>
  <si>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</si>
  <si>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</si>
  <si>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</si>
  <si>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</si>
  <si>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</si>
  <si>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</si>
  <si>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</si>
  <si>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</si>
  <si>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</si>
  <si>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</si>
  <si>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</si>
  <si>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</si>
  <si>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</si>
  <si>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</si>
  <si>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</si>
  <si>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</si>
  <si>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</si>
  <si>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</si>
  <si>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</si>
  <si>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</si>
  <si>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</si>
  <si>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</si>
  <si>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</si>
  <si>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</si>
  <si>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</si>
  <si>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</si>
  <si>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</si>
  <si>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</si>
  <si>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</si>
  <si>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</si>
  <si>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</si>
  <si>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</si>
  <si>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</si>
  <si>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</si>
  <si>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</si>
  <si>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</si>
  <si>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</si>
  <si>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</si>
  <si>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</si>
  <si>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</si>
  <si>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</si>
  <si>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</si>
  <si>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</si>
  <si>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</si>
  <si>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</si>
  <si>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</si>
  <si>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</si>
  <si>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</si>
  <si>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</si>
  <si>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</si>
  <si>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</si>
  <si>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</si>
  <si>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</si>
  <si>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</si>
  <si>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</si>
  <si>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</si>
  <si>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</si>
  <si>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</si>
  <si>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</si>
  <si>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</si>
  <si>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</si>
  <si>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</si>
  <si>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</si>
  <si>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</si>
  <si>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</si>
  <si>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</si>
  <si>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</si>
  <si>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</si>
  <si>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</si>
  <si>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</si>
  <si>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</si>
  <si>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</si>
  <si>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</si>
  <si>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</si>
  <si>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</si>
  <si>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</si>
  <si>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</si>
  <si>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</si>
  <si>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</si>
  <si>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</si>
  <si>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</si>
  <si>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</si>
  <si>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</si>
  <si>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</si>
  <si>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</si>
  <si>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</si>
  <si>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</si>
  <si>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</si>
  <si>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</si>
  <si>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</si>
  <si>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</si>
  <si>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</si>
  <si>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</si>
  <si>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</si>
  <si>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</si>
  <si>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</si>
  <si>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</si>
  <si>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</si>
  <si>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</si>
  <si>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</si>
  <si>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</si>
  <si>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</si>
  <si>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</si>
  <si>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</si>
  <si>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</si>
  <si>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</si>
  <si>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</si>
  <si>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</si>
  <si>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</si>
  <si>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</si>
  <si>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</si>
  <si>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</si>
  <si>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</si>
  <si>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</si>
  <si>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</si>
  <si>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</si>
  <si>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</si>
  <si>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</si>
  <si>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</si>
  <si>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</si>
  <si>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</si>
  <si>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</si>
  <si>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</si>
  <si>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</si>
  <si>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</si>
  <si>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</si>
  <si>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</si>
  <si>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</si>
  <si>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</si>
  <si>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</si>
  <si>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</si>
  <si>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</si>
  <si>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</si>
  <si>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</si>
  <si>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</si>
  <si>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</si>
  <si>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</si>
  <si>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</si>
  <si>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</si>
  <si>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</si>
  <si>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</si>
  <si>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</si>
  <si>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</si>
  <si>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</si>
  <si>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</si>
  <si>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</si>
  <si>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</si>
  <si>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</si>
  <si>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</si>
  <si>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</si>
  <si>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</si>
  <si>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</si>
  <si>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</si>
  <si>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</si>
  <si>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</si>
  <si>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</si>
  <si>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</si>
  <si>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</si>
  <si>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</si>
  <si>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</si>
  <si>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</si>
  <si>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</si>
  <si>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</si>
  <si>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</si>
  <si>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</si>
  <si>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</si>
  <si>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</si>
  <si>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</si>
  <si>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</si>
  <si>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</si>
  <si>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</si>
  <si>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</si>
  <si>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</si>
  <si>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</si>
  <si>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</si>
  <si>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</si>
  <si>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</si>
  <si>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</si>
  <si>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</si>
  <si>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</si>
  <si>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</si>
  <si>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</si>
  <si>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</si>
  <si>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</si>
  <si>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</si>
  <si>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</si>
  <si>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</si>
  <si>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</si>
  <si>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</si>
  <si>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</si>
  <si>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</si>
  <si>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</si>
  <si>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</si>
  <si>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</si>
  <si>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</si>
  <si>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</si>
  <si>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</si>
  <si>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</si>
  <si>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</si>
  <si>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</si>
  <si>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</si>
  <si>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</si>
  <si>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</si>
  <si>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</si>
  <si>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</si>
  <si>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</si>
  <si>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</si>
  <si>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</si>
  <si>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</si>
  <si>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</si>
  <si>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</si>
  <si>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</si>
  <si>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</si>
  <si>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</si>
  <si>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</si>
  <si>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</si>
  <si>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</si>
  <si>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</si>
  <si>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</si>
  <si>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</si>
  <si>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</si>
  <si>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</si>
  <si>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</si>
  <si>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</si>
  <si>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</si>
  <si>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</si>
  <si>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</si>
  <si>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</si>
  <si>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</si>
  <si>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</si>
  <si>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</si>
  <si>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</si>
  <si>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</si>
  <si>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</si>
  <si>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</si>
  <si>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</si>
  <si>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</si>
  <si>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</si>
  <si>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</si>
  <si>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</si>
  <si>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</si>
  <si>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</si>
  <si>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</si>
  <si>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</si>
  <si>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</si>
  <si>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</si>
  <si>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</si>
  <si>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</si>
  <si>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</si>
  <si>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</si>
  <si>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</si>
  <si>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</si>
  <si>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</si>
  <si>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</si>
  <si>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</si>
  <si>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</si>
  <si>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</si>
  <si>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</si>
  <si>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</si>
  <si>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</si>
  <si>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</si>
  <si>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</si>
  <si>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</si>
  <si>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</si>
  <si>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</si>
  <si>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</si>
  <si>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</si>
  <si>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</si>
  <si>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</si>
  <si>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</si>
  <si>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</si>
  <si>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</si>
  <si>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</si>
  <si>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</si>
  <si>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</si>
  <si>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</si>
  <si>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</si>
  <si>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</si>
  <si>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</si>
  <si>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</si>
  <si>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</si>
  <si>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</si>
  <si>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</si>
  <si>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</si>
  <si>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</si>
  <si>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</si>
  <si>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</si>
  <si>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</si>
  <si>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</si>
  <si>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</si>
  <si>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</si>
  <si>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</si>
  <si>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</si>
  <si>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</si>
  <si>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</si>
  <si>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</si>
  <si>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</si>
  <si>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</si>
  <si>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</si>
  <si>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</si>
  <si>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</si>
  <si>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</si>
  <si>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</si>
  <si>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</si>
  <si>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</si>
  <si>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</si>
  <si>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</si>
  <si>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</si>
  <si>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</si>
  <si>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</si>
  <si>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</si>
  <si>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</si>
  <si>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</si>
  <si>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</si>
  <si>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</si>
  <si>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</si>
  <si>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</si>
  <si>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</si>
  <si>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</si>
  <si>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</si>
  <si>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</si>
  <si>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</si>
  <si>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</si>
  <si>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</si>
  <si>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</si>
  <si>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</si>
  <si>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</si>
  <si>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</si>
  <si>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</si>
  <si>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</si>
  <si>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</si>
  <si>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</si>
  <si>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</si>
  <si>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</si>
  <si>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</si>
  <si>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</si>
  <si>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</si>
  <si>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</si>
  <si>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</si>
  <si>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</si>
  <si>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</si>
  <si>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</si>
  <si>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</si>
  <si>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</si>
  <si>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</si>
  <si>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</si>
  <si>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</si>
  <si>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</si>
  <si>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</si>
  <si>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</si>
  <si>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</si>
  <si>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</si>
  <si>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</si>
  <si>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</si>
  <si>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</si>
  <si>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</si>
  <si>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</si>
  <si>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</si>
  <si>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</si>
  <si>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</si>
  <si>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</si>
  <si>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</si>
  <si>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</si>
  <si>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</si>
  <si>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</si>
  <si>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</si>
  <si>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</si>
  <si>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</si>
  <si>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</si>
  <si>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</si>
  <si>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</si>
  <si>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</si>
  <si>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</si>
  <si>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</si>
  <si>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</si>
  <si>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</si>
  <si>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</si>
  <si>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</si>
  <si>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</si>
  <si>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</si>
  <si>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</si>
  <si>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</si>
  <si>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</si>
  <si>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</si>
  <si>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</si>
  <si>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</si>
  <si>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</si>
  <si>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</si>
  <si>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</si>
  <si>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</si>
  <si>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</si>
  <si>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</si>
  <si>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</si>
  <si>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</si>
  <si>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</si>
  <si>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</si>
  <si>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</si>
  <si>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</si>
  <si>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</si>
  <si>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</si>
  <si>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</si>
  <si>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</si>
  <si>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</si>
  <si>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</si>
  <si>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</si>
  <si>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</si>
  <si>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</si>
  <si>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</si>
  <si>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</si>
  <si>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</si>
  <si>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</si>
  <si>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</si>
  <si>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</si>
  <si>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</si>
  <si>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</si>
  <si>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</si>
  <si>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</si>
  <si>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</si>
  <si>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</si>
  <si>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</si>
  <si>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</si>
  <si>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</si>
  <si>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</si>
  <si>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</si>
  <si>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</si>
  <si>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</si>
  <si>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</si>
  <si>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</si>
  <si>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</si>
  <si>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</si>
  <si>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</si>
  <si>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</si>
  <si>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</si>
  <si>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</si>
  <si>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</si>
  <si>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</si>
  <si>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</si>
  <si>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</si>
  <si>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</si>
  <si>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</si>
  <si>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</si>
  <si>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</si>
  <si>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</si>
  <si>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</si>
  <si>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</si>
  <si>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</si>
  <si>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</si>
  <si>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</si>
  <si>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</si>
  <si>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</si>
  <si>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</si>
  <si>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</si>
  <si>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</si>
  <si>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</si>
  <si>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</si>
  <si>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</si>
  <si>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</si>
  <si>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</si>
  <si>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</si>
  <si>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</si>
  <si>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</si>
  <si>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</si>
  <si>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</si>
  <si>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</si>
  <si>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</si>
  <si>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</si>
  <si>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</si>
  <si>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</si>
  <si>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</si>
  <si>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</si>
  <si>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</si>
  <si>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</si>
  <si>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</si>
  <si>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</si>
  <si>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</si>
  <si>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</si>
  <si>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</si>
  <si>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</si>
  <si>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</si>
  <si>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</si>
  <si>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</si>
  <si>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</si>
  <si>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</si>
  <si>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</si>
  <si>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</si>
  <si>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</si>
  <si>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</si>
  <si>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</si>
  <si>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</si>
  <si>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</si>
  <si>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</si>
  <si>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</si>
  <si>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</si>
  <si>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</si>
  <si>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</si>
  <si>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</si>
  <si>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</si>
  <si>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</si>
  <si>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</si>
  <si>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</si>
  <si>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</si>
  <si>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</si>
  <si>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</si>
  <si>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</si>
  <si>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</si>
  <si>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</si>
  <si>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</si>
  <si>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</si>
  <si>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</si>
  <si>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</si>
  <si>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</si>
  <si>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</si>
  <si>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</si>
  <si>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</si>
  <si>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</si>
  <si>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</si>
  <si>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</si>
  <si>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</si>
  <si>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</si>
  <si>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</si>
  <si>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</si>
  <si>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</si>
  <si>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</si>
  <si>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</si>
  <si>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</si>
  <si>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</si>
  <si>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</si>
  <si>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</si>
  <si>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</si>
  <si>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</si>
  <si>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</si>
  <si>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</si>
  <si>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</si>
  <si>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</si>
  <si>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</si>
  <si>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</si>
  <si>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</si>
  <si>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</si>
  <si>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</si>
  <si>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</si>
  <si>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</si>
  <si>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</si>
  <si>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</si>
  <si>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</si>
  <si>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</si>
  <si>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</si>
  <si>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</si>
  <si>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</si>
  <si>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</si>
  <si>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</si>
  <si>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</si>
  <si>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</si>
  <si>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</si>
  <si>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</si>
  <si>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</si>
  <si>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</si>
  <si>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</si>
  <si>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</si>
  <si>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</si>
  <si>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</si>
  <si>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</si>
  <si>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</si>
  <si>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</si>
  <si>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</si>
  <si>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</si>
  <si>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</si>
  <si>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</si>
  <si>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</si>
  <si>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</si>
  <si>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</si>
  <si>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</si>
  <si>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</si>
  <si>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</si>
  <si>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</si>
  <si>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</si>
  <si>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</si>
  <si>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</si>
  <si>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</si>
  <si>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</si>
  <si>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</si>
  <si>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</si>
  <si>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</si>
  <si>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</si>
  <si>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</si>
  <si>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</si>
  <si>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</si>
  <si>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</si>
  <si>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</si>
  <si>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</si>
  <si>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</si>
  <si>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</si>
  <si>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</si>
  <si>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</si>
  <si>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</si>
  <si>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</si>
  <si>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</si>
  <si>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</si>
  <si>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</si>
  <si>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</si>
  <si>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</si>
  <si>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</si>
  <si>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</si>
  <si>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</si>
  <si>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</si>
  <si>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</si>
  <si>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</si>
  <si>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</si>
  <si>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</si>
  <si>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</si>
  <si>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</si>
  <si>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</si>
  <si>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</si>
  <si>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</si>
  <si>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</si>
  <si>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</si>
  <si>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</si>
  <si>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</si>
  <si>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</si>
  <si>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</si>
  <si>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</si>
  <si>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</si>
  <si>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</si>
  <si>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</si>
  <si>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</si>
  <si>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</si>
  <si>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</si>
  <si>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</si>
  <si>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</si>
  <si>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</si>
  <si>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</si>
  <si>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</si>
  <si>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</si>
  <si>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</si>
  <si>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</si>
  <si>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</si>
  <si>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</si>
  <si>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</si>
  <si>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</si>
  <si>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</si>
  <si>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</si>
  <si>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</si>
  <si>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</si>
  <si>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</si>
  <si>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</si>
  <si>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</si>
  <si>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</si>
  <si>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</si>
  <si>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</si>
  <si>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</si>
  <si>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</si>
  <si>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</si>
  <si>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</si>
  <si>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</si>
  <si>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</si>
  <si>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</si>
  <si>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</si>
  <si>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</si>
  <si>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</si>
  <si>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</si>
  <si>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</si>
  <si>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</si>
  <si>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</si>
  <si>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</si>
  <si>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</si>
  <si>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</si>
  <si>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</si>
  <si>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</si>
  <si>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</si>
  <si>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</si>
  <si>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</si>
  <si>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</si>
  <si>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</si>
  <si>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</si>
  <si>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</si>
  <si>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</si>
  <si>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</si>
  <si>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</si>
  <si>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</si>
  <si>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</si>
  <si>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</si>
  <si>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</si>
  <si>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</si>
  <si>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</si>
  <si>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</si>
  <si>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</si>
  <si>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</si>
  <si>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</si>
  <si>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</si>
  <si>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</si>
  <si>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</si>
  <si>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</si>
  <si>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</si>
  <si>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</si>
  <si>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</si>
  <si>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</si>
  <si>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</si>
  <si>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</si>
  <si>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</si>
  <si>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</si>
  <si>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</si>
  <si>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</si>
  <si>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</si>
  <si>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</si>
  <si>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</si>
  <si>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</si>
  <si>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</si>
  <si>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</si>
  <si>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</si>
  <si>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</si>
  <si>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</si>
  <si>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</si>
  <si>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</si>
  <si>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</si>
  <si>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</si>
  <si>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</si>
  <si>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</si>
  <si>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</si>
  <si>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</si>
  <si>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</si>
  <si>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</si>
  <si>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</si>
  <si>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</si>
  <si>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</si>
  <si>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</si>
  <si>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</si>
  <si>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</si>
  <si>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</si>
  <si>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</si>
  <si>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</si>
  <si>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</si>
  <si>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</si>
  <si>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</si>
  <si>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</si>
  <si>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</si>
  <si>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</si>
  <si>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</si>
  <si>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</si>
  <si>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</si>
  <si>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</si>
  <si>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</si>
  <si>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</si>
  <si>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</si>
  <si>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</si>
  <si>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</si>
  <si>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</si>
  <si>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</si>
  <si>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</si>
  <si>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</si>
  <si>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</si>
  <si>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</si>
  <si>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</si>
  <si>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</si>
  <si>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</si>
  <si>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</si>
  <si>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</si>
  <si>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</si>
  <si>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</si>
  <si>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</si>
  <si>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</si>
  <si>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</si>
  <si>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</si>
  <si>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</si>
  <si>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</si>
  <si>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</si>
  <si>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</si>
  <si>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</si>
  <si>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</si>
  <si>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</si>
  <si>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</si>
  <si>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</si>
  <si>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</si>
  <si>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</si>
  <si>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</si>
  <si>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</si>
  <si>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</si>
  <si>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</si>
  <si>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</si>
  <si>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</si>
  <si>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</si>
  <si>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</si>
  <si>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</si>
  <si>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</si>
  <si>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</si>
  <si>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</si>
  <si>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</si>
  <si>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</si>
  <si>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</si>
  <si>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</si>
  <si>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</si>
  <si>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</si>
  <si>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</si>
  <si>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</si>
  <si>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</si>
  <si>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</si>
  <si>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</si>
  <si>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</si>
  <si>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</si>
  <si>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</si>
  <si>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</si>
  <si>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</si>
  <si>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</si>
  <si>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</si>
  <si>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</si>
  <si>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</si>
  <si>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</si>
  <si>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</si>
  <si>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</si>
  <si>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</si>
  <si>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</si>
  <si>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</si>
  <si>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</si>
  <si>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</si>
  <si>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</si>
  <si>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</si>
  <si>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</si>
  <si>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</si>
  <si>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</si>
  <si>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</si>
  <si>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</si>
  <si>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</si>
  <si>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</si>
  <si>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</si>
  <si>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</si>
  <si>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</si>
  <si>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</si>
  <si>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</si>
  <si>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</si>
  <si>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</si>
  <si>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</si>
  <si>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</si>
  <si>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</si>
  <si>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</si>
  <si>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</si>
  <si>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</si>
  <si>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</si>
  <si>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</si>
  <si>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</si>
  <si>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</si>
  <si>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</si>
  <si>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</si>
  <si>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</si>
  <si>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</si>
  <si>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</si>
  <si>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</si>
  <si>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</si>
  <si>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</si>
  <si>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</si>
  <si>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</si>
  <si>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</si>
  <si>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</si>
  <si>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</si>
  <si>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</si>
  <si>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</si>
  <si>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</si>
  <si>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</si>
  <si>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</si>
  <si>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</si>
  <si>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</si>
  <si>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</si>
  <si>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</si>
  <si>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</si>
  <si>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</si>
  <si>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</si>
  <si>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</si>
  <si>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</si>
  <si>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</si>
  <si>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</si>
  <si>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</si>
  <si>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</si>
  <si>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</si>
  <si>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</si>
  <si>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</si>
  <si>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</si>
  <si>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</si>
  <si>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</si>
  <si>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</si>
  <si>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</si>
  <si>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</si>
  <si>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</si>
  <si>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</si>
  <si>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</si>
  <si>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</si>
  <si>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</si>
  <si>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</si>
  <si>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</si>
  <si>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</si>
  <si>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</si>
  <si>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</si>
  <si>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</si>
  <si>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</si>
  <si>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</si>
  <si>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</si>
  <si>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</si>
  <si>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</si>
  <si>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</si>
  <si>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</si>
  <si>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</si>
  <si>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</si>
  <si>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</si>
  <si>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</si>
  <si>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</si>
  <si>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</si>
  <si>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</si>
  <si>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</si>
  <si>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</si>
  <si>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</si>
  <si>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</si>
  <si>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</si>
  <si>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</si>
  <si>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</si>
  <si>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</si>
  <si>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</si>
  <si>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</si>
  <si>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</si>
  <si>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</si>
  <si>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</si>
  <si>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</si>
  <si>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</si>
  <si>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</si>
  <si>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</si>
  <si>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</si>
  <si>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</si>
  <si>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</si>
  <si>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</si>
  <si>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</si>
  <si>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</si>
  <si>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</si>
  <si>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</si>
  <si>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</si>
  <si>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</si>
  <si>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</si>
  <si>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</si>
  <si>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</si>
  <si>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</si>
  <si>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</si>
  <si>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</si>
  <si>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</si>
  <si>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</si>
  <si>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</si>
  <si>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</si>
  <si>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</si>
  <si>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</si>
  <si>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</si>
  <si>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</si>
  <si>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</si>
  <si>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</si>
  <si>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</si>
  <si>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</si>
  <si>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</si>
  <si>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</si>
  <si>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</si>
  <si>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</si>
  <si>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</si>
  <si>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</si>
  <si>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</si>
  <si>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</si>
  <si>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</si>
  <si>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</si>
  <si>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</si>
  <si>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</si>
  <si>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</si>
  <si>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</si>
  <si>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</si>
  <si>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</si>
  <si>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</si>
  <si>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</si>
  <si>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</si>
  <si>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</si>
  <si>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</si>
  <si>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</si>
  <si>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</si>
  <si>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</si>
  <si>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</si>
  <si>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</si>
  <si>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</si>
  <si>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</si>
  <si>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</si>
  <si>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</si>
  <si>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</si>
  <si>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</si>
  <si>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</si>
  <si>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</si>
  <si>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</si>
  <si>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</si>
  <si>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</si>
  <si>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</si>
  <si>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</si>
  <si>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</si>
  <si>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</si>
  <si>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</si>
  <si>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</si>
  <si>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</si>
  <si>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</si>
  <si>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</si>
  <si>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</si>
  <si>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</si>
  <si>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</si>
  <si>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</si>
  <si>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</si>
  <si>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</si>
  <si>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</si>
  <si>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</si>
  <si>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</si>
  <si>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</si>
  <si>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</si>
  <si>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</si>
  <si>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</si>
  <si>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</si>
  <si>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</si>
  <si>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</si>
  <si>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</si>
  <si>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</si>
  <si>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</si>
  <si>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</si>
  <si>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</si>
  <si>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</si>
  <si>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</si>
  <si>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</si>
  <si>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</si>
  <si>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</si>
  <si>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</si>
  <si>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</si>
  <si>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</si>
  <si>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</si>
  <si>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</si>
  <si>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</si>
  <si>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</si>
  <si>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</si>
  <si>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</si>
  <si>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</si>
  <si>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</si>
  <si>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</si>
  <si>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</si>
  <si>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</si>
  <si>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</si>
  <si>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</si>
  <si>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</si>
  <si>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</si>
  <si>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</si>
  <si>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</si>
  <si>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</si>
  <si>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</si>
  <si>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</si>
  <si>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</si>
  <si>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</si>
  <si>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</si>
  <si>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</si>
  <si>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</si>
  <si>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</si>
  <si>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</si>
  <si>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</si>
  <si>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</si>
  <si>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</si>
  <si>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</si>
  <si>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</si>
  <si>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</si>
  <si>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</si>
  <si>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</si>
  <si>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</si>
  <si>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</si>
  <si>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</si>
  <si>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</si>
  <si>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</si>
  <si>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</si>
  <si>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</si>
  <si>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</si>
  <si>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</si>
  <si>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</si>
  <si>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</si>
  <si>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</si>
  <si>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</si>
  <si>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</si>
  <si>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</si>
  <si>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</si>
  <si>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</si>
  <si>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</si>
  <si>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</si>
  <si>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</si>
  <si>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</si>
  <si>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</si>
  <si>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</si>
  <si>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</si>
  <si>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</si>
  <si>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</si>
  <si>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</si>
  <si>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</si>
  <si>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</si>
  <si>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</si>
  <si>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</si>
  <si>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</si>
  <si>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</si>
  <si>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</si>
  <si>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</si>
  <si>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</si>
  <si>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</si>
  <si>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</si>
  <si>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</si>
  <si>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</si>
  <si>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</si>
  <si>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</si>
  <si>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</si>
  <si>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</si>
  <si>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</si>
  <si>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</si>
  <si>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</si>
  <si>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</si>
  <si>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</si>
  <si>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</si>
  <si>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</si>
  <si>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</si>
  <si>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</si>
  <si>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</si>
  <si>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</si>
  <si>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</si>
  <si>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</si>
  <si>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</si>
  <si>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</si>
  <si>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</si>
  <si>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</si>
  <si>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</si>
  <si>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</si>
  <si>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</si>
  <si>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</si>
  <si>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</si>
  <si>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</si>
  <si>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</si>
  <si>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</si>
  <si>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</si>
  <si>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</si>
  <si>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</si>
  <si>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</si>
  <si>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</si>
  <si>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</si>
  <si>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</si>
  <si>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</si>
  <si>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</si>
  <si>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</si>
  <si>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</si>
  <si>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</si>
  <si>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</si>
  <si>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</si>
  <si>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</si>
  <si>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</si>
  <si>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</si>
  <si>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</si>
  <si>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</si>
  <si>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</si>
  <si>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</si>
  <si>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</si>
  <si>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</si>
  <si>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</si>
  <si>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</si>
  <si>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</si>
  <si>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</si>
  <si>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</si>
  <si>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</si>
  <si>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</si>
  <si>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</si>
  <si>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</si>
  <si>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</si>
  <si>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</si>
  <si>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</si>
  <si>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</si>
  <si>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</si>
  <si>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</si>
  <si>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</si>
  <si>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</si>
  <si>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</si>
  <si>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</si>
  <si>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</si>
  <si>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</si>
  <si>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</si>
  <si>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</si>
  <si>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</si>
  <si>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</si>
  <si>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</si>
  <si>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</si>
  <si>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</si>
  <si>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</si>
  <si>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</si>
  <si>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</si>
  <si>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</si>
  <si>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</si>
  <si>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</si>
  <si>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</si>
  <si>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</si>
  <si>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</si>
  <si>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</si>
  <si>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</si>
  <si>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</si>
  <si>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</si>
  <si>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</si>
  <si>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</si>
  <si>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</si>
  <si>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</si>
  <si>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</si>
  <si>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</si>
  <si>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</si>
  <si>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</si>
  <si>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</si>
  <si>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</si>
  <si>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</si>
  <si>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</si>
  <si>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</si>
  <si>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</si>
  <si>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</si>
  <si>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</si>
  <si>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</si>
  <si>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</si>
  <si>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</si>
  <si>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</si>
  <si>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</si>
  <si>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</si>
  <si>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</si>
  <si>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</si>
  <si>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</si>
  <si>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</si>
  <si>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</si>
  <si>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</si>
  <si>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</si>
  <si>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</si>
  <si>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</si>
  <si>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</si>
  <si>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</si>
  <si>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</si>
  <si>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</si>
  <si>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</si>
  <si>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</si>
  <si>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</si>
  <si>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</si>
  <si>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</si>
  <si>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</si>
  <si>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</si>
  <si>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</si>
  <si>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</si>
  <si>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</si>
  <si>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</si>
  <si>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</si>
  <si>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</si>
  <si>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</si>
  <si>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</si>
  <si>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</si>
  <si>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</si>
  <si>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</si>
  <si>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</si>
  <si>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</si>
  <si>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</si>
  <si>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</si>
  <si>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</si>
  <si>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</si>
  <si>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</si>
  <si>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</si>
  <si>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</si>
  <si>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</si>
  <si>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</si>
  <si>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</si>
  <si>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</si>
  <si>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</si>
  <si>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</si>
  <si>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</si>
  <si>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</si>
  <si>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</si>
  <si>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</si>
  <si>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</si>
  <si>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</si>
  <si>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</si>
  <si>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</si>
  <si>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</si>
  <si>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</si>
  <si>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</si>
  <si>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</si>
  <si>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</si>
  <si>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</si>
  <si>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</si>
  <si>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</si>
  <si>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</si>
  <si>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</si>
  <si>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</si>
  <si>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</si>
  <si>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</si>
  <si>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</si>
  <si>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</si>
  <si>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</si>
  <si>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</si>
  <si>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</si>
  <si>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</si>
  <si>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</si>
  <si>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</si>
  <si>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</si>
  <si>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</si>
  <si>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</si>
  <si>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</si>
  <si>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</si>
  <si>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</si>
  <si>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</si>
  <si>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</si>
  <si>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</si>
  <si>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</si>
  <si>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</si>
  <si>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</si>
  <si>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</si>
  <si>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</si>
  <si>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</si>
  <si>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</si>
  <si>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</si>
  <si>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</si>
  <si>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</si>
  <si>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</si>
  <si>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</si>
  <si>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</si>
  <si>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</si>
  <si>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</si>
  <si>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</si>
  <si>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</si>
  <si>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</si>
  <si>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</si>
  <si>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</si>
  <si>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</si>
  <si>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</si>
  <si>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</si>
  <si>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</si>
  <si>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</si>
  <si>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</si>
  <si>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</si>
  <si>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</si>
  <si>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</si>
  <si>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</si>
  <si>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</si>
  <si>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</si>
  <si>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</si>
  <si>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</si>
  <si>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</si>
  <si>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</si>
  <si>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</si>
  <si>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</si>
  <si>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</si>
  <si>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</si>
  <si>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</si>
  <si>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</si>
  <si>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</si>
  <si>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</si>
  <si>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</si>
  <si>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</si>
  <si>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</si>
  <si>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</si>
  <si>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</si>
  <si>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</si>
  <si>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</si>
  <si>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</si>
  <si>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</si>
  <si>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</si>
  <si>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</si>
  <si>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</si>
  <si>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</si>
  <si>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</si>
  <si>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</si>
  <si>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</si>
  <si>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</si>
  <si>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</si>
  <si>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</si>
  <si>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</si>
  <si>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</si>
  <si>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</si>
  <si>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</si>
  <si>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</si>
  <si>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</si>
  <si>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</si>
  <si>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</si>
  <si>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</si>
  <si>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</si>
  <si>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</si>
  <si>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</si>
  <si>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</si>
  <si>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</si>
  <si>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</si>
  <si>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</si>
  <si>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</si>
  <si>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</si>
  <si>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</si>
  <si>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</si>
  <si>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</si>
  <si>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</si>
  <si>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</si>
  <si>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</si>
  <si>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</si>
  <si>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</si>
  <si>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</si>
  <si>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</si>
  <si>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</si>
  <si>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</si>
  <si>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</si>
  <si>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</si>
  <si>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</si>
  <si>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</si>
  <si>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</si>
  <si>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</si>
  <si>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</si>
  <si>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</si>
  <si>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</si>
  <si>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</si>
  <si>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</si>
  <si>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</si>
  <si>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</si>
  <si>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</si>
  <si>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</si>
  <si>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</si>
  <si>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</si>
  <si>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</si>
  <si>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</si>
  <si>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</si>
  <si>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</si>
  <si>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</si>
  <si>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</si>
  <si>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</si>
  <si>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</si>
  <si>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</si>
  <si>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</si>
  <si>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</si>
  <si>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</si>
  <si>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</si>
  <si>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</si>
  <si>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</si>
  <si>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</si>
  <si>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</si>
  <si>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</si>
  <si>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</si>
  <si>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</si>
  <si>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</si>
  <si>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</si>
  <si>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</si>
  <si>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</si>
  <si>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</si>
  <si>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</si>
  <si>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</si>
  <si>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</si>
  <si>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</si>
  <si>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</si>
  <si>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</si>
  <si>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</si>
  <si>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</si>
  <si>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</si>
  <si>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</si>
  <si>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</si>
  <si>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</si>
  <si>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</si>
  <si>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</si>
  <si>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</si>
  <si>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</si>
  <si>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</si>
  <si>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</si>
  <si>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</si>
  <si>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</si>
  <si>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</si>
  <si>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</si>
  <si>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</si>
  <si>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</si>
  <si>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</si>
  <si>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</si>
  <si>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</si>
  <si>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</si>
  <si>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</si>
  <si>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</si>
  <si>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</si>
  <si>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</si>
  <si>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</si>
  <si>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</si>
  <si>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</si>
  <si>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</si>
  <si>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</si>
  <si>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</si>
  <si>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</si>
  <si>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</si>
  <si>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</si>
  <si>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</si>
  <si>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</si>
  <si>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</si>
  <si>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</si>
  <si>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</si>
  <si>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</si>
  <si>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</si>
  <si>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</si>
  <si>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</si>
  <si>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</si>
  <si>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</si>
  <si>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</si>
  <si>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</si>
  <si>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</si>
  <si>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</si>
  <si>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</si>
  <si>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</si>
  <si>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</si>
  <si>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</si>
  <si>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</si>
  <si>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</si>
  <si>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</si>
  <si>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</si>
  <si>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</si>
  <si>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</si>
  <si>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</si>
  <si>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</si>
  <si>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</si>
  <si>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</si>
  <si>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</si>
  <si>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</si>
  <si>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</si>
  <si>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</si>
  <si>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</si>
  <si>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</si>
  <si>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</si>
  <si>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</si>
  <si>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</si>
  <si>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</si>
  <si>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</si>
  <si>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</si>
  <si>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</si>
  <si>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</si>
  <si>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</si>
  <si>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</si>
  <si>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</si>
  <si>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</si>
  <si>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</si>
  <si>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</si>
  <si>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</si>
  <si>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</si>
  <si>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</si>
  <si>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</si>
  <si>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</si>
  <si>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</si>
  <si>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</si>
  <si>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</si>
  <si>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</si>
  <si>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</si>
  <si>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</si>
  <si>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</si>
  <si>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</si>
  <si>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</si>
  <si>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</si>
  <si>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</si>
  <si>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</si>
  <si>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</si>
  <si>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</si>
  <si>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</si>
  <si>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</si>
  <si>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</si>
  <si>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</si>
  <si>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</si>
  <si>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</si>
  <si>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</si>
  <si>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</si>
  <si>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</si>
  <si>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</si>
  <si>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</si>
  <si>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</si>
  <si>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</si>
  <si>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</si>
  <si>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</si>
  <si>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</si>
  <si>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</si>
  <si>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</si>
  <si>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</si>
  <si>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</si>
  <si>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</si>
  <si>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</si>
  <si>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</si>
  <si>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</si>
  <si>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</si>
  <si>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</si>
  <si>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</si>
  <si>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</si>
  <si>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</si>
  <si>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</si>
  <si>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</si>
  <si>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</si>
  <si>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</si>
  <si>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</si>
  <si>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</si>
  <si>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</si>
  <si>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</si>
  <si>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</si>
  <si>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</si>
  <si>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</si>
  <si>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</si>
  <si>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</si>
  <si>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</si>
  <si>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</si>
  <si>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</si>
  <si>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</si>
  <si>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</si>
  <si>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</si>
  <si>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</si>
  <si>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</si>
  <si>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</si>
  <si>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</si>
  <si>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</si>
  <si>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</si>
  <si>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</si>
  <si>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</si>
  <si>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</si>
  <si>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</si>
  <si>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</si>
  <si>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</si>
  <si>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</si>
  <si>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</si>
  <si>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</si>
  <si>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</si>
  <si>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</si>
  <si>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</si>
  <si>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</si>
  <si>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</si>
  <si>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</si>
  <si>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</si>
  <si>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</si>
  <si>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</si>
  <si>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</si>
  <si>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</si>
  <si>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</si>
  <si>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</si>
  <si>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</si>
  <si>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</si>
  <si>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</si>
  <si>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</si>
  <si>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</si>
  <si>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</si>
  <si>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</si>
  <si>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</si>
  <si>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</si>
  <si>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</si>
  <si>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</si>
  <si>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</si>
  <si>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</si>
  <si>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</si>
  <si>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</si>
  <si>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</si>
  <si>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</si>
  <si>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</si>
  <si>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</si>
  <si>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</si>
  <si>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</si>
  <si>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</si>
  <si>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</si>
  <si>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</si>
  <si>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</si>
  <si>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</si>
  <si>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</si>
  <si>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</si>
  <si>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</si>
  <si>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</si>
  <si>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</si>
  <si>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</si>
  <si>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</si>
  <si>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</si>
  <si>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</si>
  <si>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</si>
  <si>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</si>
  <si>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</si>
  <si>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</si>
  <si>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</si>
  <si>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</si>
  <si>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</si>
  <si>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</si>
  <si>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</si>
  <si>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</si>
  <si>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</si>
  <si>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</si>
  <si>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</si>
  <si>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</si>
  <si>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</si>
  <si>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</si>
  <si>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</si>
  <si>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</si>
  <si>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</si>
  <si>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</si>
  <si>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</si>
  <si>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</si>
  <si>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</si>
  <si>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</si>
  <si>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</si>
  <si>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</si>
  <si>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</si>
  <si>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</si>
  <si>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</si>
  <si>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</si>
  <si>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</si>
  <si>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</si>
  <si>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</si>
  <si>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</si>
  <si>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</si>
  <si>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</si>
  <si>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</si>
  <si>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</si>
  <si>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</si>
  <si>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</si>
  <si>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</si>
  <si>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</si>
  <si>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</si>
  <si>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</si>
  <si>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</si>
  <si>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</si>
  <si>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</si>
  <si>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</si>
  <si>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</si>
  <si>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</si>
  <si>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</si>
  <si>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</si>
  <si>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</si>
  <si>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</si>
  <si>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</si>
  <si>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</si>
  <si>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</si>
  <si>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</si>
  <si>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</si>
  <si>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</si>
  <si>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</si>
  <si>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</si>
  <si>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</si>
  <si>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</si>
  <si>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</si>
  <si>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</si>
  <si>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</si>
  <si>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</si>
  <si>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</si>
  <si>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</si>
  <si>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</si>
  <si>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</si>
  <si>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</si>
  <si>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</si>
  <si>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</si>
  <si>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</si>
  <si>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</si>
  <si>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</si>
  <si>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</si>
  <si>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</si>
  <si>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</si>
  <si>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</si>
  <si>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</si>
  <si>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</si>
  <si>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</si>
  <si>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</si>
  <si>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</si>
  <si>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</si>
  <si>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</si>
  <si>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</si>
  <si>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</si>
  <si>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</si>
  <si>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</si>
  <si>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</si>
  <si>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</si>
  <si>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</si>
  <si>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</si>
  <si>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</si>
  <si>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</si>
  <si>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</si>
  <si>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</si>
  <si>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</si>
  <si>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</si>
  <si>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</si>
  <si>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</si>
  <si>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</si>
  <si>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</si>
  <si>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</si>
  <si>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</si>
  <si>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</si>
  <si>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</si>
  <si>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</si>
  <si>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</si>
  <si>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</si>
  <si>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</si>
  <si>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</si>
  <si>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</si>
  <si>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</si>
  <si>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</si>
  <si>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</si>
  <si>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</si>
  <si>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</si>
  <si>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</si>
  <si>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</si>
  <si>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</si>
  <si>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</si>
  <si>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</si>
  <si>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</si>
  <si>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</si>
  <si>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</si>
  <si>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</si>
  <si>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</si>
  <si>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</si>
  <si>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</si>
  <si>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</si>
  <si>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</si>
  <si>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</si>
  <si>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</si>
  <si>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</si>
  <si>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</si>
  <si>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</si>
  <si>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</si>
  <si>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</si>
  <si>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</si>
  <si>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</si>
  <si>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</si>
  <si>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</si>
  <si>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</si>
  <si>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</si>
  <si>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</si>
  <si>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</si>
  <si>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</si>
  <si>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</si>
  <si>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</si>
  <si>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</si>
  <si>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</si>
  <si>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</si>
  <si>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</si>
  <si>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</si>
  <si>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</si>
  <si>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</si>
  <si>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</si>
  <si>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</si>
  <si>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</si>
  <si>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</si>
  <si>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</si>
  <si>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</si>
  <si>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</si>
  <si>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</si>
  <si>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</si>
  <si>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</si>
  <si>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</si>
  <si>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</si>
  <si>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</si>
  <si>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</si>
  <si>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</si>
  <si>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</si>
  <si>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</si>
  <si>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</si>
  <si>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</si>
  <si>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</si>
  <si>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</si>
  <si>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</si>
  <si>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</si>
  <si>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</si>
  <si>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</si>
  <si>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</si>
  <si>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</si>
  <si>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</si>
  <si>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</si>
  <si>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</si>
  <si>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</si>
  <si>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</si>
  <si>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</si>
  <si>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</si>
  <si>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</si>
  <si>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</si>
  <si>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</si>
  <si>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</si>
  <si>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</si>
  <si>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</si>
  <si>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</si>
  <si>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</si>
  <si>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</si>
  <si>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</si>
  <si>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</si>
  <si>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</si>
  <si>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</si>
  <si>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</si>
  <si>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</si>
  <si>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</si>
  <si>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</si>
  <si>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</si>
  <si>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</si>
  <si>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</si>
  <si>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</si>
  <si>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</si>
  <si>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</si>
  <si>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</si>
  <si>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</si>
  <si>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</si>
  <si>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</si>
  <si>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</si>
  <si>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</si>
  <si>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</si>
  <si>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</si>
  <si>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</si>
  <si>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</si>
  <si>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</si>
  <si>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</si>
  <si>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</si>
  <si>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</si>
  <si>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</si>
  <si>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</si>
  <si>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</si>
  <si>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</si>
  <si>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</si>
  <si>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</si>
  <si>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</si>
  <si>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</si>
  <si>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</si>
  <si>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</si>
  <si>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</si>
  <si>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</si>
  <si>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</si>
  <si>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</si>
  <si>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</si>
  <si>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</si>
  <si>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</si>
  <si>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</si>
  <si>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</si>
  <si>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</si>
  <si>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</si>
  <si>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</si>
  <si>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</si>
  <si>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</si>
  <si>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</si>
  <si>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</si>
  <si>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</si>
  <si>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</si>
  <si>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</si>
  <si>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</si>
  <si>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</si>
  <si>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</si>
  <si>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</si>
  <si>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</si>
  <si>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</si>
  <si>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</si>
  <si>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</si>
  <si>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</si>
  <si>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</si>
  <si>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</si>
  <si>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</si>
  <si>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</si>
  <si>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</si>
  <si>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</si>
  <si>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</si>
  <si>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</si>
  <si>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</si>
  <si>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</si>
  <si>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</si>
  <si>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</si>
  <si>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</si>
  <si>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</si>
  <si>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</si>
  <si>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</si>
  <si>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</si>
  <si>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</si>
  <si>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</si>
  <si>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</si>
  <si>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</si>
  <si>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</si>
  <si>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</si>
  <si>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</si>
  <si>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</si>
  <si>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</si>
  <si>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</si>
  <si>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</si>
  <si>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</si>
  <si>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</si>
  <si>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</si>
  <si>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</si>
  <si>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</si>
  <si>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</si>
  <si>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</si>
  <si>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</si>
  <si>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</si>
  <si>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</si>
  <si>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</si>
  <si>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</si>
  <si>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</si>
  <si>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</si>
  <si>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</si>
  <si>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</si>
  <si>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</si>
  <si>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</si>
  <si>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</si>
  <si>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</si>
  <si>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</si>
  <si>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</si>
  <si>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</si>
  <si>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</si>
  <si>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</si>
  <si>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</si>
  <si>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</si>
  <si>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</si>
  <si>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</si>
  <si>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</si>
  <si>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</si>
  <si>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</si>
  <si>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</si>
  <si>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</si>
  <si>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</si>
  <si>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</si>
  <si>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</si>
  <si>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</si>
  <si>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</si>
  <si>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</si>
  <si>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</si>
  <si>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</si>
  <si>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</si>
  <si>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</si>
  <si>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</si>
  <si>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</si>
  <si>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</si>
  <si>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</si>
  <si>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</si>
  <si>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</si>
  <si>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</si>
  <si>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</si>
  <si>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</si>
  <si>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</si>
  <si>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</si>
  <si>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</si>
  <si>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</si>
  <si>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</si>
  <si>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</si>
  <si>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</si>
  <si>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</si>
  <si>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</si>
  <si>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</si>
  <si>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</si>
  <si>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</si>
  <si>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</si>
  <si>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</si>
  <si>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</si>
  <si>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</si>
  <si>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</si>
  <si>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</si>
  <si>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</si>
  <si>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</si>
  <si>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</si>
  <si>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</si>
  <si>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</si>
  <si>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</si>
  <si>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</si>
  <si>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</si>
  <si>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</si>
  <si>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</si>
  <si>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</si>
  <si>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</si>
  <si>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</si>
  <si>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</si>
  <si>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</si>
  <si>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</si>
  <si>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</si>
  <si>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</si>
  <si>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</si>
  <si>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</si>
  <si>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</si>
  <si>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</si>
  <si>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</si>
  <si>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</si>
  <si>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</si>
  <si>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</si>
  <si>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</si>
  <si>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</si>
  <si>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</si>
  <si>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</si>
  <si>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</si>
  <si>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</si>
  <si>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</si>
  <si>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</si>
  <si>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</si>
  <si>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</si>
  <si>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</si>
  <si>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</si>
  <si>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</si>
  <si>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</si>
  <si>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</si>
  <si>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</si>
  <si>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</si>
  <si>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</si>
  <si>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</si>
  <si>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</si>
  <si>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</si>
  <si>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</si>
  <si>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</si>
  <si>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</si>
  <si>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</si>
  <si>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</si>
  <si>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</si>
  <si>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</si>
  <si>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</si>
  <si>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</si>
  <si>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</si>
  <si>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</si>
  <si>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</si>
  <si>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</si>
  <si>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</si>
  <si>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</si>
  <si>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</si>
  <si>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</si>
  <si>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</si>
  <si>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</si>
  <si>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</si>
  <si>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</si>
  <si>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</si>
  <si>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</si>
  <si>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</si>
  <si>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</si>
  <si>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</si>
  <si>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</si>
  <si>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</si>
  <si>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</si>
  <si>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</si>
  <si>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</si>
  <si>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</si>
  <si>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</si>
  <si>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</si>
  <si>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</si>
  <si>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</si>
  <si>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</si>
  <si>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</si>
  <si>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</si>
  <si>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</si>
  <si>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</si>
  <si>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</si>
  <si>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</si>
  <si>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</si>
  <si>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</si>
  <si>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</si>
  <si>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</si>
  <si>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</si>
  <si>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</si>
  <si>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</si>
  <si>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</si>
  <si>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</si>
  <si>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</si>
  <si>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</si>
  <si>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</si>
  <si>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</si>
  <si>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</si>
  <si>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</si>
  <si>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</si>
  <si>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</si>
  <si>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</si>
  <si>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</si>
  <si>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</si>
  <si>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</si>
  <si>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</si>
  <si>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</si>
  <si>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</si>
  <si>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</si>
  <si>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</si>
  <si>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</si>
  <si>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</si>
  <si>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</si>
  <si>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</si>
  <si>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</si>
  <si>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</si>
  <si>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</si>
  <si>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</si>
  <si>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</si>
  <si>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</si>
  <si>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</si>
  <si>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</si>
  <si>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</si>
  <si>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</si>
  <si>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</si>
  <si>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</si>
  <si>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</si>
  <si>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</si>
  <si>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</si>
  <si>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</si>
  <si>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</si>
  <si>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</si>
  <si>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</si>
  <si>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</si>
  <si>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</si>
  <si>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</si>
  <si>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</si>
  <si>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</si>
  <si>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</si>
  <si>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</si>
  <si>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</si>
  <si>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</si>
  <si>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</si>
  <si>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</si>
  <si>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</si>
  <si>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</si>
  <si>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</si>
  <si>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</si>
  <si>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</si>
  <si>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</si>
  <si>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</si>
  <si>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</si>
  <si>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</si>
  <si>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</si>
  <si>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</si>
  <si>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</si>
  <si>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</si>
  <si>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</si>
  <si>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</si>
  <si>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</si>
  <si>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</si>
  <si>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</si>
  <si>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</si>
  <si>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</si>
  <si>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</si>
  <si>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</si>
  <si>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</si>
  <si>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</si>
  <si>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</si>
  <si>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</si>
  <si>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</si>
  <si>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</si>
  <si>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</si>
  <si>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</si>
  <si>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</si>
  <si>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</si>
  <si>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</si>
  <si>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</si>
  <si>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</si>
  <si>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</si>
  <si>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</si>
  <si>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</si>
  <si>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</si>
  <si>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</si>
  <si>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</si>
  <si>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</si>
  <si>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</si>
  <si>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</si>
  <si>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</si>
  <si>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</si>
  <si>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</si>
  <si>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</si>
  <si>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</si>
  <si>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</si>
  <si>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</si>
  <si>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</si>
  <si>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</si>
  <si>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</si>
  <si>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</si>
  <si>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</si>
  <si>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</si>
  <si>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</si>
  <si>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</si>
  <si>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</si>
  <si>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</si>
  <si>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</si>
  <si>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</si>
  <si>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</si>
  <si>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</si>
  <si>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</si>
  <si>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</si>
  <si>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</si>
  <si>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</si>
  <si>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</si>
  <si>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</si>
  <si>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</si>
  <si>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</si>
  <si>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</si>
  <si>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</si>
  <si>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</si>
  <si>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</si>
  <si>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</si>
  <si>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</si>
  <si>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</si>
  <si>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</si>
  <si>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</si>
  <si>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</si>
  <si>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</si>
  <si>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</si>
  <si>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</si>
  <si>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</si>
  <si>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</si>
  <si>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</si>
  <si>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</si>
  <si>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</si>
  <si>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</si>
  <si>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</si>
  <si>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</si>
  <si>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</si>
  <si>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</si>
  <si>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</si>
  <si>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</si>
  <si>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</si>
  <si>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</si>
  <si>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</si>
  <si>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</si>
  <si>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</si>
  <si>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</si>
  <si>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</si>
  <si>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</si>
  <si>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</si>
  <si>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</si>
  <si>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</si>
  <si>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</si>
  <si>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</si>
  <si>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</si>
  <si>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</si>
  <si>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</si>
  <si>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</si>
  <si>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</si>
  <si>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</si>
  <si>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</si>
  <si>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</si>
  <si>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</si>
  <si>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</si>
  <si>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</si>
  <si>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</si>
  <si>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</si>
  <si>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</si>
  <si>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</si>
  <si>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</si>
  <si>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</si>
  <si>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</si>
  <si>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</si>
  <si>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</si>
  <si>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</si>
  <si>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</si>
  <si>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</si>
  <si>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</si>
  <si>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</si>
  <si>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</si>
  <si>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</si>
  <si>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</si>
  <si>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</si>
  <si>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</si>
  <si>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</si>
  <si>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</si>
  <si>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</si>
  <si>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</si>
  <si>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</si>
  <si>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</si>
  <si>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</si>
  <si>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</si>
  <si>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</si>
  <si>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</si>
  <si>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</si>
  <si>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</si>
  <si>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</si>
  <si>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</si>
  <si>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</si>
  <si>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</si>
  <si>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</si>
  <si>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</si>
  <si>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</si>
  <si>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</si>
  <si>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</si>
  <si>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</si>
  <si>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</si>
  <si>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</si>
  <si>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</si>
  <si>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</si>
  <si>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</si>
  <si>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</si>
  <si>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</si>
  <si>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</si>
  <si>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</si>
  <si>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</si>
  <si>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</si>
  <si>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</si>
  <si>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</si>
  <si>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</si>
  <si>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</si>
  <si>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</si>
  <si>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</si>
  <si>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</si>
  <si>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</si>
  <si>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</si>
  <si>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</si>
  <si>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</si>
  <si>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</si>
  <si>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</si>
  <si>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</si>
  <si>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</si>
  <si>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</si>
  <si>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</si>
  <si>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</si>
  <si>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</si>
  <si>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</si>
  <si>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</si>
  <si>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</si>
  <si>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</si>
  <si>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</si>
  <si>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</si>
  <si>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</si>
  <si>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</si>
  <si>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</si>
  <si>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</si>
  <si>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</si>
  <si>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</si>
  <si>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</si>
  <si>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</si>
  <si>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</si>
  <si>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</si>
  <si>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</si>
  <si>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</si>
  <si>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</si>
  <si>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</si>
  <si>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</si>
  <si>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</si>
  <si>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</si>
  <si>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</si>
  <si>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</si>
  <si>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</si>
  <si>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</si>
  <si>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</si>
  <si>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</si>
  <si>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</si>
  <si>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</si>
  <si>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</si>
  <si>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</si>
  <si>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</si>
  <si>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</si>
  <si>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</si>
  <si>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</si>
  <si>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</si>
  <si>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</si>
  <si>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</si>
  <si>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</si>
  <si>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</si>
  <si>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</si>
  <si>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</si>
  <si>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</si>
  <si>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</si>
  <si>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</si>
  <si>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</si>
  <si>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</si>
  <si>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</si>
  <si>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</si>
  <si>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</si>
  <si>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</si>
  <si>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</si>
  <si>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</si>
  <si>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</si>
  <si>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</si>
  <si>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</si>
  <si>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</si>
  <si>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</si>
  <si>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</si>
  <si>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</si>
  <si>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</si>
  <si>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</si>
  <si>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</si>
  <si>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</si>
  <si>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</si>
  <si>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</si>
  <si>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</si>
  <si>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</si>
  <si>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</si>
  <si>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</si>
  <si>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</si>
  <si>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</si>
  <si>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</si>
  <si>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</si>
  <si>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</si>
  <si>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</si>
  <si>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</si>
  <si>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</si>
  <si>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</si>
  <si>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</si>
  <si>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</si>
  <si>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</si>
  <si>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</si>
  <si>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</si>
  <si>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</si>
  <si>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</si>
  <si>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</si>
  <si>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</si>
  <si>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</si>
  <si>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</si>
  <si>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</si>
  <si>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</si>
  <si>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</si>
  <si>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</si>
  <si>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</si>
  <si>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</si>
  <si>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</si>
  <si>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</si>
  <si>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</si>
  <si>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</si>
  <si>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</si>
  <si>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</si>
  <si>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</si>
  <si>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</si>
  <si>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</si>
  <si>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</si>
  <si>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</si>
  <si>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</si>
  <si>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</si>
  <si>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</si>
  <si>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</si>
  <si>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</si>
  <si>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</si>
  <si>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</si>
  <si>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</si>
  <si>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</si>
  <si>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</si>
  <si>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</si>
  <si>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</si>
  <si>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</si>
  <si>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</si>
  <si>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</si>
  <si>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</si>
  <si>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</si>
  <si>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</si>
  <si>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</si>
  <si>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</si>
  <si>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</si>
  <si>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</si>
  <si>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</si>
  <si>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</si>
  <si>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</si>
  <si>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</si>
  <si>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</si>
  <si>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</si>
  <si>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</si>
  <si>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</si>
  <si>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</si>
  <si>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</si>
  <si>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</si>
  <si>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</si>
  <si>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</si>
  <si>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</si>
  <si>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</si>
  <si>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</si>
  <si>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</si>
  <si>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</si>
  <si>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</si>
  <si>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</si>
  <si>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</si>
  <si>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</si>
  <si>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</si>
  <si>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</si>
  <si>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</si>
  <si>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</si>
  <si>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</si>
  <si>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</si>
  <si>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</si>
  <si>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</si>
  <si>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</si>
  <si>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</si>
  <si>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</si>
  <si>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</si>
  <si>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</si>
  <si>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</si>
  <si>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</si>
  <si>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</si>
  <si>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</si>
  <si>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</si>
  <si>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</si>
  <si>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</si>
  <si>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</si>
  <si>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</si>
  <si>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</si>
  <si>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</si>
  <si>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</si>
  <si>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</si>
  <si>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</si>
  <si>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</si>
  <si>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</si>
  <si>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</si>
  <si>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</si>
  <si>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</si>
  <si>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</si>
  <si>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</si>
  <si>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</si>
  <si>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</si>
  <si>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</si>
  <si>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</si>
  <si>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</si>
  <si>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</si>
  <si>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</si>
  <si>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</si>
  <si>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</si>
  <si>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</si>
  <si>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</si>
  <si>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</si>
  <si>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</si>
  <si>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</si>
  <si>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</si>
  <si>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</si>
  <si>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</si>
  <si>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</si>
  <si>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</si>
  <si>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</si>
  <si>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</si>
  <si>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</si>
  <si>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</si>
  <si>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</si>
  <si>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</si>
  <si>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</si>
  <si>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</si>
  <si>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</si>
  <si>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</si>
  <si>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</si>
  <si>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</si>
  <si>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</si>
  <si>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</si>
  <si>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</si>
  <si>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</si>
  <si>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</si>
  <si>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</si>
  <si>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</si>
  <si>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</si>
  <si>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</si>
  <si>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</si>
  <si>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</si>
  <si>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</si>
  <si>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</si>
  <si>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</si>
  <si>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</si>
  <si>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</si>
  <si>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</si>
  <si>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</si>
  <si>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</si>
  <si>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</si>
  <si>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</si>
  <si>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</si>
  <si>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</si>
  <si>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</si>
  <si>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</si>
  <si>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</si>
  <si>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</si>
  <si>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</si>
  <si>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</si>
  <si>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</si>
  <si>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</si>
  <si>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</si>
  <si>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</si>
  <si>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</si>
  <si>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</si>
  <si>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</si>
  <si>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</si>
  <si>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</si>
  <si>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</si>
  <si>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</si>
  <si>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</si>
  <si>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</si>
  <si>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</si>
  <si>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</si>
  <si>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</si>
  <si>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</si>
  <si>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</si>
  <si>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</si>
  <si>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</si>
  <si>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</si>
  <si>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</si>
  <si>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</si>
  <si>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</si>
  <si>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</si>
  <si>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</si>
  <si>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</si>
  <si>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</si>
  <si>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</si>
  <si>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</si>
  <si>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</si>
  <si>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</si>
  <si>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</si>
  <si>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</si>
  <si>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</si>
  <si>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</si>
  <si>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</si>
  <si>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</si>
  <si>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</si>
  <si>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</si>
  <si>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</si>
  <si>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</si>
  <si>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</si>
  <si>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</si>
  <si>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</si>
  <si>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</si>
  <si>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</si>
  <si>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</si>
  <si>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</si>
  <si>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</si>
  <si>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</si>
  <si>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</si>
  <si>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</si>
  <si>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</si>
  <si>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</si>
  <si>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</si>
  <si>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</si>
  <si>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</si>
  <si>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</si>
  <si>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</si>
  <si>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</si>
  <si>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</si>
  <si>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</si>
  <si>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</si>
  <si>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</si>
  <si>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</si>
  <si>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</si>
  <si>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</si>
  <si>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</si>
  <si>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</si>
  <si>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</si>
  <si>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</si>
  <si>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</si>
  <si>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</si>
  <si>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</si>
  <si>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</si>
  <si>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</si>
  <si>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</si>
  <si>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</si>
  <si>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</si>
  <si>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</si>
  <si>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</si>
  <si>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</si>
  <si>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</si>
  <si>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</si>
  <si>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</si>
  <si>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</si>
  <si>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</si>
  <si>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</si>
  <si>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</si>
  <si>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</si>
  <si>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</si>
  <si>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</si>
  <si>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</si>
  <si>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</si>
  <si>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</si>
  <si>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</si>
  <si>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</si>
  <si>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</si>
  <si>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</si>
  <si>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</si>
  <si>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</si>
  <si>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</si>
  <si>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</si>
  <si>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</si>
  <si>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</si>
  <si>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</si>
  <si>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</si>
  <si>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</si>
  <si>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</si>
  <si>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</si>
  <si>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</si>
  <si>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</si>
  <si>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</si>
  <si>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</si>
  <si>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</si>
  <si>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</si>
  <si>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</si>
  <si>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</si>
  <si>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</si>
  <si>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</si>
  <si>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</si>
  <si>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</si>
  <si>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</si>
  <si>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</si>
  <si>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</si>
  <si>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</si>
  <si>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</si>
  <si>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</si>
  <si>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</si>
  <si>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</si>
  <si>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</si>
  <si>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</si>
  <si>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</si>
  <si>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</si>
  <si>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</si>
  <si>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</si>
  <si>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</si>
  <si>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</si>
  <si>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</si>
  <si>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</si>
  <si>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</si>
  <si>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</si>
  <si>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</si>
  <si>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</si>
  <si>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</si>
  <si>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</si>
  <si>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</si>
  <si>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</si>
  <si>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</si>
  <si>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</si>
  <si>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</si>
  <si>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</si>
  <si>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</si>
  <si>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</si>
  <si>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</si>
  <si>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</si>
  <si>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</si>
  <si>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</si>
  <si>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</si>
  <si>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</si>
  <si>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</si>
  <si>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</si>
  <si>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</si>
  <si>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</si>
  <si>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</si>
  <si>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</si>
  <si>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</si>
  <si>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</si>
  <si>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</si>
  <si>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</si>
  <si>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</si>
  <si>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</si>
  <si>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</si>
  <si>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</si>
  <si>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</si>
  <si>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</si>
  <si>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</si>
  <si>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</si>
  <si>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</si>
  <si>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</si>
  <si>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</si>
  <si>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</si>
  <si>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</si>
  <si>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</si>
  <si>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</si>
  <si>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</si>
  <si>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正常</t>
  </si>
  <si>
    <t>较好</t>
  </si>
  <si>
    <t>七通</t>
  </si>
  <si>
    <t>物业公司管理</t>
  </si>
  <si>
    <t>物业公司管理</t>
    <phoneticPr fontId="31" type="noConversion"/>
  </si>
  <si>
    <t>精装修</t>
    <phoneticPr fontId="31" type="noConversion"/>
  </si>
  <si>
    <t>普通装修</t>
  </si>
  <si>
    <t>普通装修</t>
    <phoneticPr fontId="31" type="noConversion"/>
  </si>
  <si>
    <t>否</t>
  </si>
  <si>
    <t>否</t>
    <phoneticPr fontId="31" type="noConversion"/>
  </si>
  <si>
    <t>平面车位</t>
  </si>
  <si>
    <t>平面车位</t>
    <phoneticPr fontId="31" type="noConversion"/>
  </si>
  <si>
    <t>万达广场</t>
    <phoneticPr fontId="3" type="noConversion"/>
  </si>
  <si>
    <t>天时名苑</t>
    <phoneticPr fontId="3" type="noConversion"/>
  </si>
  <si>
    <t>京贸国际</t>
    <phoneticPr fontId="3" type="noConversion"/>
  </si>
  <si>
    <t>元/车位</t>
  </si>
  <si>
    <t>项目类型</t>
  </si>
  <si>
    <t>单套模式</t>
  </si>
  <si>
    <t>挂牌</t>
  </si>
  <si>
    <t>挂牌</t>
    <phoneticPr fontId="31" type="noConversion"/>
  </si>
  <si>
    <t>售价</t>
  </si>
  <si>
    <t>世界侨商中心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</si>
</sst>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88788</xdr:colOff>
      <xdr:row>48</xdr:row>
      <xdr:rowOff>112587</xdr:rowOff>
    </xdr:to>
    <xdr:pic>
      <xdr:nvPicPr>
        <xdr:cNvPr id="2" name="图片 1">
          <a:extLst>
            <a:ext uri="{FF2B5EF4-FFF2-40B4-BE49-F238E27FC236}">
              <a16:creationId xmlns:a16="http://schemas.microsoft.com/office/drawing/2014/main" id="{FDE69765-1551-3966-19A2-3DE548764987}"/>
            </a:ext>
          </a:extLst>
        </xdr:cNvPr>
        <xdr:cNvPicPr>
          <a:picLocks noChangeAspect="1"/>
        </xdr:cNvPicPr>
      </xdr:nvPicPr>
      <xdr:blipFill>
        <a:blip xmlns:r="http://schemas.openxmlformats.org/officeDocument/2006/relationships" r:embed="rId1"/>
        <a:stretch>
          <a:fillRect/>
        </a:stretch>
      </xdr:blipFill>
      <xdr:spPr>
        <a:xfrm>
          <a:off x="0" y="0"/>
          <a:ext cx="6260988" cy="8342187"/>
        </a:xfrm>
        <a:prstGeom prst="rect">
          <a:avLst/>
        </a:prstGeom>
      </xdr:spPr>
    </xdr:pic>
    <xdr:clientData/>
  </xdr:twoCellAnchor>
  <xdr:twoCellAnchor editAs="oneCell">
    <xdr:from>
      <xdr:col>9</xdr:col>
      <xdr:colOff>266700</xdr:colOff>
      <xdr:row>0</xdr:row>
      <xdr:rowOff>0</xdr:rowOff>
    </xdr:from>
    <xdr:to>
      <xdr:col>21</xdr:col>
      <xdr:colOff>189481</xdr:colOff>
      <xdr:row>39</xdr:row>
      <xdr:rowOff>84878</xdr:rowOff>
    </xdr:to>
    <xdr:pic>
      <xdr:nvPicPr>
        <xdr:cNvPr id="3" name="图片 2">
          <a:extLst>
            <a:ext uri="{FF2B5EF4-FFF2-40B4-BE49-F238E27FC236}">
              <a16:creationId xmlns:a16="http://schemas.microsoft.com/office/drawing/2014/main" id="{98E9B438-FD2D-E215-1F85-26CD79B30DE3}"/>
            </a:ext>
          </a:extLst>
        </xdr:cNvPr>
        <xdr:cNvPicPr>
          <a:picLocks noChangeAspect="1"/>
        </xdr:cNvPicPr>
      </xdr:nvPicPr>
      <xdr:blipFill>
        <a:blip xmlns:r="http://schemas.openxmlformats.org/officeDocument/2006/relationships" r:embed="rId2"/>
        <a:stretch>
          <a:fillRect/>
        </a:stretch>
      </xdr:blipFill>
      <xdr:spPr>
        <a:xfrm>
          <a:off x="6438900" y="0"/>
          <a:ext cx="8152381" cy="6771428"/>
        </a:xfrm>
        <a:prstGeom prst="rect">
          <a:avLst/>
        </a:prstGeom>
      </xdr:spPr>
    </xdr:pic>
    <xdr:clientData/>
  </xdr:twoCellAnchor>
  <xdr:twoCellAnchor editAs="oneCell">
    <xdr:from>
      <xdr:col>21</xdr:col>
      <xdr:colOff>19050</xdr:colOff>
      <xdr:row>0</xdr:row>
      <xdr:rowOff>0</xdr:rowOff>
    </xdr:from>
    <xdr:to>
      <xdr:col>32</xdr:col>
      <xdr:colOff>360964</xdr:colOff>
      <xdr:row>47</xdr:row>
      <xdr:rowOff>65659</xdr:rowOff>
    </xdr:to>
    <xdr:pic>
      <xdr:nvPicPr>
        <xdr:cNvPr id="4" name="图片 3">
          <a:extLst>
            <a:ext uri="{FF2B5EF4-FFF2-40B4-BE49-F238E27FC236}">
              <a16:creationId xmlns:a16="http://schemas.microsoft.com/office/drawing/2014/main" id="{3004AAF6-BCB4-6C2C-F73A-0090DA4939F9}"/>
            </a:ext>
          </a:extLst>
        </xdr:cNvPr>
        <xdr:cNvPicPr>
          <a:picLocks noChangeAspect="1"/>
        </xdr:cNvPicPr>
      </xdr:nvPicPr>
      <xdr:blipFill>
        <a:blip xmlns:r="http://schemas.openxmlformats.org/officeDocument/2006/relationships" r:embed="rId3"/>
        <a:stretch>
          <a:fillRect/>
        </a:stretch>
      </xdr:blipFill>
      <xdr:spPr>
        <a:xfrm>
          <a:off x="14420850" y="0"/>
          <a:ext cx="7885714" cy="8123809"/>
        </a:xfrm>
        <a:prstGeom prst="rect">
          <a:avLst/>
        </a:prstGeom>
      </xdr:spPr>
    </xdr:pic>
    <xdr:clientData/>
  </xdr:twoCellAnchor>
  <xdr:twoCellAnchor editAs="oneCell">
    <xdr:from>
      <xdr:col>9</xdr:col>
      <xdr:colOff>371475</xdr:colOff>
      <xdr:row>0</xdr:row>
      <xdr:rowOff>19050</xdr:rowOff>
    </xdr:from>
    <xdr:to>
      <xdr:col>21</xdr:col>
      <xdr:colOff>18065</xdr:colOff>
      <xdr:row>40</xdr:row>
      <xdr:rowOff>142002</xdr:rowOff>
    </xdr:to>
    <xdr:pic>
      <xdr:nvPicPr>
        <xdr:cNvPr id="5" name="图片 4">
          <a:extLst>
            <a:ext uri="{FF2B5EF4-FFF2-40B4-BE49-F238E27FC236}">
              <a16:creationId xmlns:a16="http://schemas.microsoft.com/office/drawing/2014/main" id="{B720DA0B-FE1D-E7DB-CE48-BC5E0A02CE72}"/>
            </a:ext>
          </a:extLst>
        </xdr:cNvPr>
        <xdr:cNvPicPr>
          <a:picLocks noChangeAspect="1"/>
        </xdr:cNvPicPr>
      </xdr:nvPicPr>
      <xdr:blipFill>
        <a:blip xmlns:r="http://schemas.openxmlformats.org/officeDocument/2006/relationships" r:embed="rId4"/>
        <a:stretch>
          <a:fillRect/>
        </a:stretch>
      </xdr:blipFill>
      <xdr:spPr>
        <a:xfrm>
          <a:off x="6543675" y="19050"/>
          <a:ext cx="7876190" cy="6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2026年3月2日（评估专业人员实地查勘之日）</v>
      </c>
    </row>
    <row r="13" spans="1:2">
      <c r="A13" s="1119" t="s">
        <v>529</v>
      </c>
      <c r="B13" s="1120"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4" t="s">
        <v>2580</v>
      </c>
      <c r="J2" s="3214"/>
      <c r="K2" s="3214"/>
      <c r="L2" s="3214"/>
      <c r="M2" s="3214"/>
      <c r="N2" s="3214"/>
      <c r="O2" s="3214"/>
      <c r="P2" s="3214"/>
      <c r="Q2" s="3214"/>
      <c r="R2" s="3214"/>
    </row>
    <row r="3" spans="1:18">
      <c r="A3" s="2763" t="s">
        <v>2501</v>
      </c>
      <c r="B3" s="2764">
        <f>项目基本情况!D3</f>
        <v>46083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0.8</v>
      </c>
      <c r="D5" s="2768">
        <f>IF(ISERROR(ROUND(POWER(1+E5,A5-C5)*(POWER(1+E5,C5)-1)/(POWER(1+E5,A5)-1),3)),0,ROUND(POWER(1+E5,A5-C5)*(POWER(1+E5,C5)-1)/(POWER(1+E5,A5)-1),4))</f>
        <v>3.9E-2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10.8</v>
      </c>
      <c r="D6" s="2768">
        <f>IF(ISERROR(ROUND(POWER(1+E6,A6-C6)*(POWER(1+E6,C6)-1)/(POWER(1+E6,A6)-1),3)),0,ROUND(POWER(1+E6,A6-C6)*(POWER(1+E6,C6)-1)/(POWER(1+E6,A6)-1),4))</f>
        <v>0.40179999999999999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30.82</v>
      </c>
      <c r="D7" s="2768">
        <f>IF(ISERROR(ROUND(POWER(1+E7,A7-C7)*(POWER(1+E7,C7)-1)/(POWER(1+E7,A7)-1),3)),0,ROUND(POWER(1+E7,A7-C7)*(POWER(1+E7,C7)-1)/(POWER(1+E7,A7)-1),4))</f>
        <v>0.74960000000000004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46083</v>
      </c>
      <c r="C3" s="2186" t="s">
        <v>2171</v>
      </c>
      <c r="D3" s="2185">
        <f>B3</f>
        <v>46083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5" t="s">
        <v>2177</v>
      </c>
      <c r="E8" s="2202"/>
      <c r="F8" s="2203"/>
      <c r="G8" s="2442"/>
      <c r="H8" s="2442"/>
      <c r="I8" s="2442"/>
      <c r="J8" s="2245"/>
      <c r="K8" s="2400"/>
      <c r="L8" s="2399"/>
      <c r="M8" s="2399"/>
      <c r="N8" s="2245"/>
      <c r="O8" s="1670"/>
      <c r="P8" s="2245"/>
      <c r="Q8" s="2245"/>
      <c r="R8" s="2245"/>
    </row>
    <row r="9" spans="1:30" ht="13.5" thickBot="1">
      <c r="A9" s="2204" t="s">
        <v>2178</v>
      </c>
      <c r="B9" s="2205"/>
      <c r="C9" s="2206"/>
      <c r="D9" s="3226"/>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2"/>
      <c r="C16" s="3233"/>
      <c r="D16" s="3234"/>
      <c r="E16" s="2222" t="s">
        <v>2194</v>
      </c>
      <c r="F16" s="3235"/>
      <c r="G16" s="3236"/>
      <c r="H16" s="3236"/>
      <c r="I16" s="3237"/>
      <c r="J16" s="2245"/>
      <c r="K16" s="2403"/>
      <c r="L16" s="1670"/>
      <c r="M16" s="1670"/>
      <c r="N16" s="2245"/>
      <c r="O16" s="1670"/>
      <c r="P16" s="2245"/>
      <c r="Q16" s="2245"/>
      <c r="R16" s="2245"/>
    </row>
    <row r="17" spans="1:28">
      <c r="A17" s="305" t="s">
        <v>2195</v>
      </c>
      <c r="B17" s="294" t="s">
        <v>2196</v>
      </c>
      <c r="C17" s="8">
        <f>'数据-汇总表'!E3</f>
        <v>0</v>
      </c>
      <c r="D17" s="1256" t="s">
        <v>2197</v>
      </c>
      <c r="E17" s="3238" t="s">
        <v>2198</v>
      </c>
      <c r="F17" s="3239"/>
      <c r="G17" s="3239"/>
      <c r="H17" s="3239"/>
      <c r="I17" s="3240"/>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41" t="s">
        <v>2202</v>
      </c>
      <c r="F18" s="3242"/>
      <c r="G18" s="3242"/>
      <c r="H18" s="3242"/>
      <c r="I18" s="324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8" t="s">
        <v>2206</v>
      </c>
      <c r="C20" s="3229"/>
      <c r="D20" s="3230" t="s">
        <v>2207</v>
      </c>
      <c r="E20" s="3231"/>
      <c r="F20" s="2430" t="s">
        <v>1056</v>
      </c>
      <c r="G20" s="2442"/>
      <c r="H20" s="2442"/>
      <c r="I20" s="2442"/>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9"/>
      <c r="G2" s="2432"/>
      <c r="H2" s="2433"/>
      <c r="I2" s="2146" t="s">
        <v>1132</v>
      </c>
      <c r="J2" s="2439"/>
      <c r="K2" s="2439"/>
      <c r="L2" s="2439"/>
      <c r="M2" s="2439"/>
      <c r="N2" s="2440"/>
      <c r="O2" s="2439"/>
      <c r="P2" s="2439"/>
    </row>
    <row r="3" spans="1:16" ht="15.75" thickBot="1">
      <c r="A3" s="3254" t="s">
        <v>1105</v>
      </c>
      <c r="B3" s="3254"/>
      <c r="C3" s="3254"/>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8" t="s">
        <v>1111</v>
      </c>
      <c r="C6" s="3258"/>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0"/>
      <c r="B7" s="3251"/>
      <c r="C7" s="325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46083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2286</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46083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5" t="str">
        <f>项目基本情况!S2</f>
        <v>房地产</v>
      </c>
      <c r="B2" s="3296"/>
      <c r="C2" s="3296"/>
      <c r="D2" s="3296"/>
      <c r="E2" s="3296"/>
      <c r="F2" s="3296"/>
      <c r="G2" s="3296"/>
      <c r="H2" s="3296"/>
      <c r="I2" s="3297"/>
    </row>
    <row r="3" spans="1:12" ht="12.75">
      <c r="A3" s="3299" t="s">
        <v>1264</v>
      </c>
      <c r="B3" s="3300"/>
      <c r="C3" s="3300"/>
      <c r="D3" s="3300"/>
      <c r="E3" s="3300"/>
      <c r="F3" s="3300"/>
      <c r="G3" s="3300"/>
      <c r="H3" s="3300"/>
      <c r="I3" s="3300"/>
    </row>
    <row r="4" spans="1:12" ht="14.25">
      <c r="A4" s="1624" t="s">
        <v>1265</v>
      </c>
      <c r="B4" s="1625" t="s">
        <v>1266</v>
      </c>
      <c r="C4" s="1626"/>
      <c r="D4" s="1626"/>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5" t="s">
        <v>1268</v>
      </c>
      <c r="B5" s="3262">
        <v>25</v>
      </c>
      <c r="C5" s="3278"/>
      <c r="D5" s="3298"/>
      <c r="E5" s="123" t="s">
        <v>1269</v>
      </c>
      <c r="F5" s="1627"/>
      <c r="G5" s="1627"/>
      <c r="H5" s="1627"/>
      <c r="I5" s="1281"/>
    </row>
    <row r="6" spans="1:12" ht="12.75">
      <c r="A6" s="3275"/>
      <c r="B6" s="3262"/>
      <c r="C6" s="3279"/>
      <c r="D6" s="3298"/>
      <c r="E6" s="123" t="s">
        <v>1270</v>
      </c>
      <c r="F6" s="1627"/>
      <c r="G6" s="1627"/>
      <c r="H6" s="1627"/>
      <c r="I6" s="1281"/>
    </row>
    <row r="7" spans="1:12" ht="12.75">
      <c r="A7" s="3275"/>
      <c r="B7" s="3262"/>
      <c r="C7" s="3280"/>
      <c r="D7" s="3298"/>
      <c r="E7" s="123" t="s">
        <v>1271</v>
      </c>
      <c r="F7" s="1627"/>
      <c r="G7" s="1627"/>
      <c r="H7" s="1627"/>
      <c r="I7" s="1281"/>
    </row>
    <row r="8" spans="1:12" ht="12.75">
      <c r="A8" s="3275" t="s">
        <v>1272</v>
      </c>
      <c r="B8" s="3262">
        <v>15</v>
      </c>
      <c r="C8" s="3278"/>
      <c r="D8" s="3298"/>
      <c r="E8" s="123" t="s">
        <v>1273</v>
      </c>
      <c r="F8" s="1627"/>
      <c r="G8" s="1627"/>
      <c r="H8" s="1627"/>
      <c r="I8" s="1281"/>
    </row>
    <row r="9" spans="1:12" ht="12.75">
      <c r="A9" s="3275"/>
      <c r="B9" s="3262"/>
      <c r="C9" s="3280"/>
      <c r="D9" s="3298"/>
      <c r="E9" s="123" t="s">
        <v>1274</v>
      </c>
      <c r="F9" s="1627"/>
      <c r="G9" s="1627"/>
      <c r="H9" s="1627"/>
      <c r="I9" s="1281"/>
    </row>
    <row r="10" spans="1:12" ht="12.75">
      <c r="A10" s="3275" t="s">
        <v>1275</v>
      </c>
      <c r="B10" s="3262">
        <v>15</v>
      </c>
      <c r="C10" s="3278"/>
      <c r="D10" s="3298"/>
      <c r="E10" s="123" t="s">
        <v>1276</v>
      </c>
      <c r="F10" s="1627"/>
      <c r="G10" s="1627"/>
      <c r="H10" s="1627"/>
      <c r="I10" s="1281"/>
    </row>
    <row r="11" spans="1:12" ht="12.75">
      <c r="A11" s="3275"/>
      <c r="B11" s="3262"/>
      <c r="C11" s="3280"/>
      <c r="D11" s="3298"/>
      <c r="E11" s="123" t="s">
        <v>1277</v>
      </c>
      <c r="F11" s="1627"/>
      <c r="G11" s="1627"/>
      <c r="H11" s="1627"/>
      <c r="I11" s="1281"/>
    </row>
    <row r="12" spans="1:12" ht="12.75">
      <c r="A12" s="3275" t="s">
        <v>1278</v>
      </c>
      <c r="B12" s="3262">
        <v>15</v>
      </c>
      <c r="C12" s="3278"/>
      <c r="D12" s="3298"/>
      <c r="E12" s="123" t="s">
        <v>1279</v>
      </c>
      <c r="F12" s="1627"/>
      <c r="G12" s="1627"/>
      <c r="H12" s="1627"/>
      <c r="I12" s="1281"/>
    </row>
    <row r="13" spans="1:12" ht="12.75">
      <c r="A13" s="3275"/>
      <c r="B13" s="3262"/>
      <c r="C13" s="3280"/>
      <c r="D13" s="3298"/>
      <c r="E13" s="123" t="s">
        <v>1280</v>
      </c>
      <c r="F13" s="1627"/>
      <c r="G13" s="1627"/>
      <c r="H13" s="1627"/>
      <c r="I13" s="1281"/>
    </row>
    <row r="14" spans="1:12" ht="12.75">
      <c r="A14" s="3275" t="s">
        <v>1281</v>
      </c>
      <c r="B14" s="3262">
        <v>30</v>
      </c>
      <c r="C14" s="3278"/>
      <c r="D14" s="3298"/>
      <c r="E14" s="123" t="s">
        <v>1282</v>
      </c>
      <c r="F14" s="1627"/>
      <c r="G14" s="1627"/>
      <c r="H14" s="1627"/>
      <c r="I14" s="1281"/>
    </row>
    <row r="15" spans="1:12" ht="12.75">
      <c r="A15" s="3275"/>
      <c r="B15" s="3262"/>
      <c r="C15" s="3279"/>
      <c r="D15" s="3298"/>
      <c r="E15" s="123" t="s">
        <v>1283</v>
      </c>
      <c r="F15" s="1627"/>
      <c r="G15" s="1627"/>
      <c r="H15" s="1627"/>
      <c r="I15" s="1281"/>
    </row>
    <row r="16" spans="1:12" ht="12.75">
      <c r="A16" s="3275"/>
      <c r="B16" s="3262"/>
      <c r="C16" s="3280"/>
      <c r="D16" s="329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5" t="s">
        <v>2131</v>
      </c>
      <c r="F18" s="3286"/>
      <c r="G18" s="3286"/>
      <c r="H18" s="3286"/>
      <c r="I18" s="3286"/>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69" t="s">
        <v>1299</v>
      </c>
      <c r="B24" s="1631" t="s">
        <v>1291</v>
      </c>
      <c r="C24" s="128">
        <f>IF(B30=0,0,D30)</f>
        <v>0</v>
      </c>
      <c r="D24" s="1637"/>
      <c r="E24" s="121"/>
      <c r="F24" s="121"/>
      <c r="G24" s="121"/>
      <c r="H24" s="121"/>
      <c r="I24" s="121"/>
    </row>
    <row r="25" spans="1:36" ht="14.25">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9" t="s">
        <v>1312</v>
      </c>
      <c r="B36" s="1652" t="s">
        <v>1313</v>
      </c>
      <c r="C36" s="137"/>
      <c r="D36" s="1653"/>
      <c r="E36" s="1567"/>
      <c r="F36" s="1654"/>
      <c r="G36" s="121"/>
      <c r="H36" s="121"/>
      <c r="I36" s="121"/>
    </row>
    <row r="37" spans="1:15" ht="15.75" thickBot="1">
      <c r="A37" s="3290"/>
      <c r="B37" s="1555" t="s">
        <v>1314</v>
      </c>
      <c r="C37" s="139"/>
      <c r="D37" s="1071"/>
      <c r="E37" s="1071"/>
      <c r="F37" s="1654"/>
      <c r="G37" s="121"/>
      <c r="H37" s="121"/>
      <c r="I37" s="121"/>
    </row>
    <row r="38" spans="1:15" ht="15.75" thickBot="1">
      <c r="A38" s="329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t="e">
        <f ca="1">ROUND(H101*F45,0)</f>
        <v>#REF!</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10">
        <v>1</v>
      </c>
      <c r="K46" s="3325" t="s">
        <v>1331</v>
      </c>
      <c r="L46" s="3325"/>
      <c r="M46" s="3345"/>
      <c r="N46" s="3345"/>
      <c r="O46" s="3345"/>
    </row>
    <row r="47" spans="1:15" ht="12" customHeight="1">
      <c r="A47" s="152" t="s">
        <v>1332</v>
      </c>
      <c r="B47" s="153"/>
      <c r="C47" s="154"/>
      <c r="D47" s="1024" t="s">
        <v>1333</v>
      </c>
      <c r="E47" s="294" t="s">
        <v>1334</v>
      </c>
      <c r="F47" s="155" t="s">
        <v>1335</v>
      </c>
      <c r="G47" s="2333" t="s">
        <v>1336</v>
      </c>
      <c r="H47" s="2334"/>
      <c r="I47" s="151"/>
      <c r="J47" s="2310">
        <v>2</v>
      </c>
      <c r="K47" s="3325" t="s">
        <v>1337</v>
      </c>
      <c r="L47" s="3325"/>
      <c r="M47" s="3346">
        <f>'数据-取费表'!B2</f>
        <v>46083</v>
      </c>
      <c r="N47" s="3346"/>
      <c r="O47" s="3346"/>
    </row>
    <row r="48" spans="1:15" ht="25.5">
      <c r="A48" s="3294" t="s">
        <v>1338</v>
      </c>
      <c r="B48" s="3277"/>
      <c r="C48" s="327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5" t="s">
        <v>1340</v>
      </c>
      <c r="L48" s="3325"/>
      <c r="M48" s="3347" t="e">
        <f ca="1">H101</f>
        <v>#REF!</v>
      </c>
      <c r="N48" s="3347"/>
      <c r="O48" s="3347"/>
    </row>
    <row r="49" spans="1:35" ht="25.5" customHeight="1">
      <c r="A49" s="2152" t="s">
        <v>1341</v>
      </c>
      <c r="B49" s="3261" t="s">
        <v>1342</v>
      </c>
      <c r="C49" s="3261"/>
      <c r="D49" s="1478">
        <v>0</v>
      </c>
      <c r="E49" s="316" t="s">
        <v>1343</v>
      </c>
      <c r="F49" s="2233" t="s">
        <v>28</v>
      </c>
      <c r="G49" s="3331"/>
      <c r="H49" s="2134" t="s">
        <v>2134</v>
      </c>
      <c r="I49" s="2135"/>
      <c r="J49" s="2310">
        <v>4</v>
      </c>
      <c r="K49" s="3325" t="str">
        <f>IF(项目基本情况!E8="房地产抵押价值","房地产抵押价值","抵押担保权已注销时的房地产抵押价值")</f>
        <v>抵押担保权已注销时的房地产抵押价值</v>
      </c>
      <c r="L49" s="3325"/>
      <c r="M49" s="3347" t="str">
        <f>IF(项目基本情况!E8="房地产抵押价值",H107,H109)</f>
        <v>——</v>
      </c>
      <c r="N49" s="3347"/>
      <c r="O49" s="3347"/>
    </row>
    <row r="50" spans="1:35" ht="25.5" customHeight="1">
      <c r="A50" s="2338"/>
      <c r="B50" s="3261" t="s">
        <v>1344</v>
      </c>
      <c r="C50" s="3261"/>
      <c r="D50" s="2189"/>
      <c r="E50" s="323"/>
      <c r="F50" s="2233"/>
      <c r="G50" s="3332"/>
      <c r="H50" s="2136" t="s">
        <v>2135</v>
      </c>
      <c r="I50" s="2135"/>
      <c r="J50" s="3344" t="s">
        <v>1345</v>
      </c>
      <c r="K50" s="3344"/>
      <c r="L50" s="3344"/>
      <c r="M50" s="3344"/>
      <c r="N50" s="3344"/>
      <c r="O50" s="3344"/>
    </row>
    <row r="51" spans="1:35" ht="20.45" customHeight="1">
      <c r="A51" s="2339"/>
      <c r="B51" s="3261" t="s">
        <v>1346</v>
      </c>
      <c r="C51" s="3261"/>
      <c r="D51" s="1024"/>
      <c r="E51" s="319"/>
      <c r="F51" s="2233"/>
      <c r="G51" s="3333"/>
      <c r="H51" s="2136" t="s">
        <v>2136</v>
      </c>
      <c r="I51" s="2135"/>
      <c r="J51" s="2311" t="s">
        <v>1347</v>
      </c>
      <c r="K51" s="3325" t="s">
        <v>1348</v>
      </c>
      <c r="L51" s="3325"/>
      <c r="M51" s="2311" t="s">
        <v>1349</v>
      </c>
      <c r="N51" s="2311" t="s">
        <v>1350</v>
      </c>
      <c r="O51" s="2311" t="s">
        <v>1351</v>
      </c>
    </row>
    <row r="52" spans="1:35" ht="24" customHeight="1">
      <c r="A52" s="2153" t="s">
        <v>1352</v>
      </c>
      <c r="B52" s="3261" t="s">
        <v>1353</v>
      </c>
      <c r="C52" s="3261"/>
      <c r="D52" s="1024" t="e">
        <f ca="1">ROUND(D45*'数据-取费表'!B41/(1+'数据-取费表'!C42),0)</f>
        <v>#REF!</v>
      </c>
      <c r="E52" s="1256" t="s">
        <v>1354</v>
      </c>
      <c r="F52" s="2340">
        <f>'数据-取费表'!B41</f>
        <v>0</v>
      </c>
      <c r="G52" s="2341"/>
      <c r="H52" s="2331"/>
      <c r="I52" s="1669"/>
      <c r="J52" s="2310">
        <v>1</v>
      </c>
      <c r="K52" s="3326" t="s">
        <v>1355</v>
      </c>
      <c r="L52" s="3326"/>
      <c r="M52" s="2312" t="b">
        <f>D48</f>
        <v>0</v>
      </c>
      <c r="N52" s="2310" t="str">
        <f>E48</f>
        <v>销售额×税（费）率</v>
      </c>
      <c r="O52" s="2313">
        <f>F48</f>
        <v>0</v>
      </c>
    </row>
    <row r="53" spans="1:35" ht="12" customHeight="1">
      <c r="A53" s="2153" t="s">
        <v>1356</v>
      </c>
      <c r="B53" s="3287" t="s">
        <v>2291</v>
      </c>
      <c r="C53" s="3288"/>
      <c r="D53" s="1024" t="e">
        <f ca="1">ROUND(D45*'数据-取费表'!B41/(1+'数据-取费表'!C42),0)</f>
        <v>#REF!</v>
      </c>
      <c r="E53" s="1256" t="s">
        <v>1354</v>
      </c>
      <c r="F53" s="2340">
        <f>'数据-取费表'!B41</f>
        <v>0</v>
      </c>
      <c r="G53" s="2341"/>
      <c r="H53" s="2331"/>
      <c r="I53" s="1669"/>
      <c r="J53" s="2310">
        <v>2</v>
      </c>
      <c r="K53" s="3326" t="s">
        <v>1357</v>
      </c>
      <c r="L53" s="3326"/>
      <c r="M53" s="2312" t="e">
        <f t="shared" ref="M53:O54" ca="1" si="0">D55</f>
        <v>#REF!</v>
      </c>
      <c r="N53" s="2310" t="str">
        <f t="shared" si="0"/>
        <v>销售额×税（费）率</v>
      </c>
      <c r="O53" s="2313" t="str">
        <f t="shared" si="0"/>
        <v>免征</v>
      </c>
    </row>
    <row r="54" spans="1:35" ht="12" customHeight="1">
      <c r="A54" s="2153" t="s">
        <v>1358</v>
      </c>
      <c r="B54" s="3287" t="s">
        <v>2292</v>
      </c>
      <c r="C54" s="3288"/>
      <c r="D54" s="1024" t="e">
        <f ca="1">C68</f>
        <v>#REF!</v>
      </c>
      <c r="E54" s="319" t="s">
        <v>1359</v>
      </c>
      <c r="F54" s="2340">
        <f>'数据-取费表'!B41</f>
        <v>0</v>
      </c>
      <c r="G54" s="2341"/>
      <c r="H54" s="2342"/>
      <c r="I54" s="1669"/>
      <c r="J54" s="2310">
        <v>3</v>
      </c>
      <c r="K54" s="3326" t="s">
        <v>1360</v>
      </c>
      <c r="L54" s="3326"/>
      <c r="M54" s="2312" t="e">
        <f t="shared" ca="1" si="0"/>
        <v>#REF!</v>
      </c>
      <c r="N54" s="2310" t="str">
        <f t="shared" si="0"/>
        <v>增值额×税（费）率</v>
      </c>
      <c r="O54" s="2314" t="str">
        <f t="shared" si="0"/>
        <v>免征</v>
      </c>
    </row>
    <row r="55" spans="1:35" ht="24" customHeight="1">
      <c r="A55" s="3276" t="s">
        <v>1361</v>
      </c>
      <c r="B55" s="3277"/>
      <c r="C55" s="3277"/>
      <c r="D55" s="12" t="e">
        <f ca="1">IF(H55="个人住宅",0,ROUND(D45*I55,0))</f>
        <v>#REF!</v>
      </c>
      <c r="E55" s="1256" t="s">
        <v>1362</v>
      </c>
      <c r="F55" s="2340" t="str">
        <f>IF(H55="正常",I55,"免征")</f>
        <v>免征</v>
      </c>
      <c r="G55" s="2341"/>
      <c r="H55" s="2337"/>
      <c r="I55" s="157">
        <f>'数据-取费表'!B49</f>
        <v>0</v>
      </c>
      <c r="J55" s="2310">
        <f>IF(H59="非个人房产","",4)</f>
        <v>4</v>
      </c>
      <c r="K55" s="3326" t="str">
        <f>IF(H59="非个人房产","——","个人所得税")</f>
        <v>个人所得税</v>
      </c>
      <c r="L55" s="3326"/>
      <c r="M55" s="2315" t="e">
        <f ca="1">D59</f>
        <v>#REF!</v>
      </c>
      <c r="N55" s="1883" t="str">
        <f>E59</f>
        <v>差额计税</v>
      </c>
      <c r="O55" s="2316">
        <f>F59</f>
        <v>0.01</v>
      </c>
    </row>
    <row r="56" spans="1:35" ht="24.75">
      <c r="A56" s="3276" t="s">
        <v>1363</v>
      </c>
      <c r="B56" s="3277"/>
      <c r="C56" s="3277"/>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2.75">
      <c r="A57" s="2153" t="s">
        <v>1341</v>
      </c>
      <c r="B57" s="3287" t="s">
        <v>1366</v>
      </c>
      <c r="C57" s="3288"/>
      <c r="D57" s="1478">
        <v>0</v>
      </c>
      <c r="E57" s="316" t="s">
        <v>1343</v>
      </c>
      <c r="F57" s="294"/>
      <c r="G57" s="2341"/>
      <c r="H57" s="2345"/>
      <c r="I57" s="1670"/>
      <c r="J57" s="3326">
        <f>IF(AND(J55="",J56=""),4,IF(项目基本情况!K6="上海银行",结果表!J56+1,结果表!J55+1))</f>
        <v>5</v>
      </c>
      <c r="K57" s="3326" t="s">
        <v>1367</v>
      </c>
      <c r="L57" s="2317" t="s">
        <v>1368</v>
      </c>
      <c r="M57" s="2318"/>
      <c r="N57" s="2319">
        <f ca="1">SUMIF(M52:M56,"&lt;9e307")</f>
        <v>0</v>
      </c>
      <c r="O57" s="2320"/>
      <c r="P57" s="2465" t="e">
        <f ca="1">N57/M49</f>
        <v>#VALUE!</v>
      </c>
    </row>
    <row r="58" spans="1:35" ht="24.75">
      <c r="A58" s="2153" t="s">
        <v>1352</v>
      </c>
      <c r="B58" s="3287" t="s">
        <v>1369</v>
      </c>
      <c r="C58" s="3261"/>
      <c r="D58" s="12" t="e">
        <f ca="1">IF(H58="转让取得",C81,C97)</f>
        <v>#REF!</v>
      </c>
      <c r="E58" s="1256" t="s">
        <v>1364</v>
      </c>
      <c r="F58" s="294" t="s">
        <v>28</v>
      </c>
      <c r="G58" s="2341"/>
      <c r="H58" s="2344"/>
      <c r="I58" s="1670"/>
      <c r="J58" s="3326"/>
      <c r="K58" s="3326"/>
      <c r="L58" s="2317" t="s">
        <v>1370</v>
      </c>
      <c r="M58" s="2321"/>
      <c r="N58" s="2322" t="str">
        <f ca="1">NUMBERSTRING(INT(N57*10000),2)&amp;"元整"</f>
        <v>零元整</v>
      </c>
      <c r="O58" s="2323"/>
    </row>
    <row r="59" spans="1:35" ht="24.75" thickBot="1">
      <c r="A59" s="3329" t="s">
        <v>1371</v>
      </c>
      <c r="B59" s="3330"/>
      <c r="C59" s="3330"/>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7">
        <f>J57+1</f>
        <v>6</v>
      </c>
      <c r="K59" s="3326" t="s">
        <v>1372</v>
      </c>
      <c r="L59" s="2310" t="s">
        <v>1368</v>
      </c>
      <c r="M59" s="2324"/>
      <c r="N59" s="2325" t="e">
        <f ca="1">M49-N57</f>
        <v>#VALUE!</v>
      </c>
      <c r="O59" s="2326"/>
    </row>
    <row r="60" spans="1:35" ht="12" customHeight="1">
      <c r="A60" s="1671"/>
      <c r="B60" s="646"/>
      <c r="C60" s="646"/>
      <c r="D60" s="646"/>
      <c r="E60" s="1466"/>
      <c r="F60" s="1670"/>
      <c r="G60" s="1670"/>
      <c r="H60" s="151"/>
      <c r="I60" s="121"/>
      <c r="J60" s="3328"/>
      <c r="K60" s="3326"/>
      <c r="L60" s="2317" t="s">
        <v>1370</v>
      </c>
      <c r="M60" s="2321"/>
      <c r="N60" s="2322" t="e">
        <f ca="1">NUMBERSTRING(INT(N59*10000),2)&amp;"元整"</f>
        <v>#VALUE!</v>
      </c>
      <c r="O60" s="2323"/>
    </row>
    <row r="61" spans="1:35" ht="13.5" thickBot="1">
      <c r="A61" s="3274" t="s">
        <v>1373</v>
      </c>
      <c r="B61" s="3274"/>
      <c r="C61" s="3274"/>
      <c r="D61" s="3274"/>
      <c r="E61" s="3274"/>
      <c r="F61" s="1670"/>
      <c r="G61" s="1670"/>
      <c r="H61" s="151"/>
      <c r="I61" s="121"/>
      <c r="J61" s="2310">
        <f>J59+1</f>
        <v>7</v>
      </c>
      <c r="K61" s="3326" t="s">
        <v>1374</v>
      </c>
      <c r="L61" s="3326"/>
      <c r="M61" s="2327"/>
      <c r="N61" s="2328" t="e">
        <f ca="1">ROUND(N59*10000/'数据-汇总表'!E3,0)</f>
        <v>#VALUE!</v>
      </c>
      <c r="O61" s="2329"/>
    </row>
    <row r="62" spans="1:35" ht="12.75">
      <c r="A62" s="3292" t="s">
        <v>1375</v>
      </c>
      <c r="B62" s="329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1"/>
      <c r="K69" s="1245" t="s">
        <v>1393</v>
      </c>
      <c r="L69" s="1245"/>
      <c r="M69" s="294" t="e">
        <f>ROUND(SUM(M63:M68),0)</f>
        <v>#VALUE!</v>
      </c>
      <c r="N69" s="2332" t="e">
        <f>M69/M49</f>
        <v>#VALUE!</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3" t="s">
        <v>2129</v>
      </c>
      <c r="H90" s="33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1" t="s">
        <v>1422</v>
      </c>
      <c r="F92" s="3272"/>
      <c r="G92" s="3272"/>
      <c r="H92" s="328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71">
        <f>C4</f>
        <v>0</v>
      </c>
      <c r="D101" s="2372">
        <f>D4</f>
        <v>0</v>
      </c>
      <c r="E101" s="3348" t="s">
        <v>1431</v>
      </c>
      <c r="F101" s="3305"/>
      <c r="G101" s="1687" t="s">
        <v>1432</v>
      </c>
      <c r="H101" s="2381" t="e">
        <f ca="1">H118</f>
        <v>#REF!</v>
      </c>
      <c r="I101" s="121"/>
    </row>
    <row r="102" spans="1:35" ht="18.75" customHeight="1">
      <c r="A102" s="3307" t="s">
        <v>1433</v>
      </c>
      <c r="B102" s="2370" t="s">
        <v>1432</v>
      </c>
      <c r="C102" s="2371" t="e">
        <f ca="1">IF(D32="楼面单价",ROUND(C19,0),C19)</f>
        <v>#REF!</v>
      </c>
      <c r="D102" s="2372" t="e">
        <f ca="1">IF(D32="楼面单价",ROUND(D19,0),D19)</f>
        <v>#REF!</v>
      </c>
      <c r="E102" s="3348"/>
      <c r="F102" s="3305"/>
      <c r="G102" s="1687" t="s">
        <v>1434</v>
      </c>
      <c r="H102" s="2341" t="e">
        <f ca="1">I118</f>
        <v>#REF!</v>
      </c>
      <c r="I102" s="121"/>
    </row>
    <row r="103" spans="1:35" ht="42.75" customHeight="1">
      <c r="A103" s="3307"/>
      <c r="B103" s="2370" t="s">
        <v>1434</v>
      </c>
      <c r="C103" s="2373" t="e">
        <f ca="1">C20</f>
        <v>#REF!</v>
      </c>
      <c r="D103" s="2374" t="e">
        <f ca="1">D20</f>
        <v>#REF!</v>
      </c>
      <c r="E103" s="3342" t="s">
        <v>1435</v>
      </c>
      <c r="F103" s="3343"/>
      <c r="G103" s="1688" t="s">
        <v>1436</v>
      </c>
      <c r="H103" s="2381">
        <f>IF(D36="正常操作",H104+H105+H106,H105+H106)</f>
        <v>0</v>
      </c>
      <c r="I103" s="121"/>
    </row>
    <row r="104" spans="1:35" ht="18.75" customHeight="1">
      <c r="A104" s="330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305"/>
      <c r="G107" s="1687" t="s">
        <v>1432</v>
      </c>
      <c r="H107" s="2381" t="e">
        <f ca="1">IF(E107="——","——",H101-H103)</f>
        <v>#REF!</v>
      </c>
      <c r="I107" s="121"/>
    </row>
    <row r="108" spans="1:35" ht="18.75" customHeight="1">
      <c r="A108" s="121"/>
      <c r="B108" s="121"/>
      <c r="C108" s="121"/>
      <c r="D108" s="121"/>
      <c r="E108" s="3304"/>
      <c r="F108" s="3305"/>
      <c r="G108" s="1687" t="s">
        <v>1434</v>
      </c>
      <c r="H108" s="2341">
        <f ca="1">IF(H107=H101,H102,ROUND(H107*10000/'数据-汇总表'!E3,0))</f>
        <v>0</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4" t="str">
        <f>IF(E109="——","——",H101-H105-H106)</f>
        <v>——</v>
      </c>
      <c r="I109" s="121"/>
    </row>
    <row r="110" spans="1:35" ht="18.75" customHeight="1">
      <c r="A110" s="121"/>
      <c r="B110" s="121"/>
      <c r="C110" s="121"/>
      <c r="D110" s="121"/>
      <c r="E110" s="3304"/>
      <c r="F110" s="3305"/>
      <c r="G110" s="1687" t="s">
        <v>1434</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81" t="str">
        <f>IF(E111="——","——",N59)</f>
        <v>——</v>
      </c>
      <c r="I111" s="121"/>
    </row>
    <row r="112" spans="1:35" ht="18.75" customHeight="1" thickBot="1">
      <c r="A112" s="121"/>
      <c r="B112" s="121"/>
      <c r="C112" s="121"/>
      <c r="D112" s="121"/>
      <c r="E112" s="3337"/>
      <c r="F112" s="3338"/>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315" t="e">
        <f ca="1">NUMBERSTRING(INT(D118*10000),2)&amp;"元整"</f>
        <v>#REF!</v>
      </c>
      <c r="E119" s="3317"/>
      <c r="F119" s="3315" t="e">
        <f ca="1">NUMBERSTRING(INT(F118*10000),2)&amp;"元整"</f>
        <v>#REF!</v>
      </c>
      <c r="G119" s="3317"/>
      <c r="H119" s="3315" t="e">
        <f ca="1">NUMBERSTRING(INT(H118*10000),2)&amp;"元整"</f>
        <v>#REF!</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t="e">
        <f ca="1">H107</f>
        <v>#REF!</v>
      </c>
      <c r="E122" s="3340"/>
      <c r="F122" s="3340"/>
      <c r="G122" s="3340"/>
      <c r="H122" s="3340"/>
      <c r="I122" s="3341"/>
      <c r="AA122" s="684"/>
    </row>
    <row r="123" spans="1:27" ht="18.75" customHeight="1">
      <c r="A123" s="3275" t="s">
        <v>1452</v>
      </c>
      <c r="B123" s="3275"/>
      <c r="C123" s="3275"/>
      <c r="D123" s="3315" t="e">
        <f ca="1">NUMBERSTRING(INT(D122*10000),2)&amp;"元整"</f>
        <v>#REF!</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5" t="s">
        <v>1544</v>
      </c>
    </row>
    <row r="43" spans="1:7" ht="13.5" customHeight="1">
      <c r="A43" s="734" t="s">
        <v>347</v>
      </c>
      <c r="B43" s="207" t="s">
        <v>1545</v>
      </c>
      <c r="C43" s="230" t="e">
        <f ca="1">ROUND(IF('数据-取费表'!B22&lt;=1,C39*F22*'数据-取费表'!B21/2,C39*(POWER((1+F22),'数据-取费表'!B21/2)-1)),0)</f>
        <v>#VALUE!</v>
      </c>
      <c r="D43" s="230"/>
      <c r="E43" s="230"/>
      <c r="F43" s="231"/>
      <c r="G43" s="3356"/>
    </row>
    <row r="44" spans="1:7" ht="13.5" customHeight="1">
      <c r="A44" s="734" t="s">
        <v>348</v>
      </c>
      <c r="B44" s="207" t="s">
        <v>1546</v>
      </c>
      <c r="C44" s="230" t="e">
        <f ca="1">ROUND(IF('数据-取费表'!B22&lt;=1,C40*F22*'数据-取费表'!B21/2,C40*(POWER((1+F22),'数据-取费表'!B21/2)-1)),4)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5" t="s">
        <v>1591</v>
      </c>
    </row>
    <row r="43" spans="1:7" ht="13.5" customHeight="1">
      <c r="A43" s="734" t="s">
        <v>347</v>
      </c>
      <c r="B43" s="207" t="s">
        <v>1545</v>
      </c>
      <c r="C43" s="230" t="e">
        <f ca="1">ROUND(IF('数据-取费表'!B22&lt;=1,C39*F22*'数据-取费表'!B20/2,C39*(POWER((1+F22),'数据-取费表'!B20/2)-1)),0)</f>
        <v>#VALUE!</v>
      </c>
      <c r="D43" s="230"/>
      <c r="E43" s="230"/>
      <c r="F43" s="231"/>
      <c r="G43" s="3356"/>
    </row>
    <row r="44" spans="1:7" ht="13.5" customHeight="1">
      <c r="A44" s="734" t="s">
        <v>348</v>
      </c>
      <c r="B44" s="207" t="s">
        <v>1546</v>
      </c>
      <c r="C44" s="230" t="e">
        <f ca="1">ROUND(IF('数据-取费表'!B22&lt;=1,C40*F22*'数据-取费表'!B20/2,C40*(POWER((1+F22),'数据-取费表'!B20/2)-1)),4)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9" t="s">
        <v>2317</v>
      </c>
      <c r="K2" s="3370"/>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1" t="s">
        <v>2327</v>
      </c>
      <c r="K3" s="3372"/>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1" t="s">
        <v>2329</v>
      </c>
      <c r="K4" s="3372"/>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7" t="s">
        <v>2333</v>
      </c>
      <c r="B6" s="3378"/>
      <c r="C6" s="3379"/>
      <c r="D6" s="2622"/>
      <c r="E6" s="2623"/>
      <c r="F6" s="2624"/>
      <c r="G6" s="2625"/>
      <c r="H6" s="2600"/>
      <c r="I6" s="2601"/>
      <c r="J6" s="3363">
        <v>1</v>
      </c>
      <c r="K6" s="336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3"/>
      <c r="K7" s="336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0" t="s">
        <v>2347</v>
      </c>
      <c r="C8" s="3381"/>
      <c r="D8" s="2641" t="s">
        <v>2348</v>
      </c>
      <c r="E8" s="2642" t="s">
        <v>2349</v>
      </c>
      <c r="F8" s="2643" t="s">
        <v>2350</v>
      </c>
      <c r="G8" s="2644"/>
      <c r="H8" s="2600"/>
      <c r="I8" s="2601"/>
      <c r="J8" s="3363"/>
      <c r="K8" s="336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0" t="s">
        <v>2353</v>
      </c>
      <c r="C9" s="3381"/>
      <c r="D9" s="2641">
        <f>ROUND(D6*E9,0)</f>
        <v>0</v>
      </c>
      <c r="E9" s="2645"/>
      <c r="F9" s="2646" t="s">
        <v>2354</v>
      </c>
      <c r="G9" s="2625"/>
      <c r="H9" s="2600"/>
      <c r="I9" s="2601"/>
      <c r="J9" s="3363"/>
      <c r="K9" s="3365"/>
      <c r="L9" s="2635" t="s">
        <v>2355</v>
      </c>
      <c r="M9" s="2636"/>
      <c r="N9" s="2612"/>
      <c r="O9" s="2637"/>
      <c r="P9" s="2637"/>
      <c r="Q9" s="2638">
        <v>365</v>
      </c>
      <c r="R9" s="2639">
        <f t="shared" si="0"/>
        <v>0</v>
      </c>
      <c r="S9" s="2593"/>
      <c r="T9" s="2593"/>
      <c r="U9" s="2593"/>
      <c r="V9" s="2601"/>
    </row>
    <row r="10" spans="1:22" s="2605" customFormat="1" ht="13.15" customHeight="1">
      <c r="A10" s="2640">
        <v>2</v>
      </c>
      <c r="B10" s="3380" t="s">
        <v>2356</v>
      </c>
      <c r="C10" s="3381"/>
      <c r="D10" s="2641">
        <f>ROUND(D6*E10,0)</f>
        <v>0</v>
      </c>
      <c r="E10" s="2645"/>
      <c r="F10" s="2646" t="s">
        <v>2357</v>
      </c>
      <c r="G10" s="2625"/>
      <c r="H10" s="2600"/>
      <c r="I10" s="2601"/>
      <c r="J10" s="3363"/>
      <c r="K10" s="3365"/>
      <c r="L10" s="2635" t="s">
        <v>2358</v>
      </c>
      <c r="M10" s="2636"/>
      <c r="N10" s="2612"/>
      <c r="O10" s="2637"/>
      <c r="P10" s="2637"/>
      <c r="Q10" s="2638">
        <v>365</v>
      </c>
      <c r="R10" s="2639">
        <f t="shared" si="0"/>
        <v>0</v>
      </c>
      <c r="S10" s="2593"/>
      <c r="T10" s="2593"/>
      <c r="U10" s="2593"/>
      <c r="V10" s="2601"/>
    </row>
    <row r="11" spans="1:22" s="2605" customFormat="1" ht="13.15" customHeight="1">
      <c r="A11" s="2640">
        <v>3</v>
      </c>
      <c r="B11" s="3380" t="s">
        <v>2359</v>
      </c>
      <c r="C11" s="3381"/>
      <c r="D11" s="2641">
        <f>D12+D14+D15+D16</f>
        <v>0</v>
      </c>
      <c r="E11" s="2647" t="e">
        <f>D11/D6</f>
        <v>#DIV/0!</v>
      </c>
      <c r="F11" s="2643"/>
      <c r="G11" s="2644"/>
      <c r="H11" s="2600"/>
      <c r="I11" s="2601"/>
      <c r="J11" s="3363"/>
      <c r="K11" s="336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3" t="s">
        <v>2362</v>
      </c>
      <c r="C12" s="3374"/>
      <c r="D12" s="2649">
        <f>ROUND(D13*1.2%*(1-30%),0)</f>
        <v>0</v>
      </c>
      <c r="E12" s="2650">
        <v>1.2E-2</v>
      </c>
      <c r="F12" s="2643" t="s">
        <v>2363</v>
      </c>
      <c r="G12" s="2644"/>
      <c r="H12" s="2600"/>
      <c r="I12" s="2601"/>
      <c r="J12" s="3363"/>
      <c r="K12" s="336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3"/>
      <c r="K13" s="336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3" t="s">
        <v>2368</v>
      </c>
      <c r="C14" s="3374"/>
      <c r="D14" s="2649">
        <f>ROUND(E14*B5/10000,0)</f>
        <v>0</v>
      </c>
      <c r="E14" s="2638"/>
      <c r="F14" s="2643" t="s">
        <v>2369</v>
      </c>
      <c r="G14" s="2644"/>
      <c r="H14" s="2600"/>
      <c r="I14" s="2601"/>
      <c r="J14" s="3363"/>
      <c r="K14" s="336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3" t="s">
        <v>2372</v>
      </c>
      <c r="C15" s="3374"/>
      <c r="D15" s="2649">
        <f>ROUND(D6*E15,0)</f>
        <v>0</v>
      </c>
      <c r="E15" s="2650">
        <v>5.5E-2</v>
      </c>
      <c r="F15" s="2643" t="s">
        <v>2373</v>
      </c>
      <c r="G15" s="2625"/>
      <c r="H15" s="2600"/>
      <c r="I15" s="2601"/>
      <c r="J15" s="3363">
        <v>2</v>
      </c>
      <c r="K15" s="336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3" t="s">
        <v>2381</v>
      </c>
      <c r="C16" s="3374"/>
      <c r="D16" s="2660">
        <f>D6*E16</f>
        <v>0</v>
      </c>
      <c r="E16" s="2661"/>
      <c r="F16" s="2646" t="s">
        <v>2382</v>
      </c>
      <c r="G16" s="2625"/>
      <c r="H16" s="2600"/>
      <c r="I16" s="2601"/>
      <c r="J16" s="3363"/>
      <c r="K16" s="336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5" t="s">
        <v>2384</v>
      </c>
      <c r="C17" s="3376"/>
      <c r="D17" s="2663">
        <f>ROUND(D6*E17,0)</f>
        <v>0</v>
      </c>
      <c r="E17" s="2664"/>
      <c r="F17" s="2665" t="s">
        <v>2385</v>
      </c>
      <c r="G17" s="2625"/>
      <c r="H17" s="2600"/>
      <c r="I17" s="2601"/>
      <c r="J17" s="3363"/>
      <c r="K17" s="336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3"/>
      <c r="K18" s="336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3"/>
      <c r="K19" s="336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3">
        <v>3</v>
      </c>
      <c r="K20" s="336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3"/>
      <c r="K21" s="336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3"/>
      <c r="K22" s="336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3"/>
      <c r="K23" s="336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3"/>
      <c r="K24" s="336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9" t="s">
        <v>2317</v>
      </c>
      <c r="K32" s="3370"/>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1" t="s">
        <v>2327</v>
      </c>
      <c r="K33" s="3372"/>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1" t="s">
        <v>2329</v>
      </c>
      <c r="K34" s="337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3">
        <v>1</v>
      </c>
      <c r="K36" s="336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3"/>
      <c r="K37" s="336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3"/>
      <c r="K38" s="336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3"/>
      <c r="K39" s="336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3"/>
      <c r="K40" s="336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7">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2" t="s">
        <v>1654</v>
      </c>
      <c r="C5" s="338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2" t="s">
        <v>1667</v>
      </c>
      <c r="D4" s="3403"/>
      <c r="E4" s="3404" t="s">
        <v>1668</v>
      </c>
      <c r="F4" s="3405"/>
      <c r="G4" s="3402" t="s">
        <v>1669</v>
      </c>
      <c r="H4" s="3403"/>
      <c r="I4" s="3402" t="s">
        <v>1670</v>
      </c>
      <c r="J4" s="3403"/>
      <c r="K4" s="1744" t="s">
        <v>1671</v>
      </c>
      <c r="L4" s="2487"/>
      <c r="M4" s="2488"/>
      <c r="N4" s="2488"/>
      <c r="O4" s="2488"/>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ht="15">
      <c r="A5" s="348"/>
      <c r="B5" s="349"/>
      <c r="C5" s="3420" t="s">
        <v>1673</v>
      </c>
      <c r="D5" s="3421"/>
      <c r="E5" s="3427" t="s">
        <v>1674</v>
      </c>
      <c r="F5" s="3428"/>
      <c r="G5" s="3420" t="s">
        <v>1675</v>
      </c>
      <c r="H5" s="3421"/>
      <c r="I5" s="3420" t="s">
        <v>1676</v>
      </c>
      <c r="J5" s="3421"/>
      <c r="K5" s="1745"/>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1745"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7"/>
      <c r="Q16" s="1263"/>
      <c r="R16" s="667"/>
      <c r="S16" s="668"/>
      <c r="T16" s="667"/>
      <c r="U16" s="668"/>
      <c r="V16" s="667"/>
      <c r="W16" s="668"/>
      <c r="X16" s="1265"/>
      <c r="Y16" s="339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7"/>
      <c r="Q18" s="1263"/>
      <c r="R18" s="667"/>
      <c r="S18" s="668"/>
      <c r="T18" s="667"/>
      <c r="U18" s="668"/>
      <c r="V18" s="667"/>
      <c r="W18" s="668"/>
      <c r="X18" s="1265"/>
      <c r="Y18" s="339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7"/>
      <c r="Q20" s="1263"/>
      <c r="R20" s="667"/>
      <c r="S20" s="668"/>
      <c r="T20" s="667"/>
      <c r="U20" s="668"/>
      <c r="V20" s="667"/>
      <c r="W20" s="668"/>
      <c r="X20" s="1265"/>
      <c r="Y20" s="339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7"/>
      <c r="Q22" s="1263"/>
      <c r="R22" s="667"/>
      <c r="S22" s="668"/>
      <c r="T22" s="667"/>
      <c r="U22" s="668"/>
      <c r="V22" s="667"/>
      <c r="W22" s="668"/>
      <c r="X22" s="1265"/>
      <c r="Y22" s="339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7"/>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2026-3</v>
      </c>
      <c r="D58" s="1104">
        <f>EDATE(C58,-1)</f>
        <v>46054</v>
      </c>
      <c r="E58" s="1104">
        <f>EDATE(D58,-1)</f>
        <v>46023</v>
      </c>
      <c r="F58" s="1104">
        <f t="shared" ref="F58:O58" si="19">EDATE(E58,-1)</f>
        <v>45992</v>
      </c>
      <c r="G58" s="1104">
        <f t="shared" si="19"/>
        <v>45962</v>
      </c>
      <c r="H58" s="1104">
        <f t="shared" si="19"/>
        <v>45931</v>
      </c>
      <c r="I58" s="1104">
        <f t="shared" si="19"/>
        <v>45901</v>
      </c>
      <c r="J58" s="1104">
        <f t="shared" si="19"/>
        <v>45870</v>
      </c>
      <c r="K58" s="1104">
        <f t="shared" si="19"/>
        <v>45839</v>
      </c>
      <c r="L58" s="1104">
        <f t="shared" si="19"/>
        <v>45809</v>
      </c>
      <c r="M58" s="1104">
        <f t="shared" si="19"/>
        <v>45778</v>
      </c>
      <c r="N58" s="1104">
        <f t="shared" si="19"/>
        <v>45748</v>
      </c>
      <c r="O58" s="1104">
        <f t="shared" si="19"/>
        <v>45717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388"/>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388"/>
      <c r="AC6" s="3401"/>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7"/>
      <c r="Q16" s="1263"/>
      <c r="R16" s="667"/>
      <c r="S16" s="668"/>
      <c r="T16" s="667"/>
      <c r="U16" s="668"/>
      <c r="V16" s="667"/>
      <c r="W16" s="668"/>
      <c r="X16" s="1265"/>
      <c r="Y16" s="339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7"/>
      <c r="Q18" s="1263"/>
      <c r="R18" s="667"/>
      <c r="S18" s="668"/>
      <c r="T18" s="667"/>
      <c r="U18" s="668"/>
      <c r="V18" s="667"/>
      <c r="W18" s="668"/>
      <c r="X18" s="1265"/>
      <c r="Y18" s="339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7"/>
      <c r="Q20" s="1263"/>
      <c r="R20" s="667"/>
      <c r="S20" s="668"/>
      <c r="T20" s="667"/>
      <c r="U20" s="668"/>
      <c r="V20" s="667"/>
      <c r="W20" s="668"/>
      <c r="X20" s="1265"/>
      <c r="Y20" s="339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7"/>
      <c r="Q22" s="1263"/>
      <c r="R22" s="667"/>
      <c r="S22" s="668"/>
      <c r="T22" s="667"/>
      <c r="U22" s="668"/>
      <c r="V22" s="667"/>
      <c r="W22" s="668"/>
      <c r="X22" s="1265"/>
      <c r="Y22" s="339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7"/>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2026-3</v>
      </c>
      <c r="D58" s="1104">
        <f>EDATE(C58,-1)</f>
        <v>46054</v>
      </c>
      <c r="E58" s="1104">
        <f t="shared" ref="E58:N58" si="16">EDATE(D58,-1)</f>
        <v>46023</v>
      </c>
      <c r="F58" s="1104">
        <f t="shared" si="16"/>
        <v>45992</v>
      </c>
      <c r="G58" s="1104">
        <f t="shared" si="16"/>
        <v>45962</v>
      </c>
      <c r="H58" s="1104">
        <f t="shared" si="16"/>
        <v>45931</v>
      </c>
      <c r="I58" s="1104">
        <f t="shared" si="16"/>
        <v>45901</v>
      </c>
      <c r="J58" s="1104">
        <f t="shared" si="16"/>
        <v>45870</v>
      </c>
      <c r="K58" s="1104">
        <f t="shared" si="16"/>
        <v>45839</v>
      </c>
      <c r="L58" s="1104">
        <f t="shared" si="16"/>
        <v>45809</v>
      </c>
      <c r="M58" s="1104">
        <f t="shared" si="16"/>
        <v>45778</v>
      </c>
      <c r="N58" s="1104">
        <f t="shared" si="16"/>
        <v>45748</v>
      </c>
      <c r="O58" s="1104">
        <f>EDATE(N58,-1)</f>
        <v>45717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35" t="s">
        <v>1775</v>
      </c>
      <c r="Q4" s="3436"/>
      <c r="R4" s="3439" t="s">
        <v>1771</v>
      </c>
      <c r="S4" s="3440"/>
      <c r="T4" s="3439" t="s">
        <v>1772</v>
      </c>
      <c r="U4" s="3440"/>
      <c r="V4" s="3441" t="s">
        <v>1773</v>
      </c>
      <c r="W4" s="3441"/>
      <c r="X4" s="1809"/>
      <c r="Y4" s="3439" t="s">
        <v>1775</v>
      </c>
      <c r="Z4" s="3440"/>
      <c r="AA4" s="3443" t="s">
        <v>1771</v>
      </c>
      <c r="AB4" s="3443" t="s">
        <v>1772</v>
      </c>
      <c r="AC4" s="3432" t="s">
        <v>1773</v>
      </c>
    </row>
    <row r="5" spans="1:29" ht="15">
      <c r="A5" s="348"/>
      <c r="B5" s="349"/>
      <c r="C5" s="3420" t="s">
        <v>1673</v>
      </c>
      <c r="D5" s="3421"/>
      <c r="E5" s="3427" t="s">
        <v>1674</v>
      </c>
      <c r="F5" s="3428"/>
      <c r="G5" s="3420" t="s">
        <v>1675</v>
      </c>
      <c r="H5" s="3421"/>
      <c r="I5" s="3420" t="s">
        <v>1676</v>
      </c>
      <c r="J5" s="3421"/>
      <c r="K5" s="537"/>
      <c r="L5" s="2487"/>
      <c r="M5" s="2488"/>
      <c r="N5" s="2488"/>
      <c r="O5" s="2488"/>
      <c r="P5" s="3437"/>
      <c r="Q5" s="3409"/>
      <c r="R5" s="3414"/>
      <c r="S5" s="3415"/>
      <c r="T5" s="3414"/>
      <c r="U5" s="3415"/>
      <c r="V5" s="3388"/>
      <c r="W5" s="3388"/>
      <c r="X5" s="1265"/>
      <c r="Y5" s="3414"/>
      <c r="Z5" s="3415"/>
      <c r="AA5" s="3400"/>
      <c r="AB5" s="3400"/>
      <c r="AC5" s="3433"/>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38"/>
      <c r="Q6" s="3411"/>
      <c r="R6" s="3414"/>
      <c r="S6" s="3415"/>
      <c r="T6" s="3416"/>
      <c r="U6" s="3417"/>
      <c r="V6" s="3388"/>
      <c r="W6" s="3388"/>
      <c r="X6" s="1265"/>
      <c r="Y6" s="3416"/>
      <c r="Z6" s="3417"/>
      <c r="AA6" s="3401"/>
      <c r="AB6" s="3401"/>
      <c r="AC6" s="3434"/>
    </row>
    <row r="7" spans="1:29" s="102" customFormat="1" ht="15.75" thickBot="1">
      <c r="A7" s="352" t="s">
        <v>1679</v>
      </c>
      <c r="B7" s="353"/>
      <c r="C7" s="354">
        <f>'数据-取费表'!B2</f>
        <v>46083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7"/>
      <c r="Q16" s="1263"/>
      <c r="R16" s="667"/>
      <c r="S16" s="668"/>
      <c r="T16" s="667"/>
      <c r="U16" s="668"/>
      <c r="V16" s="667"/>
      <c r="W16" s="668"/>
      <c r="X16" s="1265"/>
      <c r="Y16" s="339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7"/>
      <c r="Q18" s="1263"/>
      <c r="R18" s="667"/>
      <c r="S18" s="668"/>
      <c r="T18" s="667"/>
      <c r="U18" s="668"/>
      <c r="V18" s="667"/>
      <c r="W18" s="668"/>
      <c r="X18" s="1265"/>
      <c r="Y18" s="339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7"/>
      <c r="Q20" s="1263"/>
      <c r="R20" s="667"/>
      <c r="S20" s="668"/>
      <c r="T20" s="667"/>
      <c r="U20" s="668"/>
      <c r="V20" s="667"/>
      <c r="W20" s="668"/>
      <c r="X20" s="1265"/>
      <c r="Y20" s="339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7"/>
      <c r="Q22" s="1263"/>
      <c r="R22" s="667"/>
      <c r="S22" s="668"/>
      <c r="T22" s="667"/>
      <c r="U22" s="668"/>
      <c r="V22" s="667"/>
      <c r="W22" s="668"/>
      <c r="X22" s="1265"/>
      <c r="Y22" s="339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7"/>
      <c r="Q24" s="1263"/>
      <c r="R24" s="667"/>
      <c r="S24" s="668"/>
      <c r="T24" s="667"/>
      <c r="U24" s="668"/>
      <c r="V24" s="667"/>
      <c r="W24" s="668"/>
      <c r="X24" s="1265"/>
      <c r="Y24" s="339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7"/>
      <c r="Q26" s="1263"/>
      <c r="R26" s="667"/>
      <c r="S26" s="668"/>
      <c r="T26" s="667"/>
      <c r="U26" s="668"/>
      <c r="V26" s="667"/>
      <c r="W26" s="668"/>
      <c r="X26" s="1265"/>
      <c r="Y26" s="339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2026-3</v>
      </c>
      <c r="D59" s="1104">
        <f>EDATE(C59,-1)</f>
        <v>46054</v>
      </c>
      <c r="E59" s="1104">
        <f>EDATE(D59,-1)</f>
        <v>46023</v>
      </c>
      <c r="F59" s="1104">
        <f t="shared" ref="F59:O59" si="16">EDATE(E59,-1)</f>
        <v>45992</v>
      </c>
      <c r="G59" s="1104">
        <f t="shared" si="16"/>
        <v>45962</v>
      </c>
      <c r="H59" s="1104">
        <f t="shared" si="16"/>
        <v>45931</v>
      </c>
      <c r="I59" s="1104">
        <f t="shared" si="16"/>
        <v>45901</v>
      </c>
      <c r="J59" s="1104">
        <f t="shared" si="16"/>
        <v>45870</v>
      </c>
      <c r="K59" s="1104">
        <f t="shared" si="16"/>
        <v>45839</v>
      </c>
      <c r="L59" s="1104">
        <f t="shared" si="16"/>
        <v>45809</v>
      </c>
      <c r="M59" s="1104">
        <f t="shared" si="16"/>
        <v>45778</v>
      </c>
      <c r="N59" s="1104">
        <f t="shared" si="16"/>
        <v>45748</v>
      </c>
      <c r="O59" s="1104">
        <f t="shared" si="16"/>
        <v>45717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860"/>
      <c r="M5" s="861"/>
      <c r="N5" s="861"/>
      <c r="O5" s="861"/>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2026-3</v>
      </c>
      <c r="D52" s="1104">
        <f>EDATE(C52,-1)</f>
        <v>46054</v>
      </c>
      <c r="E52" s="1104">
        <f t="shared" ref="E52:O52" si="16">EDATE(D52,-1)</f>
        <v>46023</v>
      </c>
      <c r="F52" s="1104">
        <f t="shared" si="16"/>
        <v>45992</v>
      </c>
      <c r="G52" s="1104">
        <f t="shared" si="16"/>
        <v>45962</v>
      </c>
      <c r="H52" s="1104">
        <f t="shared" si="16"/>
        <v>45931</v>
      </c>
      <c r="I52" s="1104">
        <f t="shared" si="16"/>
        <v>45901</v>
      </c>
      <c r="J52" s="1104">
        <f t="shared" si="16"/>
        <v>45870</v>
      </c>
      <c r="K52" s="1104">
        <f t="shared" si="16"/>
        <v>45839</v>
      </c>
      <c r="L52" s="1104">
        <f t="shared" si="16"/>
        <v>45809</v>
      </c>
      <c r="M52" s="1104">
        <f t="shared" si="16"/>
        <v>45778</v>
      </c>
      <c r="N52" s="1104">
        <f t="shared" si="16"/>
        <v>45748</v>
      </c>
      <c r="O52" s="1104">
        <f t="shared" si="16"/>
        <v>45717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2026年3月2日（评估专业人员实地查勘之日）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0" zoomScale="115" zoomScaleNormal="60" zoomScaleSheetLayoutView="115" workbookViewId="0">
      <selection activeCell="L35" sqref="L3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t="s">
        <v>3433</v>
      </c>
      <c r="E1" s="3132" t="s">
        <v>3434</v>
      </c>
      <c r="F1" s="1735" t="s">
        <v>3437</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IF(B37="元/平方米",ROUND(C39*D3/10000,0),ROUND(F3*C39/10000,0)),IF(B37="元/平方米",ROUND(C39*D3/10000,0),ROUND(F3*C39/10000,0))-D2),IF(E1="单套模式",IF(C2="——",IF(B37="元/平方米",ROUND(C39*D3/10000,0),ROUND(F3*C39/10000,0)),IF(B37="元/平方米",ROUND(C39*D3/10000,0),ROUND(F3*C39/10000,0))-D2)))</f>
        <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f>IF(C2="——",IF(B37="元/平方米",ROUND(C39*D3/10000,0),ROUND(F3*C39/10000,0)),IF(B37="元/平方米",ROUND(C39*D3/10000,0),ROUND(F3*C39/10000,0))-D2)</f>
        <v>0</v>
      </c>
      <c r="N3" s="2505"/>
      <c r="O3" s="2505"/>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47" t="s">
        <v>3429</v>
      </c>
      <c r="F5" s="3428"/>
      <c r="G5" s="3446" t="s">
        <v>3430</v>
      </c>
      <c r="H5" s="3421"/>
      <c r="I5" s="3446" t="s">
        <v>3431</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9"/>
      <c r="M7" s="2440"/>
      <c r="N7" s="2440"/>
      <c r="O7" s="2440"/>
      <c r="P7" s="3422" t="s">
        <v>1680</v>
      </c>
      <c r="Q7" s="3424"/>
      <c r="R7" s="664" t="s">
        <v>14</v>
      </c>
      <c r="S7" s="665">
        <f t="shared" ref="S7:S14" si="0">F7</f>
        <v>100</v>
      </c>
      <c r="T7" s="664" t="s">
        <v>14</v>
      </c>
      <c r="U7" s="665">
        <f t="shared" ref="U7:U14" si="1">H7</f>
        <v>100</v>
      </c>
      <c r="V7" s="664" t="s">
        <v>14</v>
      </c>
      <c r="W7" s="665">
        <f t="shared" ref="W7:W14" si="2">J7</f>
        <v>100</v>
      </c>
      <c r="X7" s="666"/>
      <c r="Y7" s="3422" t="s">
        <v>1680</v>
      </c>
      <c r="Z7" s="3423"/>
      <c r="AA7" s="50">
        <f>D7/F7</f>
        <v>1</v>
      </c>
      <c r="AB7" s="50">
        <f>D7/H7</f>
        <v>1</v>
      </c>
      <c r="AC7" s="50">
        <f>D7/J7</f>
        <v>1</v>
      </c>
    </row>
    <row r="8" spans="1:29" s="102" customFormat="1" ht="15.75" thickBot="1">
      <c r="A8" s="352" t="s">
        <v>1681</v>
      </c>
      <c r="B8" s="353"/>
      <c r="C8" s="358" t="s">
        <v>3417</v>
      </c>
      <c r="D8" s="355">
        <v>100</v>
      </c>
      <c r="E8" s="358" t="s">
        <v>3435</v>
      </c>
      <c r="F8" s="357">
        <f>SUMIF(51:51,E8,52:52)-SUMIF(51:51,C8,52:52)+100</f>
        <v>105</v>
      </c>
      <c r="G8" s="358" t="s">
        <v>3435</v>
      </c>
      <c r="H8" s="355">
        <f>SUMIF(51:51,G8,52:52)-SUMIF(51:51,C8,52:52)+100</f>
        <v>105</v>
      </c>
      <c r="I8" s="358" t="s">
        <v>3435</v>
      </c>
      <c r="J8" s="355">
        <f>SUMIF(51:51,I8,52:52)-SUMIF(51:51,C8,52:52)+100</f>
        <v>105</v>
      </c>
      <c r="K8" s="38"/>
      <c r="L8" s="2489"/>
      <c r="M8" s="2440"/>
      <c r="N8" s="2440"/>
      <c r="O8" s="2440"/>
      <c r="P8" s="3422" t="s">
        <v>1683</v>
      </c>
      <c r="Q8" s="3423"/>
      <c r="R8" s="664" t="s">
        <v>14</v>
      </c>
      <c r="S8" s="665">
        <f t="shared" si="0"/>
        <v>105</v>
      </c>
      <c r="T8" s="664" t="s">
        <v>14</v>
      </c>
      <c r="U8" s="665">
        <f t="shared" si="1"/>
        <v>105</v>
      </c>
      <c r="V8" s="664" t="s">
        <v>14</v>
      </c>
      <c r="W8" s="665">
        <f t="shared" si="2"/>
        <v>105</v>
      </c>
      <c r="X8" s="666"/>
      <c r="Y8" s="3422" t="s">
        <v>1683</v>
      </c>
      <c r="Z8" s="3423"/>
      <c r="AA8" s="50">
        <f t="shared" ref="AA8:AA36" si="3">D8/F8</f>
        <v>0.95238095238095233</v>
      </c>
      <c r="AB8" s="50">
        <f t="shared" ref="AB8:AB36" si="4">D8/H8</f>
        <v>0.95238095238095233</v>
      </c>
      <c r="AC8" s="50">
        <f t="shared" ref="AC8:AC36" si="5">D8/J8</f>
        <v>0.95238095238095233</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t="s">
        <v>3418</v>
      </c>
      <c r="D15" s="387"/>
      <c r="E15" s="386" t="s">
        <v>3418</v>
      </c>
      <c r="F15" s="388"/>
      <c r="G15" s="386" t="s">
        <v>3418</v>
      </c>
      <c r="H15" s="389"/>
      <c r="I15" s="386" t="s">
        <v>3418</v>
      </c>
      <c r="J15" s="387"/>
      <c r="K15" s="541"/>
      <c r="L15" s="2493"/>
      <c r="M15" s="2488"/>
      <c r="N15" s="2488"/>
      <c r="O15" s="2488"/>
      <c r="P15" s="3390"/>
      <c r="Q15" s="1263"/>
      <c r="R15" s="667"/>
      <c r="S15" s="668"/>
      <c r="T15" s="667"/>
      <c r="U15" s="668"/>
      <c r="V15" s="667"/>
      <c r="W15" s="668"/>
      <c r="X15" s="1265"/>
      <c r="Y15" s="339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t="s">
        <v>3418</v>
      </c>
      <c r="D17" s="387"/>
      <c r="E17" s="1755" t="s">
        <v>3418</v>
      </c>
      <c r="F17" s="388"/>
      <c r="G17" s="1755" t="s">
        <v>3418</v>
      </c>
      <c r="H17" s="387"/>
      <c r="I17" s="1755" t="s">
        <v>3418</v>
      </c>
      <c r="J17" s="387"/>
      <c r="K17" s="541"/>
      <c r="L17" s="2493"/>
      <c r="M17" s="2488"/>
      <c r="N17" s="2488"/>
      <c r="O17" s="2488"/>
      <c r="P17" s="3390"/>
      <c r="Q17" s="1263"/>
      <c r="R17" s="667"/>
      <c r="S17" s="668"/>
      <c r="T17" s="667"/>
      <c r="U17" s="668"/>
      <c r="V17" s="667"/>
      <c r="W17" s="668"/>
      <c r="X17" s="1265"/>
      <c r="Y17" s="339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t="s">
        <v>3419</v>
      </c>
      <c r="D19" s="389"/>
      <c r="E19" s="1755" t="s">
        <v>3419</v>
      </c>
      <c r="F19" s="392"/>
      <c r="G19" s="1755" t="s">
        <v>3419</v>
      </c>
      <c r="H19" s="387"/>
      <c r="I19" s="1755" t="s">
        <v>3419</v>
      </c>
      <c r="J19" s="387"/>
      <c r="K19" s="1064"/>
      <c r="L19" s="2493"/>
      <c r="M19" s="2488"/>
      <c r="N19" s="2488"/>
      <c r="O19" s="2488"/>
      <c r="P19" s="3390"/>
      <c r="Q19" s="1263"/>
      <c r="R19" s="667"/>
      <c r="S19" s="668"/>
      <c r="T19" s="667"/>
      <c r="U19" s="668"/>
      <c r="V19" s="667"/>
      <c r="W19" s="668"/>
      <c r="X19" s="1265"/>
      <c r="Y19" s="339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t="s">
        <v>3418</v>
      </c>
      <c r="D21" s="387"/>
      <c r="E21" s="386" t="s">
        <v>3418</v>
      </c>
      <c r="F21" s="388"/>
      <c r="G21" s="386" t="s">
        <v>3418</v>
      </c>
      <c r="H21" s="387"/>
      <c r="I21" s="386" t="s">
        <v>3418</v>
      </c>
      <c r="J21" s="387"/>
      <c r="K21" s="541"/>
      <c r="L21" s="2493"/>
      <c r="M21" s="2488"/>
      <c r="N21" s="2488"/>
      <c r="O21" s="2488"/>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3"/>
      <c r="M26" s="2488"/>
      <c r="N26" s="2488"/>
      <c r="O26" s="2488"/>
      <c r="P26" s="3444"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94"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3"/>
      <c r="M28" s="2488">
        <f>1-(2026-E40)/60</f>
        <v>0.81666666666666665</v>
      </c>
      <c r="N28" s="2488"/>
      <c r="O28" s="2488"/>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v>1</v>
      </c>
      <c r="D29" s="374">
        <v>100</v>
      </c>
      <c r="E29" s="411">
        <v>0.81</v>
      </c>
      <c r="F29" s="400">
        <f>LOOKUP(E29,86:86,87:87)-LOOKUP(C29,86:86,87:87)+100</f>
        <v>99</v>
      </c>
      <c r="G29" s="411">
        <v>0.76</v>
      </c>
      <c r="H29" s="400">
        <f>LOOKUP(G29,86:86,87:87)-LOOKUP(C29,86:86,87:87)+100</f>
        <v>98</v>
      </c>
      <c r="I29" s="411">
        <v>0.7</v>
      </c>
      <c r="J29" s="374">
        <f>LOOKUP(I29,86:86,87:87)-LOOKUP(C29,86:86,87:87)+100</f>
        <v>98</v>
      </c>
      <c r="K29" s="538">
        <v>1</v>
      </c>
      <c r="L29" s="2493"/>
      <c r="M29" s="2488">
        <f>1-(2026-2012)/60</f>
        <v>0.76666666666666661</v>
      </c>
      <c r="N29" s="2488"/>
      <c r="O29" s="2488"/>
      <c r="P29" s="3394"/>
      <c r="Q29" s="1263" t="str">
        <f t="shared" si="11"/>
        <v>成新率</v>
      </c>
      <c r="R29" s="667" t="s">
        <v>14</v>
      </c>
      <c r="S29" s="668">
        <f t="shared" si="12"/>
        <v>99</v>
      </c>
      <c r="T29" s="667" t="s">
        <v>14</v>
      </c>
      <c r="U29" s="668">
        <f t="shared" si="13"/>
        <v>98</v>
      </c>
      <c r="V29" s="667" t="s">
        <v>14</v>
      </c>
      <c r="W29" s="668">
        <f t="shared" si="14"/>
        <v>98</v>
      </c>
      <c r="X29" s="1265"/>
      <c r="Y29" s="3394"/>
      <c r="Z29" s="1264" t="str">
        <f t="shared" si="15"/>
        <v>成新率</v>
      </c>
      <c r="AA29" s="1264">
        <f t="shared" si="3"/>
        <v>1.0101010101010102</v>
      </c>
      <c r="AB29" s="1264">
        <f t="shared" si="4"/>
        <v>1.0204081632653061</v>
      </c>
      <c r="AC29" s="1264">
        <f t="shared" si="5"/>
        <v>1.0204081632653061</v>
      </c>
    </row>
    <row r="30" spans="1:29" ht="15">
      <c r="A30" s="577"/>
      <c r="B30" s="119" t="s">
        <v>1840</v>
      </c>
      <c r="C30" s="578" t="s">
        <v>3420</v>
      </c>
      <c r="D30" s="374">
        <v>100</v>
      </c>
      <c r="E30" s="578" t="s">
        <v>3420</v>
      </c>
      <c r="F30" s="400">
        <f>SUMIF(88:88,E30,89:89)-SUMIF(88:88,C30,89:89)+100</f>
        <v>100</v>
      </c>
      <c r="G30" s="578" t="s">
        <v>3420</v>
      </c>
      <c r="H30" s="374">
        <f>SUMIF(88:88,E30,89:89)-SUMIF(88:88,C30,89:89)+100</f>
        <v>100</v>
      </c>
      <c r="I30" s="578" t="s">
        <v>3420</v>
      </c>
      <c r="J30" s="374">
        <f>SUMIF(88:88,E30,89:89)-SUMIF(88:88,C30,89:89)+100</f>
        <v>100</v>
      </c>
      <c r="K30" s="538"/>
      <c r="L30" s="2493"/>
      <c r="M30" s="2488">
        <f>1-(2026-I40)/60</f>
        <v>0.7</v>
      </c>
      <c r="N30" s="2488"/>
      <c r="O30" s="2488"/>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9"/>
      <c r="M31" s="2440"/>
      <c r="N31" s="2440"/>
      <c r="O31" s="2440"/>
      <c r="P31" s="3394"/>
      <c r="Q31" s="530" t="str">
        <f t="shared" si="11"/>
        <v>停车位面积</v>
      </c>
      <c r="R31" s="664" t="s">
        <v>14</v>
      </c>
      <c r="S31" s="665">
        <f t="shared" si="12"/>
        <v>100</v>
      </c>
      <c r="T31" s="664" t="s">
        <v>14</v>
      </c>
      <c r="U31" s="665">
        <f t="shared" si="13"/>
        <v>100</v>
      </c>
      <c r="V31" s="664" t="s">
        <v>14</v>
      </c>
      <c r="W31" s="665">
        <f t="shared" si="14"/>
        <v>100</v>
      </c>
      <c r="X31" s="666"/>
      <c r="Y31" s="3394"/>
      <c r="Z31" s="50" t="str">
        <f t="shared" si="15"/>
        <v>停车位面积</v>
      </c>
      <c r="AA31" s="50">
        <f t="shared" si="3"/>
        <v>1</v>
      </c>
      <c r="AB31" s="50">
        <f t="shared" si="4"/>
        <v>1</v>
      </c>
      <c r="AC31" s="50">
        <f t="shared" si="5"/>
        <v>1</v>
      </c>
    </row>
    <row r="32" spans="1:29" ht="15">
      <c r="A32" s="577"/>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3"/>
      <c r="M32" s="2488"/>
      <c r="N32" s="2488"/>
      <c r="O32" s="2488"/>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3"/>
      <c r="M33" s="2488"/>
      <c r="N33" s="2488"/>
      <c r="O33" s="2488"/>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1" t="s">
        <v>3432</v>
      </c>
      <c r="C37" s="1081" t="s">
        <v>0</v>
      </c>
      <c r="D37" s="418"/>
      <c r="E37" s="419">
        <v>600</v>
      </c>
      <c r="F37" s="420"/>
      <c r="G37" s="421">
        <v>550</v>
      </c>
      <c r="H37" s="422"/>
      <c r="I37" s="419">
        <v>550</v>
      </c>
      <c r="J37" s="422"/>
      <c r="K37" s="545"/>
      <c r="L37" s="2495"/>
      <c r="M37" s="2488"/>
      <c r="N37" s="2488"/>
      <c r="O37" s="2488"/>
      <c r="P37" s="3387" t="str">
        <f>A37</f>
        <v>成交单价</v>
      </c>
      <c r="Q37" s="3387"/>
      <c r="R37" s="3388">
        <f>E37</f>
        <v>600</v>
      </c>
      <c r="S37" s="3388"/>
      <c r="T37" s="3388">
        <f>G37</f>
        <v>550</v>
      </c>
      <c r="U37" s="3388"/>
      <c r="V37" s="3388">
        <f>I37</f>
        <v>550</v>
      </c>
      <c r="W37" s="3388"/>
      <c r="X37" s="385"/>
      <c r="Y37" s="673"/>
      <c r="Z37" s="385"/>
      <c r="AA37" s="385"/>
      <c r="AB37" s="385"/>
      <c r="AC37" s="385"/>
    </row>
    <row r="38" spans="1:29" ht="15.75" thickBot="1">
      <c r="A38" s="423" t="s">
        <v>1845</v>
      </c>
      <c r="B38" s="424" t="str">
        <f>B37</f>
        <v>元/车位</v>
      </c>
      <c r="C38" s="1082">
        <f>R39</f>
        <v>548</v>
      </c>
      <c r="D38" s="2141" t="s">
        <v>2138</v>
      </c>
      <c r="E38" s="1083">
        <f>R38</f>
        <v>577</v>
      </c>
      <c r="F38" s="2142"/>
      <c r="G38" s="1082">
        <f>T38</f>
        <v>534</v>
      </c>
      <c r="H38" s="2142"/>
      <c r="I38" s="1083">
        <f>V38</f>
        <v>534</v>
      </c>
      <c r="J38" s="2142"/>
      <c r="K38" s="2144">
        <f>F38+H38+J38</f>
        <v>0</v>
      </c>
      <c r="L38" s="2495"/>
      <c r="M38" s="2488"/>
      <c r="N38" s="2488"/>
      <c r="O38" s="2488"/>
      <c r="P38" s="3387" t="str">
        <f>A38</f>
        <v>比较价值（元/平方米）</v>
      </c>
      <c r="Q38" s="3387"/>
      <c r="R38" s="3388">
        <f>IF(F1="售价",ROUND(PRODUCT(R37,AA7:AA36),0),ROUND(PRODUCT(R37,AA7:AA36),1))</f>
        <v>577</v>
      </c>
      <c r="S38" s="3388"/>
      <c r="T38" s="3388">
        <f>IF(F1="售价",ROUND(PRODUCT(T37,AB7:AB36),0),ROUND(PRODUCT(T37,AB7:AB36),1))</f>
        <v>534</v>
      </c>
      <c r="U38" s="3388"/>
      <c r="V38" s="3388">
        <f>IF(F1="售价",ROUND(PRODUCT(V37,AC7:AC36),0),ROUND(PRODUCT(V37,AC7:AC36),1))</f>
        <v>534</v>
      </c>
      <c r="W38" s="3388"/>
      <c r="X38" s="385"/>
      <c r="Y38" s="385"/>
      <c r="Z38" s="385"/>
      <c r="AA38" s="385"/>
      <c r="AB38" s="385"/>
      <c r="AC38" s="385"/>
    </row>
    <row r="39" spans="1:29" ht="15.75" thickBot="1">
      <c r="A39" s="427" t="s">
        <v>1846</v>
      </c>
      <c r="B39" s="428"/>
      <c r="C39" s="351">
        <f>R39</f>
        <v>548</v>
      </c>
      <c r="D39" s="351"/>
      <c r="E39" s="351"/>
      <c r="F39" s="351"/>
      <c r="G39" s="351"/>
      <c r="H39" s="351"/>
      <c r="I39" s="351"/>
      <c r="J39" s="351"/>
      <c r="K39" s="546"/>
      <c r="L39" s="2495"/>
      <c r="M39" s="2488"/>
      <c r="N39" s="2488"/>
      <c r="O39" s="2488"/>
      <c r="P39" s="3384" t="str">
        <f>A39</f>
        <v>估价对象XX用房的比较价值（楼面单价，元/平方米）</v>
      </c>
      <c r="Q39" s="3385"/>
      <c r="R39" s="3445">
        <f>IF(F1="售价",ROUND(IF(D38="简单平均",AVERAGE(R38:W38),R38*F38+T38*H38+V38*J38),0),ROUND(IF(D38="简单平均",AVERAGE(R38:V38),R38*F38+T38*H38+V38*J38),1))</f>
        <v>548</v>
      </c>
      <c r="S39" s="3445"/>
      <c r="T39" s="3445"/>
      <c r="U39" s="3445"/>
      <c r="V39" s="3445"/>
      <c r="W39" s="3445"/>
      <c r="X39" s="385"/>
      <c r="Y39" s="385"/>
      <c r="Z39" s="385"/>
      <c r="AA39" s="385"/>
      <c r="AB39" s="385"/>
      <c r="AC39" s="385"/>
    </row>
    <row r="40" spans="1:29">
      <c r="A40" s="2488"/>
      <c r="B40" s="2488"/>
      <c r="C40" s="2488"/>
      <c r="D40" s="2488"/>
      <c r="E40" s="2488">
        <v>2015</v>
      </c>
      <c r="F40" s="2488"/>
      <c r="G40" s="2499">
        <v>20.12</v>
      </c>
      <c r="H40" s="2488"/>
      <c r="I40" s="2488">
        <v>2008</v>
      </c>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f>IF(E37&lt;E38,E38/E37-1,E37/E38-1)</f>
        <v>3.9861351819757473E-2</v>
      </c>
      <c r="F42" s="435" t="str">
        <f>IF(OR(E42&gt;=0.3,E42&lt;=-0.3),"超过30%","")</f>
        <v/>
      </c>
      <c r="G42" s="434">
        <f>IF(G37&lt;G38,G38/G37-1,G37/G38-1)</f>
        <v>2.9962546816479474E-2</v>
      </c>
      <c r="H42" s="435" t="str">
        <f>IF(OR(G42&gt;=0.3,G42&lt;=-0.3),"超过30%","")</f>
        <v/>
      </c>
      <c r="I42" s="434">
        <f>IF(I37&lt;I38,I38/I37-1,I37/I38-1)</f>
        <v>2.9962546816479474E-2</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f>IF(E38&lt;G38,G38/E38-1,E38/G38-1)</f>
        <v>8.0524344569288475E-2</v>
      </c>
      <c r="F43" s="435" t="str">
        <f>IF(OR(E43&gt;=0.2,E43&lt;=-0.2),"超过20%","")</f>
        <v/>
      </c>
      <c r="G43" s="434">
        <f>IF(G38&lt;I38,I38/G38-1,G38/I38-1)</f>
        <v>0</v>
      </c>
      <c r="H43" s="435" t="str">
        <f>IF(OR(G43&gt;=0.2,G43&lt;=-0.2),"超过20%","")</f>
        <v/>
      </c>
      <c r="I43" s="434">
        <f>IF(I38&lt;E38,E38/I38-1,I38/E38-1)</f>
        <v>8.0524344569288475E-2</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9.0909090909090828E-2</v>
      </c>
      <c r="F44" s="435" t="str">
        <f>IF(OR(E44&gt;=0.3,E44&lt;=-0.3),"超过30%","")</f>
        <v/>
      </c>
      <c r="G44" s="434">
        <f>IF(G37&lt;I37,I37/G37-1,G37/I37-1)</f>
        <v>0</v>
      </c>
      <c r="H44" s="435" t="str">
        <f>IF(OR(G44&gt;=0.3,G44&lt;=-0.3),"超过30%","")</f>
        <v/>
      </c>
      <c r="I44" s="434">
        <f>IF(I37&lt;E37,E37/I37-1,I37/E37-1)</f>
        <v>9.0909090909090828E-2</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2026-3</v>
      </c>
      <c r="D48" s="1104">
        <f>EDATE(C48,-1)</f>
        <v>46054</v>
      </c>
      <c r="E48" s="1104">
        <f t="shared" ref="E48:O48" si="16">EDATE(D48,-1)</f>
        <v>46023</v>
      </c>
      <c r="F48" s="1104">
        <f t="shared" si="16"/>
        <v>45992</v>
      </c>
      <c r="G48" s="1104">
        <f t="shared" si="16"/>
        <v>45962</v>
      </c>
      <c r="H48" s="1104">
        <f t="shared" si="16"/>
        <v>45931</v>
      </c>
      <c r="I48" s="1104">
        <f t="shared" si="16"/>
        <v>45901</v>
      </c>
      <c r="J48" s="1104">
        <f t="shared" si="16"/>
        <v>45870</v>
      </c>
      <c r="K48" s="1104">
        <f t="shared" si="16"/>
        <v>45839</v>
      </c>
      <c r="L48" s="1104">
        <f t="shared" si="16"/>
        <v>45809</v>
      </c>
      <c r="M48" s="1104">
        <f t="shared" si="16"/>
        <v>45778</v>
      </c>
      <c r="N48" s="1104">
        <f t="shared" si="16"/>
        <v>45748</v>
      </c>
      <c r="O48" s="1104">
        <f t="shared" si="16"/>
        <v>45717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72" t="s">
        <v>3436</v>
      </c>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v>105</v>
      </c>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3171" t="s">
        <v>3422</v>
      </c>
      <c r="D83" s="3171" t="s">
        <v>3424</v>
      </c>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3170" t="s">
        <v>3421</v>
      </c>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20</v>
      </c>
      <c r="E91" s="6">
        <v>30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3171" t="s">
        <v>3428</v>
      </c>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3170" t="s">
        <v>3426</v>
      </c>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C592-0D92-4E1C-BDE9-15338CDE4893}">
  <sheetPr>
    <tabColor rgb="FF92D050"/>
    <pageSetUpPr fitToPage="1"/>
  </sheetPr>
  <dimension ref="A1:AC103"/>
  <sheetViews>
    <sheetView view="pageBreakPreview" topLeftCell="A4" zoomScale="115" zoomScaleNormal="60" zoomScaleSheetLayoutView="115" workbookViewId="0">
      <selection activeCell="G26" sqref="G2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t="s">
        <v>3433</v>
      </c>
      <c r="E1" s="3132" t="s">
        <v>3434</v>
      </c>
      <c r="F1" s="1735" t="s">
        <v>3437</v>
      </c>
      <c r="G1" s="1144" t="s">
        <v>1663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IF(B37="元/平方米",ROUND(C39*D3/10000,0),ROUND(F3*C39/10000,0)),IF(B37="元/平方米",ROUND(C39*D3/10000,0),ROUND(F3*C39/10000,0))-D2),IF(E1="单套模式",IF(C2="——",IF(B37="元/平方米",ROUND(C39*D3/10000,0),ROUND(F3*C39/10000,0)),IF(B37="元/平方米",ROUND(C39*D3/10000,0),ROUND(F3*C39/10000,0))-D2)))</f>
        <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686</v>
      </c>
      <c r="B3" s="536">
        <f>IF(AND(C2="——",B37="元/平方米"),C39,ROUND(B2*10000/D3,0))</f>
        <v>6</v>
      </c>
      <c r="C3" s="344" t="s">
        <v>1665</v>
      </c>
      <c r="D3" s="343">
        <f>SUMIF('数据-汇总表'!$C19:$C33,D1,'数据-汇总表'!$E19:$E33)</f>
        <v>0</v>
      </c>
      <c r="E3" s="344" t="s">
        <v>1832</v>
      </c>
      <c r="F3" s="343">
        <f>SUMIF('数据-取费表'!A5:A15,D1,'数据-取费表'!AH5:AH15)</f>
        <v>0</v>
      </c>
      <c r="G3" s="855"/>
      <c r="H3" s="855"/>
      <c r="I3" s="855"/>
      <c r="J3" s="855"/>
      <c r="K3" s="857"/>
      <c r="L3" s="2504"/>
      <c r="M3" s="2505">
        <f>IF(C2="——",IF(B37="元/平方米",ROUND(C39*D3/10000,0),ROUND(F3*C39/10000,0)),IF(B37="元/平方米",ROUND(C39*D3/10000,0),ROUND(F3*C39/10000,0))-D2)</f>
        <v>0</v>
      </c>
      <c r="N3" s="2505"/>
      <c r="O3" s="2505"/>
      <c r="P3" s="1086"/>
      <c r="Q3" s="341"/>
      <c r="R3" s="341"/>
      <c r="S3" s="341"/>
      <c r="T3" s="341"/>
      <c r="U3" s="341"/>
      <c r="V3" s="341"/>
      <c r="W3" s="341"/>
      <c r="X3" s="341"/>
      <c r="Y3" s="341"/>
      <c r="Z3" s="341"/>
      <c r="AA3" s="341"/>
      <c r="AB3" s="676"/>
      <c r="AC3" s="663"/>
    </row>
    <row r="4" spans="1:29" ht="15">
      <c r="A4" s="345" t="s">
        <v>1666</v>
      </c>
      <c r="B4" s="346"/>
      <c r="C4" s="3402" t="s">
        <v>1667</v>
      </c>
      <c r="D4" s="3403"/>
      <c r="E4" s="3404" t="s">
        <v>1668</v>
      </c>
      <c r="F4" s="3405"/>
      <c r="G4" s="3402" t="s">
        <v>1669</v>
      </c>
      <c r="H4" s="3403"/>
      <c r="I4" s="3402" t="s">
        <v>1670</v>
      </c>
      <c r="J4" s="3403"/>
      <c r="K4" s="537" t="s">
        <v>1671</v>
      </c>
      <c r="L4" s="2487"/>
      <c r="M4" s="2488"/>
      <c r="N4" s="2488"/>
      <c r="O4" s="2488"/>
      <c r="P4" s="3406" t="s">
        <v>1672</v>
      </c>
      <c r="Q4" s="3407"/>
      <c r="R4" s="3412" t="s">
        <v>1668</v>
      </c>
      <c r="S4" s="3413"/>
      <c r="T4" s="3412" t="s">
        <v>1669</v>
      </c>
      <c r="U4" s="3413"/>
      <c r="V4" s="3388" t="s">
        <v>1670</v>
      </c>
      <c r="W4" s="3388"/>
      <c r="X4" s="1265"/>
      <c r="Y4" s="3412" t="s">
        <v>1672</v>
      </c>
      <c r="Z4" s="3413"/>
      <c r="AA4" s="3399" t="s">
        <v>1668</v>
      </c>
      <c r="AB4" s="3400" t="s">
        <v>1669</v>
      </c>
      <c r="AC4" s="3399" t="s">
        <v>1670</v>
      </c>
    </row>
    <row r="5" spans="1:29" ht="15">
      <c r="A5" s="348"/>
      <c r="B5" s="349"/>
      <c r="C5" s="3420" t="s">
        <v>1673</v>
      </c>
      <c r="D5" s="3421"/>
      <c r="E5" s="3447" t="s">
        <v>3438</v>
      </c>
      <c r="F5" s="3428"/>
      <c r="G5" s="3446" t="s">
        <v>3430</v>
      </c>
      <c r="H5" s="3421"/>
      <c r="I5" s="3446" t="s">
        <v>3431</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9"/>
      <c r="M7" s="2440"/>
      <c r="N7" s="2440"/>
      <c r="O7" s="2440"/>
      <c r="P7" s="3422" t="s">
        <v>1680</v>
      </c>
      <c r="Q7" s="3424"/>
      <c r="R7" s="664" t="s">
        <v>14</v>
      </c>
      <c r="S7" s="665">
        <f t="shared" ref="S7:S14" si="0">F7</f>
        <v>100</v>
      </c>
      <c r="T7" s="664" t="s">
        <v>14</v>
      </c>
      <c r="U7" s="665">
        <f t="shared" ref="U7:U14" si="1">H7</f>
        <v>100</v>
      </c>
      <c r="V7" s="664" t="s">
        <v>14</v>
      </c>
      <c r="W7" s="665">
        <f t="shared" ref="W7:W14" si="2">J7</f>
        <v>100</v>
      </c>
      <c r="X7" s="666"/>
      <c r="Y7" s="3422" t="s">
        <v>1680</v>
      </c>
      <c r="Z7" s="3423"/>
      <c r="AA7" s="50">
        <f>D7/F7</f>
        <v>1</v>
      </c>
      <c r="AB7" s="50">
        <f>D7/H7</f>
        <v>1</v>
      </c>
      <c r="AC7" s="50">
        <f>D7/J7</f>
        <v>1</v>
      </c>
    </row>
    <row r="8" spans="1:29" s="102" customFormat="1" ht="15.75" thickBot="1">
      <c r="A8" s="352" t="s">
        <v>1681</v>
      </c>
      <c r="B8" s="353"/>
      <c r="C8" s="358" t="s">
        <v>3417</v>
      </c>
      <c r="D8" s="355">
        <v>100</v>
      </c>
      <c r="E8" s="358" t="s">
        <v>3435</v>
      </c>
      <c r="F8" s="357">
        <f>SUMIF(51:51,E8,52:52)-SUMIF(51:51,C8,52:52)+100</f>
        <v>105</v>
      </c>
      <c r="G8" s="358" t="s">
        <v>3435</v>
      </c>
      <c r="H8" s="355">
        <f>SUMIF(51:51,G8,52:52)-SUMIF(51:51,C8,52:52)+100</f>
        <v>105</v>
      </c>
      <c r="I8" s="358" t="s">
        <v>3435</v>
      </c>
      <c r="J8" s="355">
        <f>SUMIF(51:51,I8,52:52)-SUMIF(51:51,C8,52:52)+100</f>
        <v>105</v>
      </c>
      <c r="K8" s="38"/>
      <c r="L8" s="2489"/>
      <c r="M8" s="2440"/>
      <c r="N8" s="2440"/>
      <c r="O8" s="2440"/>
      <c r="P8" s="3422" t="s">
        <v>1683</v>
      </c>
      <c r="Q8" s="3423"/>
      <c r="R8" s="664" t="s">
        <v>14</v>
      </c>
      <c r="S8" s="665">
        <f t="shared" si="0"/>
        <v>105</v>
      </c>
      <c r="T8" s="664" t="s">
        <v>14</v>
      </c>
      <c r="U8" s="665">
        <f t="shared" si="1"/>
        <v>105</v>
      </c>
      <c r="V8" s="664" t="s">
        <v>14</v>
      </c>
      <c r="W8" s="665">
        <f t="shared" si="2"/>
        <v>105</v>
      </c>
      <c r="X8" s="666"/>
      <c r="Y8" s="3422" t="s">
        <v>1683</v>
      </c>
      <c r="Z8" s="3423"/>
      <c r="AA8" s="50">
        <f t="shared" ref="AA8:AA36" si="3">D8/F8</f>
        <v>0.95238095238095233</v>
      </c>
      <c r="AB8" s="50">
        <f t="shared" ref="AB8:AB36" si="4">D8/H8</f>
        <v>0.95238095238095233</v>
      </c>
      <c r="AC8" s="50">
        <f t="shared" ref="AC8:AC36" si="5">D8/J8</f>
        <v>0.95238095238095233</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t="s">
        <v>3418</v>
      </c>
      <c r="D15" s="387"/>
      <c r="E15" s="386" t="s">
        <v>3418</v>
      </c>
      <c r="F15" s="388"/>
      <c r="G15" s="386" t="s">
        <v>3418</v>
      </c>
      <c r="H15" s="389"/>
      <c r="I15" s="386" t="s">
        <v>3418</v>
      </c>
      <c r="J15" s="387"/>
      <c r="K15" s="541"/>
      <c r="L15" s="2493"/>
      <c r="M15" s="2488"/>
      <c r="N15" s="2488"/>
      <c r="O15" s="2488"/>
      <c r="P15" s="3390"/>
      <c r="Q15" s="1263"/>
      <c r="R15" s="667"/>
      <c r="S15" s="668"/>
      <c r="T15" s="667"/>
      <c r="U15" s="668"/>
      <c r="V15" s="667"/>
      <c r="W15" s="668"/>
      <c r="X15" s="1265"/>
      <c r="Y15" s="339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t="s">
        <v>3418</v>
      </c>
      <c r="D17" s="387"/>
      <c r="E17" s="1755" t="s">
        <v>3418</v>
      </c>
      <c r="F17" s="388"/>
      <c r="G17" s="1755" t="s">
        <v>3418</v>
      </c>
      <c r="H17" s="387"/>
      <c r="I17" s="1755" t="s">
        <v>3418</v>
      </c>
      <c r="J17" s="387"/>
      <c r="K17" s="541"/>
      <c r="L17" s="2493"/>
      <c r="M17" s="2488"/>
      <c r="N17" s="2488"/>
      <c r="O17" s="2488"/>
      <c r="P17" s="3390"/>
      <c r="Q17" s="1263"/>
      <c r="R17" s="667"/>
      <c r="S17" s="668"/>
      <c r="T17" s="667"/>
      <c r="U17" s="668"/>
      <c r="V17" s="667"/>
      <c r="W17" s="668"/>
      <c r="X17" s="1265"/>
      <c r="Y17" s="339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t="s">
        <v>3419</v>
      </c>
      <c r="D19" s="389"/>
      <c r="E19" s="1755" t="s">
        <v>3419</v>
      </c>
      <c r="F19" s="392"/>
      <c r="G19" s="1755" t="s">
        <v>3419</v>
      </c>
      <c r="H19" s="387"/>
      <c r="I19" s="1755" t="s">
        <v>3419</v>
      </c>
      <c r="J19" s="387"/>
      <c r="K19" s="1064"/>
      <c r="L19" s="2493"/>
      <c r="M19" s="2488"/>
      <c r="N19" s="2488"/>
      <c r="O19" s="2488"/>
      <c r="P19" s="3390"/>
      <c r="Q19" s="1263"/>
      <c r="R19" s="667"/>
      <c r="S19" s="668"/>
      <c r="T19" s="667"/>
      <c r="U19" s="668"/>
      <c r="V19" s="667"/>
      <c r="W19" s="668"/>
      <c r="X19" s="1265"/>
      <c r="Y19" s="339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t="s">
        <v>3418</v>
      </c>
      <c r="D21" s="387"/>
      <c r="E21" s="386" t="s">
        <v>3418</v>
      </c>
      <c r="F21" s="388"/>
      <c r="G21" s="386" t="s">
        <v>3418</v>
      </c>
      <c r="H21" s="387"/>
      <c r="I21" s="386" t="s">
        <v>3418</v>
      </c>
      <c r="J21" s="387"/>
      <c r="K21" s="541"/>
      <c r="L21" s="2493"/>
      <c r="M21" s="2488"/>
      <c r="N21" s="2488"/>
      <c r="O21" s="2488"/>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3"/>
      <c r="M26" s="2488"/>
      <c r="N26" s="2488"/>
      <c r="O26" s="2488"/>
      <c r="P26" s="3444"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94"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3"/>
      <c r="M28" s="2488">
        <f>1-(2026-E40)/60</f>
        <v>0.8666666666666667</v>
      </c>
      <c r="N28" s="2488"/>
      <c r="O28" s="2488"/>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v>1</v>
      </c>
      <c r="D29" s="374">
        <v>100</v>
      </c>
      <c r="E29" s="411">
        <v>0.86</v>
      </c>
      <c r="F29" s="400">
        <f>LOOKUP(E29,86:86,87:87)-LOOKUP(C29,86:86,87:87)+100</f>
        <v>99</v>
      </c>
      <c r="G29" s="411">
        <v>0.76</v>
      </c>
      <c r="H29" s="400">
        <f>LOOKUP(G29,86:86,87:87)-LOOKUP(C29,86:86,87:87)+100</f>
        <v>98</v>
      </c>
      <c r="I29" s="411">
        <v>0.7</v>
      </c>
      <c r="J29" s="374">
        <f>LOOKUP(I29,86:86,87:87)-LOOKUP(C29,86:86,87:87)+100</f>
        <v>98</v>
      </c>
      <c r="K29" s="538">
        <v>1</v>
      </c>
      <c r="L29" s="2493"/>
      <c r="M29" s="2488">
        <f>1-(2026-2012)/60</f>
        <v>0.76666666666666661</v>
      </c>
      <c r="N29" s="2488"/>
      <c r="O29" s="2488"/>
      <c r="P29" s="3394"/>
      <c r="Q29" s="1263" t="str">
        <f t="shared" si="11"/>
        <v>成新率</v>
      </c>
      <c r="R29" s="667" t="s">
        <v>14</v>
      </c>
      <c r="S29" s="668">
        <f t="shared" si="12"/>
        <v>99</v>
      </c>
      <c r="T29" s="667" t="s">
        <v>14</v>
      </c>
      <c r="U29" s="668">
        <f t="shared" si="13"/>
        <v>98</v>
      </c>
      <c r="V29" s="667" t="s">
        <v>14</v>
      </c>
      <c r="W29" s="668">
        <f t="shared" si="14"/>
        <v>98</v>
      </c>
      <c r="X29" s="1265"/>
      <c r="Y29" s="3394"/>
      <c r="Z29" s="1264" t="str">
        <f t="shared" si="15"/>
        <v>成新率</v>
      </c>
      <c r="AA29" s="1264">
        <f t="shared" si="3"/>
        <v>1.0101010101010102</v>
      </c>
      <c r="AB29" s="1264">
        <f t="shared" si="4"/>
        <v>1.0204081632653061</v>
      </c>
      <c r="AC29" s="1264">
        <f t="shared" si="5"/>
        <v>1.0204081632653061</v>
      </c>
    </row>
    <row r="30" spans="1:29" ht="15">
      <c r="A30" s="577"/>
      <c r="B30" s="119" t="s">
        <v>1840</v>
      </c>
      <c r="C30" s="578" t="s">
        <v>3420</v>
      </c>
      <c r="D30" s="374">
        <v>100</v>
      </c>
      <c r="E30" s="578" t="s">
        <v>3420</v>
      </c>
      <c r="F30" s="400">
        <f>SUMIF(88:88,E30,89:89)-SUMIF(88:88,C30,89:89)+100</f>
        <v>100</v>
      </c>
      <c r="G30" s="578" t="s">
        <v>3420</v>
      </c>
      <c r="H30" s="374">
        <f>SUMIF(88:88,E30,89:89)-SUMIF(88:88,C30,89:89)+100</f>
        <v>100</v>
      </c>
      <c r="I30" s="578" t="s">
        <v>3420</v>
      </c>
      <c r="J30" s="374">
        <f>SUMIF(88:88,E30,89:89)-SUMIF(88:88,C30,89:89)+100</f>
        <v>100</v>
      </c>
      <c r="K30" s="538"/>
      <c r="L30" s="2493"/>
      <c r="M30" s="2488">
        <f>1-(2026-I40)/60</f>
        <v>0.7</v>
      </c>
      <c r="N30" s="2488"/>
      <c r="O30" s="2488"/>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9"/>
      <c r="M31" s="2440"/>
      <c r="N31" s="2440"/>
      <c r="O31" s="2440"/>
      <c r="P31" s="3394"/>
      <c r="Q31" s="530" t="str">
        <f t="shared" si="11"/>
        <v>停车位面积</v>
      </c>
      <c r="R31" s="664" t="s">
        <v>14</v>
      </c>
      <c r="S31" s="665">
        <f t="shared" si="12"/>
        <v>100</v>
      </c>
      <c r="T31" s="664" t="s">
        <v>14</v>
      </c>
      <c r="U31" s="665">
        <f t="shared" si="13"/>
        <v>100</v>
      </c>
      <c r="V31" s="664" t="s">
        <v>14</v>
      </c>
      <c r="W31" s="665">
        <f t="shared" si="14"/>
        <v>100</v>
      </c>
      <c r="X31" s="666"/>
      <c r="Y31" s="3394"/>
      <c r="Z31" s="50" t="str">
        <f t="shared" si="15"/>
        <v>停车位面积</v>
      </c>
      <c r="AA31" s="50">
        <f t="shared" si="3"/>
        <v>1</v>
      </c>
      <c r="AB31" s="50">
        <f t="shared" si="4"/>
        <v>1</v>
      </c>
      <c r="AC31" s="50">
        <f t="shared" si="5"/>
        <v>1</v>
      </c>
    </row>
    <row r="32" spans="1:29" ht="15">
      <c r="A32" s="577"/>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3"/>
      <c r="M32" s="2488"/>
      <c r="N32" s="2488"/>
      <c r="O32" s="2488"/>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3"/>
      <c r="M33" s="2488"/>
      <c r="N33" s="2488"/>
      <c r="O33" s="2488"/>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1" t="s">
        <v>3352</v>
      </c>
      <c r="C37" s="1081" t="s">
        <v>0</v>
      </c>
      <c r="D37" s="418"/>
      <c r="E37" s="419">
        <v>6</v>
      </c>
      <c r="F37" s="420"/>
      <c r="G37" s="421">
        <v>6</v>
      </c>
      <c r="H37" s="422"/>
      <c r="I37" s="419">
        <v>6</v>
      </c>
      <c r="J37" s="422"/>
      <c r="K37" s="545"/>
      <c r="L37" s="2495"/>
      <c r="M37" s="2488"/>
      <c r="N37" s="2488"/>
      <c r="O37" s="2488"/>
      <c r="P37" s="3387" t="str">
        <f>A37</f>
        <v>成交单价</v>
      </c>
      <c r="Q37" s="3387"/>
      <c r="R37" s="3388">
        <f>E37</f>
        <v>6</v>
      </c>
      <c r="S37" s="3388"/>
      <c r="T37" s="3388">
        <f>G37</f>
        <v>6</v>
      </c>
      <c r="U37" s="3388"/>
      <c r="V37" s="3388">
        <f>I37</f>
        <v>6</v>
      </c>
      <c r="W37" s="3388"/>
      <c r="X37" s="385"/>
      <c r="Y37" s="673"/>
      <c r="Z37" s="385"/>
      <c r="AA37" s="385"/>
      <c r="AB37" s="385"/>
      <c r="AC37" s="385"/>
    </row>
    <row r="38" spans="1:29" ht="15.75" thickBot="1">
      <c r="A38" s="423" t="s">
        <v>1709</v>
      </c>
      <c r="B38" s="424" t="str">
        <f>B37</f>
        <v>元/平方米</v>
      </c>
      <c r="C38" s="1082">
        <f>R39</f>
        <v>6</v>
      </c>
      <c r="D38" s="2141" t="s">
        <v>2138</v>
      </c>
      <c r="E38" s="1083">
        <f>R38</f>
        <v>6</v>
      </c>
      <c r="F38" s="2142"/>
      <c r="G38" s="1082">
        <f>T38</f>
        <v>6</v>
      </c>
      <c r="H38" s="2142"/>
      <c r="I38" s="1083">
        <f>V38</f>
        <v>6</v>
      </c>
      <c r="J38" s="2142"/>
      <c r="K38" s="2144">
        <f>F38+H38+J38</f>
        <v>0</v>
      </c>
      <c r="L38" s="2495"/>
      <c r="M38" s="2488"/>
      <c r="N38" s="2488"/>
      <c r="O38" s="2488"/>
      <c r="P38" s="3387" t="str">
        <f>A38</f>
        <v>比较价值（元/平方米）</v>
      </c>
      <c r="Q38" s="3387"/>
      <c r="R38" s="3388">
        <f>IF(F1="售价",ROUND(PRODUCT(R37,AA7:AA36),0),ROUND(PRODUCT(R37,AA7:AA36),1))</f>
        <v>6</v>
      </c>
      <c r="S38" s="3388"/>
      <c r="T38" s="3388">
        <f>IF(F1="售价",ROUND(PRODUCT(T37,AB7:AB36),0),ROUND(PRODUCT(T37,AB7:AB36),1))</f>
        <v>6</v>
      </c>
      <c r="U38" s="3388"/>
      <c r="V38" s="3388">
        <f>IF(F1="售价",ROUND(PRODUCT(V37,AC7:AC36),0),ROUND(PRODUCT(V37,AC7:AC36),1))</f>
        <v>6</v>
      </c>
      <c r="W38" s="3388"/>
      <c r="X38" s="385"/>
      <c r="Y38" s="385"/>
      <c r="Z38" s="385"/>
      <c r="AA38" s="385"/>
      <c r="AB38" s="385"/>
      <c r="AC38" s="385"/>
    </row>
    <row r="39" spans="1:29" ht="15.75" thickBot="1">
      <c r="A39" s="427" t="s">
        <v>1846</v>
      </c>
      <c r="B39" s="428"/>
      <c r="C39" s="351">
        <f>R39</f>
        <v>6</v>
      </c>
      <c r="D39" s="351"/>
      <c r="E39" s="351"/>
      <c r="F39" s="351"/>
      <c r="G39" s="351"/>
      <c r="H39" s="351"/>
      <c r="I39" s="351"/>
      <c r="J39" s="351"/>
      <c r="K39" s="546"/>
      <c r="L39" s="2495"/>
      <c r="M39" s="2488"/>
      <c r="N39" s="2488"/>
      <c r="O39" s="2488"/>
      <c r="P39" s="3384" t="str">
        <f>A39</f>
        <v>估价对象XX用房的比较价值（楼面单价，元/平方米）</v>
      </c>
      <c r="Q39" s="3385"/>
      <c r="R39" s="3445">
        <f>IF(F1="售价",ROUND(IF(D38="简单平均",AVERAGE(R38:W38),R38*F38+T38*H38+V38*J38),0),ROUND(IF(D38="简单平均",AVERAGE(R38:V38),R38*F38+T38*H38+V38*J38),1))</f>
        <v>6</v>
      </c>
      <c r="S39" s="3445"/>
      <c r="T39" s="3445"/>
      <c r="U39" s="3445"/>
      <c r="V39" s="3445"/>
      <c r="W39" s="3445"/>
      <c r="X39" s="385"/>
      <c r="Y39" s="385"/>
      <c r="Z39" s="385"/>
      <c r="AA39" s="385"/>
      <c r="AB39" s="385"/>
      <c r="AC39" s="385"/>
    </row>
    <row r="40" spans="1:29">
      <c r="A40" s="2488"/>
      <c r="B40" s="2488"/>
      <c r="C40" s="2488"/>
      <c r="D40" s="2488"/>
      <c r="E40" s="2488">
        <v>2018</v>
      </c>
      <c r="F40" s="2488"/>
      <c r="G40" s="2499">
        <v>20.12</v>
      </c>
      <c r="H40" s="2488"/>
      <c r="I40" s="2488">
        <v>2008</v>
      </c>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1711</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1712</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1713</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1714</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1679</v>
      </c>
      <c r="B48" s="441"/>
      <c r="C48" s="1103" t="str">
        <f>YEAR(C7)&amp;"-"&amp;MONTH(C7)</f>
        <v>2026-3</v>
      </c>
      <c r="D48" s="1104">
        <f>EDATE(C48,-1)</f>
        <v>46054</v>
      </c>
      <c r="E48" s="1104">
        <f t="shared" ref="E48:O48" si="16">EDATE(D48,-1)</f>
        <v>46023</v>
      </c>
      <c r="F48" s="1104">
        <f t="shared" si="16"/>
        <v>45992</v>
      </c>
      <c r="G48" s="1104">
        <f t="shared" si="16"/>
        <v>45962</v>
      </c>
      <c r="H48" s="1104">
        <f t="shared" si="16"/>
        <v>45931</v>
      </c>
      <c r="I48" s="1104">
        <f t="shared" si="16"/>
        <v>45901</v>
      </c>
      <c r="J48" s="1104">
        <f t="shared" si="16"/>
        <v>45870</v>
      </c>
      <c r="K48" s="1104">
        <f t="shared" si="16"/>
        <v>45839</v>
      </c>
      <c r="L48" s="1104">
        <f t="shared" si="16"/>
        <v>45809</v>
      </c>
      <c r="M48" s="1104">
        <f t="shared" si="16"/>
        <v>45778</v>
      </c>
      <c r="N48" s="1104">
        <f t="shared" si="16"/>
        <v>45748</v>
      </c>
      <c r="O48" s="1104">
        <f t="shared" si="16"/>
        <v>45717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1718</v>
      </c>
      <c r="D51" s="3172" t="s">
        <v>3436</v>
      </c>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v>105</v>
      </c>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3171" t="s">
        <v>3422</v>
      </c>
      <c r="D83" s="3171" t="s">
        <v>3424</v>
      </c>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3170" t="s">
        <v>3421</v>
      </c>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20</v>
      </c>
      <c r="E91" s="6">
        <v>30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3171" t="s">
        <v>3428</v>
      </c>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3170" t="s">
        <v>3426</v>
      </c>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3"/>
    <mergeCell ref="Y9:Y13"/>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3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E1" xr:uid="{AB63D903-E26D-41D1-951B-AE6361B57F36}">
      <formula1>"项目模式,单套模式"</formula1>
    </dataValidation>
    <dataValidation type="list" allowBlank="1" showInputMessage="1" showErrorMessage="1" sqref="D38" xr:uid="{FAF9573A-F2BD-43D0-89F1-031966147F44}">
      <formula1>"简单平均,加权平均"</formula1>
    </dataValidation>
    <dataValidation type="list" allowBlank="1" showInputMessage="1" showErrorMessage="1" sqref="F2" xr:uid="{64FE9605-4BFE-4E9A-9227-4E1D594F124A}">
      <formula1>估价方法</formula1>
    </dataValidation>
    <dataValidation type="list" allowBlank="1" showInputMessage="1" showErrorMessage="1" sqref="C2" xr:uid="{4529294E-DD02-4766-856C-5AA66AB9B9F4}">
      <formula1>"需扣减承租人权益,——"</formula1>
    </dataValidation>
    <dataValidation type="list" allowBlank="1" showInputMessage="1" showErrorMessage="1" sqref="F1" xr:uid="{5D85E6D8-BE9B-460E-B781-31826B0A842F}">
      <formula1>"售价,租金"</formula1>
    </dataValidation>
    <dataValidation type="list" allowBlank="1" showInputMessage="1" showErrorMessage="1" sqref="C19 E19 G19 I19" xr:uid="{420DEB90-7224-46AC-93D1-5A388ACD2061}">
      <formula1>基础设施水平</formula1>
    </dataValidation>
    <dataValidation type="list" allowBlank="1" showInputMessage="1" showErrorMessage="1" sqref="C21 E21 G21 I21" xr:uid="{C9E9DED9-3A8A-475D-86FA-3BA71A244501}">
      <formula1>环境</formula1>
    </dataValidation>
    <dataValidation type="list" allowBlank="1" showInputMessage="1" showErrorMessage="1" sqref="B37" xr:uid="{1A40765F-9160-4D05-B570-61DCB94C0D2F}">
      <formula1>"元/平方米,元/车位"</formula1>
    </dataValidation>
    <dataValidation type="list" allowBlank="1" showInputMessage="1" showErrorMessage="1" sqref="C28 E28 G28 I28" xr:uid="{16BBE852-4215-49BE-BF74-895BDE1420A8}">
      <formula1>车位公共部分装修</formula1>
    </dataValidation>
    <dataValidation type="list" allowBlank="1" showInputMessage="1" showErrorMessage="1" sqref="I26 E26 G26" xr:uid="{E689B007-7E01-4DCE-B325-DE880724D4C9}">
      <formula1>车位配套类型</formula1>
    </dataValidation>
    <dataValidation type="list" allowBlank="1" showInputMessage="1" showErrorMessage="1" sqref="B1" xr:uid="{1FA7E3C6-686A-4C34-99C3-1259D5274467}">
      <formula1>地类判定</formula1>
    </dataValidation>
    <dataValidation type="list" allowBlank="1" showInputMessage="1" showErrorMessage="1" sqref="C33 E33 G33 I33" xr:uid="{4D8D70A5-3A21-4B7F-A6E2-A8BCA13896DF}">
      <formula1>是否直接入户</formula1>
    </dataValidation>
    <dataValidation type="list" allowBlank="1" showInputMessage="1" showErrorMessage="1" sqref="C32 E32 G32 I32" xr:uid="{19043B64-161F-453D-9F7E-D8236C008E79}">
      <formula1>车位类型</formula1>
    </dataValidation>
    <dataValidation type="list" allowBlank="1" showInputMessage="1" showErrorMessage="1" sqref="C30 E30 G30 I30" xr:uid="{1A7EE734-9CBF-4F1A-8630-5305F1C1FC91}">
      <formula1>车位物业等级</formula1>
    </dataValidation>
    <dataValidation type="list" allowBlank="1" showInputMessage="1" showErrorMessage="1" sqref="C22 E22 G22 I22" xr:uid="{5EFA4877-F238-462B-92C7-67E180B9A797}">
      <formula1>车位楼层</formula1>
    </dataValidation>
    <dataValidation type="list" allowBlank="1" showInputMessage="1" showErrorMessage="1" sqref="E9 G9 I9" xr:uid="{31DC31E2-DC25-43BE-9D23-A70864A56379}">
      <formula1>车位用途</formula1>
    </dataValidation>
    <dataValidation type="list" allowBlank="1" showInputMessage="1" showErrorMessage="1" sqref="C8 E8 G8 I8" xr:uid="{2A161D50-C2CE-488F-B2A1-E144C1E171E0}">
      <formula1>车位交易情况</formula1>
    </dataValidation>
    <dataValidation type="list" allowBlank="1" showInputMessage="1" showErrorMessage="1" sqref="G15 E15 C15 I15" xr:uid="{D6E99EE0-0263-4D0A-A70D-0975109E154B}">
      <formula1>交通便捷度</formula1>
    </dataValidation>
    <dataValidation type="list" allowBlank="1" showInputMessage="1" showErrorMessage="1" sqref="G17 C17 E17 I17" xr:uid="{4935B5EC-6DDC-404F-AC19-2B6881C7C9F9}">
      <formula1>公共配套设施</formula1>
    </dataValidation>
    <dataValidation type="list" allowBlank="1" showInputMessage="1" showErrorMessage="1" sqref="D1" xr:uid="{57799E07-B5D5-40A0-8F0F-9FF52EEB34F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5BE8-2BA9-4387-BB62-A8A91604AE92}">
  <dimension ref="A1"/>
  <sheetViews>
    <sheetView workbookViewId="0">
      <selection activeCell="M48" sqref="M48"/>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0"/>
      <c r="Q15" s="1263"/>
      <c r="R15" s="667"/>
      <c r="S15" s="668"/>
      <c r="T15" s="667"/>
      <c r="U15" s="668"/>
      <c r="V15" s="667"/>
      <c r="W15" s="668"/>
      <c r="X15" s="1265"/>
      <c r="Y15" s="339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0"/>
      <c r="Q17" s="1263"/>
      <c r="R17" s="667"/>
      <c r="S17" s="668"/>
      <c r="T17" s="667"/>
      <c r="U17" s="668"/>
      <c r="V17" s="667"/>
      <c r="W17" s="668"/>
      <c r="X17" s="1265"/>
      <c r="Y17" s="339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0"/>
      <c r="Q19" s="1263"/>
      <c r="R19" s="667"/>
      <c r="S19" s="668"/>
      <c r="T19" s="667"/>
      <c r="U19" s="668"/>
      <c r="V19" s="667"/>
      <c r="W19" s="668"/>
      <c r="X19" s="1265"/>
      <c r="Y19" s="339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2026-3</v>
      </c>
      <c r="D46" s="1104">
        <f>EDATE(C46,-1)</f>
        <v>46054</v>
      </c>
      <c r="E46" s="1104">
        <f t="shared" ref="E46:O46" si="16">EDATE(D46,-1)</f>
        <v>46023</v>
      </c>
      <c r="F46" s="1104">
        <f t="shared" si="16"/>
        <v>45992</v>
      </c>
      <c r="G46" s="1104">
        <f t="shared" si="16"/>
        <v>45962</v>
      </c>
      <c r="H46" s="1104">
        <f t="shared" si="16"/>
        <v>45931</v>
      </c>
      <c r="I46" s="1104">
        <f t="shared" si="16"/>
        <v>45901</v>
      </c>
      <c r="J46" s="1104">
        <f t="shared" si="16"/>
        <v>45870</v>
      </c>
      <c r="K46" s="1104">
        <f t="shared" si="16"/>
        <v>45839</v>
      </c>
      <c r="L46" s="1104">
        <f t="shared" si="16"/>
        <v>45809</v>
      </c>
      <c r="M46" s="1104">
        <f t="shared" si="16"/>
        <v>45778</v>
      </c>
      <c r="N46" s="1104">
        <f t="shared" si="16"/>
        <v>45748</v>
      </c>
      <c r="O46" s="1104">
        <f t="shared" si="16"/>
        <v>45717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0"/>
      <c r="Q16" s="1263"/>
      <c r="R16" s="667"/>
      <c r="S16" s="668"/>
      <c r="T16" s="667"/>
      <c r="U16" s="668"/>
      <c r="V16" s="667"/>
      <c r="W16" s="668"/>
      <c r="X16" s="1265"/>
      <c r="Y16" s="339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0"/>
      <c r="Q18" s="1263"/>
      <c r="R18" s="667"/>
      <c r="S18" s="668"/>
      <c r="T18" s="667"/>
      <c r="U18" s="668"/>
      <c r="V18" s="667"/>
      <c r="W18" s="668"/>
      <c r="X18" s="1265"/>
      <c r="Y18" s="339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0"/>
      <c r="Q20" s="1263"/>
      <c r="R20" s="667"/>
      <c r="S20" s="668"/>
      <c r="T20" s="667"/>
      <c r="U20" s="668"/>
      <c r="V20" s="667"/>
      <c r="W20" s="668"/>
      <c r="X20" s="1265"/>
      <c r="Y20" s="339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0"/>
      <c r="Q24" s="1263"/>
      <c r="R24" s="667"/>
      <c r="S24" s="668"/>
      <c r="T24" s="667"/>
      <c r="U24" s="668"/>
      <c r="V24" s="667"/>
      <c r="W24" s="668"/>
      <c r="X24" s="1265"/>
      <c r="Y24" s="339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0"/>
      <c r="Q26" s="1263"/>
      <c r="R26" s="667"/>
      <c r="S26" s="668"/>
      <c r="T26" s="667"/>
      <c r="U26" s="668"/>
      <c r="V26" s="667"/>
      <c r="W26" s="668"/>
      <c r="X26" s="1265"/>
      <c r="Y26" s="339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0"/>
      <c r="Q28" s="530"/>
      <c r="R28" s="664"/>
      <c r="S28" s="665"/>
      <c r="T28" s="664"/>
      <c r="U28" s="665"/>
      <c r="V28" s="664"/>
      <c r="W28" s="665"/>
      <c r="X28" s="666"/>
      <c r="Y28" s="339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4"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7" t="str">
        <f>A47</f>
        <v>比较价值（元/平方米）</v>
      </c>
      <c r="Q47" s="3387"/>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4" t="str">
        <f>A48</f>
        <v>估价对象XX用房的比较价值（楼面单价，元/平方米）</v>
      </c>
      <c r="Q48" s="3385"/>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2"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8"/>
      <c r="H56" s="338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2026-3-1</v>
      </c>
      <c r="D67" s="656">
        <f>EDATE(C67,-3)</f>
        <v>45992</v>
      </c>
      <c r="E67" s="656">
        <f>EDATE(D67,-3)</f>
        <v>45901</v>
      </c>
      <c r="F67" s="656">
        <f t="shared" ref="F67:O67" si="18">EDATE(E67,-3)</f>
        <v>45809</v>
      </c>
      <c r="G67" s="656">
        <f t="shared" si="18"/>
        <v>45717</v>
      </c>
      <c r="H67" s="656">
        <f t="shared" si="18"/>
        <v>45627</v>
      </c>
      <c r="I67" s="656">
        <f t="shared" si="18"/>
        <v>45536</v>
      </c>
      <c r="J67" s="656">
        <f t="shared" si="18"/>
        <v>45444</v>
      </c>
      <c r="K67" s="656">
        <f t="shared" si="18"/>
        <v>45352</v>
      </c>
      <c r="L67" s="656">
        <f t="shared" si="18"/>
        <v>45261</v>
      </c>
      <c r="M67" s="656">
        <f t="shared" si="18"/>
        <v>45170</v>
      </c>
      <c r="N67" s="656">
        <f t="shared" si="18"/>
        <v>45078</v>
      </c>
      <c r="O67" s="656">
        <f t="shared" si="18"/>
        <v>44986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2026-1</v>
      </c>
      <c r="D69" s="1101" t="str">
        <f>YEAR(D67)&amp;"-"&amp;ROUNDUP(MONTH(D67)/3,0)</f>
        <v>2025-4</v>
      </c>
      <c r="E69" s="1101" t="str">
        <f t="shared" ref="E69:O69" si="19">YEAR(E67)&amp;"-"&amp;ROUNDUP(MONTH(E67)/3,0)</f>
        <v>2025-3</v>
      </c>
      <c r="F69" s="1101" t="str">
        <f t="shared" si="19"/>
        <v>2025-2</v>
      </c>
      <c r="G69" s="1101" t="str">
        <f t="shared" si="19"/>
        <v>2025-1</v>
      </c>
      <c r="H69" s="1101" t="str">
        <f t="shared" si="19"/>
        <v>2024-4</v>
      </c>
      <c r="I69" s="1101" t="str">
        <f t="shared" si="19"/>
        <v>2024-3</v>
      </c>
      <c r="J69" s="1101" t="str">
        <f t="shared" si="19"/>
        <v>2024-2</v>
      </c>
      <c r="K69" s="1101" t="str">
        <f t="shared" si="19"/>
        <v>2024-1</v>
      </c>
      <c r="L69" s="1101" t="str">
        <f t="shared" si="19"/>
        <v>2023-4</v>
      </c>
      <c r="M69" s="1101" t="str">
        <f t="shared" si="19"/>
        <v>2023-3</v>
      </c>
      <c r="N69" s="1101" t="str">
        <f t="shared" si="19"/>
        <v>2023-2</v>
      </c>
      <c r="O69" s="1101" t="str">
        <f t="shared" si="19"/>
        <v>2023-1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46083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0"/>
      <c r="Q16" s="1263"/>
      <c r="R16" s="667"/>
      <c r="S16" s="668"/>
      <c r="T16" s="667"/>
      <c r="U16" s="668"/>
      <c r="V16" s="667"/>
      <c r="W16" s="668"/>
      <c r="X16" s="1265"/>
      <c r="Y16" s="339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0"/>
      <c r="Q18" s="1263"/>
      <c r="R18" s="667"/>
      <c r="S18" s="668"/>
      <c r="T18" s="667"/>
      <c r="U18" s="668"/>
      <c r="V18" s="667"/>
      <c r="W18" s="668"/>
      <c r="X18" s="1265"/>
      <c r="Y18" s="339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0"/>
      <c r="Q20" s="1263"/>
      <c r="R20" s="667"/>
      <c r="S20" s="668"/>
      <c r="T20" s="667"/>
      <c r="U20" s="668"/>
      <c r="V20" s="667"/>
      <c r="W20" s="668"/>
      <c r="X20" s="1265"/>
      <c r="Y20" s="339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0"/>
      <c r="Q22" s="1263"/>
      <c r="R22" s="667"/>
      <c r="S22" s="668"/>
      <c r="T22" s="667"/>
      <c r="U22" s="668"/>
      <c r="V22" s="667"/>
      <c r="W22" s="668"/>
      <c r="X22" s="1265"/>
      <c r="Y22" s="339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0"/>
      <c r="Q24" s="530"/>
      <c r="R24" s="664"/>
      <c r="S24" s="665"/>
      <c r="T24" s="664"/>
      <c r="U24" s="665"/>
      <c r="V24" s="664"/>
      <c r="W24" s="665"/>
      <c r="X24" s="666"/>
      <c r="Y24" s="339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4"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7" t="str">
        <f>A42</f>
        <v>比较价值（元/平方米）</v>
      </c>
      <c r="Q42" s="3387"/>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4" t="str">
        <f>A43</f>
        <v>估价对象XX用房的比较价值（楼面单价，元/平方米）</v>
      </c>
      <c r="Q43" s="3385"/>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2"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8"/>
      <c r="H51" s="338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2026-3-1</v>
      </c>
      <c r="D63" s="656">
        <f>EDATE(C63,-3)</f>
        <v>45992</v>
      </c>
      <c r="E63" s="656">
        <f>EDATE(D63,-3)</f>
        <v>45901</v>
      </c>
      <c r="F63" s="656">
        <f t="shared" ref="F63:O63" si="18">EDATE(E63,-3)</f>
        <v>45809</v>
      </c>
      <c r="G63" s="656">
        <f t="shared" si="18"/>
        <v>45717</v>
      </c>
      <c r="H63" s="656">
        <f t="shared" si="18"/>
        <v>45627</v>
      </c>
      <c r="I63" s="656">
        <f t="shared" si="18"/>
        <v>45536</v>
      </c>
      <c r="J63" s="656">
        <f t="shared" si="18"/>
        <v>45444</v>
      </c>
      <c r="K63" s="656">
        <f t="shared" si="18"/>
        <v>45352</v>
      </c>
      <c r="L63" s="656">
        <f t="shared" si="18"/>
        <v>45261</v>
      </c>
      <c r="M63" s="656">
        <f t="shared" si="18"/>
        <v>45170</v>
      </c>
      <c r="N63" s="656">
        <f t="shared" si="18"/>
        <v>45078</v>
      </c>
      <c r="O63" s="656">
        <f t="shared" si="18"/>
        <v>44986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2026-1</v>
      </c>
      <c r="D65" s="1101" t="str">
        <f t="shared" ref="D65:O65" si="19">YEAR(D63)&amp;"-"&amp;ROUNDUP(MONTH(D63)/3,0)</f>
        <v>2025-4</v>
      </c>
      <c r="E65" s="1101" t="str">
        <f t="shared" si="19"/>
        <v>2025-3</v>
      </c>
      <c r="F65" s="1101" t="str">
        <f t="shared" si="19"/>
        <v>2025-2</v>
      </c>
      <c r="G65" s="1101" t="str">
        <f t="shared" si="19"/>
        <v>2025-1</v>
      </c>
      <c r="H65" s="1101" t="str">
        <f t="shared" si="19"/>
        <v>2024-4</v>
      </c>
      <c r="I65" s="1101" t="str">
        <f t="shared" si="19"/>
        <v>2024-3</v>
      </c>
      <c r="J65" s="1101" t="str">
        <f t="shared" si="19"/>
        <v>2024-2</v>
      </c>
      <c r="K65" s="1101" t="str">
        <f t="shared" si="19"/>
        <v>2024-1</v>
      </c>
      <c r="L65" s="1101" t="str">
        <f t="shared" si="19"/>
        <v>2023-4</v>
      </c>
      <c r="M65" s="1101" t="str">
        <f t="shared" si="19"/>
        <v>2023-3</v>
      </c>
      <c r="N65" s="1101" t="str">
        <f t="shared" si="19"/>
        <v>2023-2</v>
      </c>
      <c r="O65" s="1101" t="str">
        <f t="shared" si="19"/>
        <v>2023-1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3254</v>
      </c>
      <c r="B20" s="159" t="s">
        <v>1994</v>
      </c>
      <c r="C20" s="3032" t="e">
        <f>ROUND(IF(F21="与级别开发程度一致",0,(G21-E21)/C21),0)</f>
        <v>#DIV/0!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46083</v>
      </c>
      <c r="H23" s="3049"/>
      <c r="I23" s="3050" t="str">
        <f>IF(H23="季度增幅（自定义）",SUMIF(N25:N28,E2,O25:O28),"")</f>
        <v/>
      </c>
      <c r="J23" s="3142"/>
      <c r="K23" s="1061"/>
      <c r="L23" s="1897" t="s">
        <v>2004</v>
      </c>
      <c r="M23" s="1241">
        <f>ROUND(SUMIF(地价!B2:G2,E2,地价!B16:G16),0)</f>
        <v>0</v>
      </c>
      <c r="N23" s="1898" t="s">
        <v>2005</v>
      </c>
      <c r="O23" s="719">
        <f>ROUNDDOWN(DATEDIF(E23,G23,"M")/3,0)</f>
        <v>20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4" t="s">
        <v>3292</v>
      </c>
      <c r="B103" s="3474"/>
      <c r="C103" s="3474"/>
      <c r="D103" s="3474"/>
      <c r="E103" s="3474"/>
      <c r="F103" s="3474"/>
      <c r="G103" s="3474"/>
      <c r="H103" s="3474"/>
      <c r="I103" s="3474"/>
      <c r="J103" s="3474"/>
      <c r="K103" s="1667"/>
      <c r="L103" s="1667"/>
      <c r="M103" s="1667"/>
      <c r="N103" s="1667"/>
    </row>
    <row r="104" spans="1:14">
      <c r="A104" s="3475" t="s">
        <v>3293</v>
      </c>
      <c r="B104" s="3475" t="s">
        <v>3294</v>
      </c>
      <c r="C104" s="3091" t="s">
        <v>3295</v>
      </c>
      <c r="D104" s="3092"/>
      <c r="E104" s="3092"/>
      <c r="F104" s="3092"/>
      <c r="G104" s="3092"/>
      <c r="H104" s="3092"/>
      <c r="I104" s="3092"/>
      <c r="J104" s="3093"/>
      <c r="K104" s="3094"/>
      <c r="L104" s="3094"/>
      <c r="M104" s="3094"/>
      <c r="N104" s="3094"/>
    </row>
    <row r="105" spans="1:14">
      <c r="A105" s="3475"/>
      <c r="B105" s="347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3309</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1" t="s">
        <v>2607</v>
      </c>
      <c r="B20" s="3484" t="s">
        <v>2628</v>
      </c>
      <c r="C20" s="3169" t="s">
        <v>2439</v>
      </c>
      <c r="D20" s="3169"/>
      <c r="E20" s="2845">
        <v>1</v>
      </c>
      <c r="F20" s="2846" t="s">
        <v>2440</v>
      </c>
      <c r="G20" s="2846"/>
    </row>
    <row r="21" spans="1:13" ht="19.5" customHeight="1">
      <c r="A21" s="3492"/>
      <c r="B21" s="3480"/>
      <c r="C21" s="2858" t="s">
        <v>2441</v>
      </c>
      <c r="D21" s="2858"/>
      <c r="E21" s="2849">
        <v>1</v>
      </c>
      <c r="F21" s="2846" t="s">
        <v>2442</v>
      </c>
      <c r="G21" s="2846"/>
    </row>
    <row r="22" spans="1:13" ht="19.5" customHeight="1">
      <c r="A22" s="3492"/>
      <c r="B22" s="3480"/>
      <c r="C22" s="2858" t="s">
        <v>2443</v>
      </c>
      <c r="D22" s="2858"/>
      <c r="E22" s="2849">
        <v>0.9</v>
      </c>
      <c r="F22" s="2846" t="s">
        <v>2444</v>
      </c>
      <c r="G22" s="2846"/>
    </row>
    <row r="23" spans="1:13" ht="19.5" customHeight="1">
      <c r="A23" s="3492"/>
      <c r="B23" s="3480"/>
      <c r="C23" s="2858" t="s">
        <v>2445</v>
      </c>
      <c r="D23" s="2858"/>
      <c r="E23" s="2849">
        <v>0.9</v>
      </c>
      <c r="F23" s="2846" t="s">
        <v>2446</v>
      </c>
      <c r="G23" s="2846"/>
    </row>
    <row r="24" spans="1:13" ht="19.5" customHeight="1">
      <c r="A24" s="3492"/>
      <c r="B24" s="3480"/>
      <c r="C24" s="2858" t="s">
        <v>2447</v>
      </c>
      <c r="D24" s="2858"/>
      <c r="E24" s="2849">
        <v>0.8</v>
      </c>
      <c r="F24" s="2846" t="s">
        <v>2448</v>
      </c>
      <c r="G24" s="2846"/>
    </row>
    <row r="25" spans="1:13" ht="19.5" customHeight="1">
      <c r="A25" s="3492"/>
      <c r="B25" s="3480"/>
      <c r="C25" s="2858" t="s">
        <v>2449</v>
      </c>
      <c r="D25" s="2858"/>
      <c r="E25" s="2849">
        <v>0.8</v>
      </c>
      <c r="F25" s="2846"/>
      <c r="G25" s="2846"/>
    </row>
    <row r="26" spans="1:13" ht="19.5" customHeight="1">
      <c r="A26" s="3492"/>
      <c r="B26" s="3480"/>
      <c r="C26" s="2858" t="s">
        <v>3407</v>
      </c>
      <c r="D26" s="2858"/>
      <c r="E26" s="2849">
        <v>0.43</v>
      </c>
      <c r="F26" s="2846"/>
      <c r="G26" s="2846"/>
    </row>
    <row r="27" spans="1:13" ht="19.5" customHeight="1" thickBot="1">
      <c r="A27" s="3493"/>
      <c r="B27" s="3485"/>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6" t="s">
        <v>2631</v>
      </c>
      <c r="B29" s="3489" t="s">
        <v>2612</v>
      </c>
      <c r="C29" s="2843" t="s">
        <v>2452</v>
      </c>
      <c r="D29" s="2844"/>
      <c r="E29" s="2845">
        <v>1</v>
      </c>
      <c r="F29" s="2846" t="s">
        <v>2453</v>
      </c>
      <c r="G29" s="2846"/>
    </row>
    <row r="30" spans="1:13" ht="19.5" customHeight="1">
      <c r="A30" s="3487"/>
      <c r="B30" s="3483"/>
      <c r="C30" s="2847" t="s">
        <v>2454</v>
      </c>
      <c r="D30" s="2848"/>
      <c r="E30" s="2849">
        <v>1</v>
      </c>
      <c r="F30" s="2846" t="s">
        <v>2455</v>
      </c>
      <c r="G30" s="2846"/>
    </row>
    <row r="31" spans="1:13" ht="19.5" customHeight="1">
      <c r="A31" s="3487"/>
      <c r="B31" s="3483"/>
      <c r="C31" s="2847" t="s">
        <v>2456</v>
      </c>
      <c r="D31" s="2848"/>
      <c r="E31" s="2849">
        <v>0.8</v>
      </c>
      <c r="F31" s="2846" t="s">
        <v>2457</v>
      </c>
      <c r="G31" s="2846"/>
    </row>
    <row r="32" spans="1:13" ht="19.5" customHeight="1">
      <c r="A32" s="3487"/>
      <c r="B32" s="3483"/>
      <c r="C32" s="2847" t="s">
        <v>2458</v>
      </c>
      <c r="D32" s="2848"/>
      <c r="E32" s="2849">
        <v>0.8</v>
      </c>
      <c r="F32" s="2846" t="s">
        <v>2459</v>
      </c>
      <c r="G32" s="2846"/>
    </row>
    <row r="33" spans="1:7" ht="19.5" customHeight="1">
      <c r="A33" s="3487"/>
      <c r="B33" s="3483"/>
      <c r="C33" s="2847" t="s">
        <v>2460</v>
      </c>
      <c r="D33" s="2848"/>
      <c r="E33" s="2849">
        <v>0.8</v>
      </c>
      <c r="F33" s="2846" t="s">
        <v>2461</v>
      </c>
      <c r="G33" s="2846"/>
    </row>
    <row r="34" spans="1:7" ht="19.5" customHeight="1">
      <c r="A34" s="3487"/>
      <c r="B34" s="3483"/>
      <c r="C34" s="2847" t="s">
        <v>2462</v>
      </c>
      <c r="D34" s="2848"/>
      <c r="E34" s="2849">
        <v>0.7</v>
      </c>
      <c r="F34" s="2846" t="s">
        <v>2463</v>
      </c>
      <c r="G34" s="2846"/>
    </row>
    <row r="35" spans="1:7" ht="19.5" customHeight="1">
      <c r="A35" s="3487"/>
      <c r="B35" s="3483"/>
      <c r="C35" s="2847" t="s">
        <v>2464</v>
      </c>
      <c r="D35" s="2848"/>
      <c r="E35" s="2849">
        <v>0.8</v>
      </c>
      <c r="F35" s="2846" t="s">
        <v>2465</v>
      </c>
      <c r="G35" s="2846"/>
    </row>
    <row r="36" spans="1:7" ht="19.5" customHeight="1">
      <c r="A36" s="3487"/>
      <c r="B36" s="3483"/>
      <c r="C36" s="2847" t="s">
        <v>2466</v>
      </c>
      <c r="D36" s="2848"/>
      <c r="E36" s="2849">
        <v>0.6</v>
      </c>
      <c r="F36" s="2846" t="s">
        <v>2467</v>
      </c>
      <c r="G36" s="2846"/>
    </row>
    <row r="37" spans="1:7" ht="19.5" customHeight="1">
      <c r="A37" s="3487"/>
      <c r="B37" s="3483"/>
      <c r="C37" s="2847" t="s">
        <v>2468</v>
      </c>
      <c r="D37" s="2848"/>
      <c r="E37" s="2849">
        <v>0.2</v>
      </c>
      <c r="F37" s="2846" t="s">
        <v>2469</v>
      </c>
      <c r="G37" s="2846"/>
    </row>
    <row r="38" spans="1:7" ht="19.5" customHeight="1">
      <c r="A38" s="3487"/>
      <c r="B38" s="3483"/>
      <c r="C38" s="2847" t="s">
        <v>2470</v>
      </c>
      <c r="D38" s="2848"/>
      <c r="E38" s="2849">
        <v>0.2</v>
      </c>
      <c r="F38" s="2846" t="s">
        <v>2471</v>
      </c>
      <c r="G38" s="2846"/>
    </row>
    <row r="39" spans="1:7" ht="19.5" customHeight="1">
      <c r="A39" s="3487"/>
      <c r="B39" s="3481" t="s">
        <v>2632</v>
      </c>
      <c r="C39" s="2847" t="s">
        <v>2472</v>
      </c>
      <c r="D39" s="2848"/>
      <c r="E39" s="2849">
        <v>0.6</v>
      </c>
      <c r="F39" s="2846" t="s">
        <v>2473</v>
      </c>
      <c r="G39" s="2846"/>
    </row>
    <row r="40" spans="1:7" ht="19.5" customHeight="1">
      <c r="A40" s="3487"/>
      <c r="B40" s="3483"/>
      <c r="C40" s="2847" t="s">
        <v>2474</v>
      </c>
      <c r="D40" s="2848"/>
      <c r="E40" s="2849">
        <v>0.6</v>
      </c>
      <c r="F40" s="2846" t="s">
        <v>2475</v>
      </c>
      <c r="G40" s="2846"/>
    </row>
    <row r="41" spans="1:7" ht="19.5" customHeight="1" thickBot="1">
      <c r="A41" s="3488"/>
      <c r="B41" s="3490"/>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1" t="s">
        <v>2610</v>
      </c>
      <c r="B43" s="3489" t="s">
        <v>2634</v>
      </c>
      <c r="C43" s="2843" t="s">
        <v>2479</v>
      </c>
      <c r="D43" s="2844"/>
      <c r="E43" s="2845">
        <v>1</v>
      </c>
      <c r="F43" s="2846" t="s">
        <v>2480</v>
      </c>
      <c r="G43" s="2846"/>
    </row>
    <row r="44" spans="1:7" ht="19.5" customHeight="1">
      <c r="A44" s="3492"/>
      <c r="B44" s="3483"/>
      <c r="C44" s="2847" t="s">
        <v>2481</v>
      </c>
      <c r="D44" s="2848"/>
      <c r="E44" s="2849">
        <v>1</v>
      </c>
      <c r="F44" s="2846" t="s">
        <v>2482</v>
      </c>
      <c r="G44" s="2846"/>
    </row>
    <row r="45" spans="1:7" ht="19.5" customHeight="1">
      <c r="A45" s="3492"/>
      <c r="B45" s="3482"/>
      <c r="C45" s="2847" t="s">
        <v>2483</v>
      </c>
      <c r="D45" s="2848"/>
      <c r="E45" s="2849">
        <v>1.5</v>
      </c>
      <c r="F45" s="2846" t="s">
        <v>2484</v>
      </c>
      <c r="G45" s="2846"/>
    </row>
    <row r="46" spans="1:7" ht="19.5" customHeight="1">
      <c r="A46" s="3492"/>
      <c r="B46" s="2858" t="s">
        <v>2635</v>
      </c>
      <c r="C46" s="2847" t="s">
        <v>2636</v>
      </c>
      <c r="D46" s="2848"/>
      <c r="E46" s="2849">
        <v>2</v>
      </c>
      <c r="F46" s="2846" t="s">
        <v>2485</v>
      </c>
      <c r="G46" s="2846"/>
    </row>
    <row r="47" spans="1:7" ht="19.5" customHeight="1">
      <c r="A47" s="3492"/>
      <c r="B47" s="3481" t="s">
        <v>2637</v>
      </c>
      <c r="C47" s="2847" t="s">
        <v>2486</v>
      </c>
      <c r="D47" s="2848"/>
      <c r="E47" s="2849">
        <v>1</v>
      </c>
      <c r="F47" s="2846" t="s">
        <v>2487</v>
      </c>
      <c r="G47" s="2846"/>
    </row>
    <row r="48" spans="1:7" ht="19.5" customHeight="1">
      <c r="A48" s="3492"/>
      <c r="B48" s="3483"/>
      <c r="C48" s="2847" t="s">
        <v>2488</v>
      </c>
      <c r="D48" s="2848"/>
      <c r="E48" s="2849">
        <v>1</v>
      </c>
      <c r="F48" s="2846" t="s">
        <v>2489</v>
      </c>
      <c r="G48" s="2846"/>
    </row>
    <row r="49" spans="1:7" ht="19.5" customHeight="1">
      <c r="A49" s="3492"/>
      <c r="B49" s="3483"/>
      <c r="C49" s="2847" t="s">
        <v>2490</v>
      </c>
      <c r="D49" s="2848"/>
      <c r="E49" s="2849">
        <v>1</v>
      </c>
      <c r="F49" s="2846" t="s">
        <v>2491</v>
      </c>
      <c r="G49" s="2846"/>
    </row>
    <row r="50" spans="1:7" ht="19.5" customHeight="1">
      <c r="A50" s="3492"/>
      <c r="B50" s="3483"/>
      <c r="C50" s="2847" t="s">
        <v>2492</v>
      </c>
      <c r="D50" s="2848"/>
      <c r="E50" s="2849">
        <v>1</v>
      </c>
      <c r="F50" s="2846" t="s">
        <v>2493</v>
      </c>
      <c r="G50" s="2846"/>
    </row>
    <row r="51" spans="1:7" ht="19.5" customHeight="1">
      <c r="A51" s="3492"/>
      <c r="B51" s="3483"/>
      <c r="C51" s="2847" t="s">
        <v>2494</v>
      </c>
      <c r="D51" s="2848"/>
      <c r="E51" s="2849">
        <v>1</v>
      </c>
      <c r="F51" s="2846" t="s">
        <v>2495</v>
      </c>
      <c r="G51" s="2846"/>
    </row>
    <row r="52" spans="1:7" ht="19.5" customHeight="1">
      <c r="A52" s="3492"/>
      <c r="B52" s="3483"/>
      <c r="C52" s="2847" t="s">
        <v>2496</v>
      </c>
      <c r="D52" s="2848"/>
      <c r="E52" s="2849">
        <v>1</v>
      </c>
      <c r="F52" s="2846" t="s">
        <v>2497</v>
      </c>
      <c r="G52" s="2846"/>
    </row>
    <row r="53" spans="1:7" ht="19.5" customHeight="1" thickBot="1">
      <c r="A53" s="3493"/>
      <c r="B53" s="3490"/>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1" t="s">
        <v>2651</v>
      </c>
      <c r="C75" s="2832" t="s">
        <v>2652</v>
      </c>
      <c r="D75" s="2832" t="s">
        <v>2653</v>
      </c>
      <c r="E75" s="2858">
        <v>0.2</v>
      </c>
      <c r="F75" s="2858">
        <v>25</v>
      </c>
    </row>
    <row r="76" spans="1:7" ht="24">
      <c r="A76" s="2858">
        <v>2</v>
      </c>
      <c r="B76" s="3483"/>
      <c r="C76" s="2832" t="s">
        <v>2654</v>
      </c>
      <c r="D76" s="2832" t="s">
        <v>2655</v>
      </c>
      <c r="E76" s="2858">
        <v>0.2</v>
      </c>
      <c r="F76" s="2858">
        <v>25</v>
      </c>
    </row>
    <row r="77" spans="1:7" ht="24">
      <c r="A77" s="2858">
        <v>3</v>
      </c>
      <c r="B77" s="3483"/>
      <c r="C77" s="2832" t="s">
        <v>2656</v>
      </c>
      <c r="D77" s="2832" t="s">
        <v>2657</v>
      </c>
      <c r="E77" s="2858">
        <v>0.2</v>
      </c>
      <c r="F77" s="2858">
        <v>25</v>
      </c>
    </row>
    <row r="78" spans="1:7" ht="13.5">
      <c r="A78" s="2858">
        <v>4</v>
      </c>
      <c r="B78" s="3483"/>
      <c r="C78" s="2832" t="s">
        <v>2658</v>
      </c>
      <c r="D78" s="2832" t="s">
        <v>2659</v>
      </c>
      <c r="E78" s="2858">
        <v>0.15</v>
      </c>
      <c r="F78" s="2858">
        <v>20</v>
      </c>
    </row>
    <row r="79" spans="1:7" ht="24">
      <c r="A79" s="2858">
        <v>5</v>
      </c>
      <c r="B79" s="3483"/>
      <c r="C79" s="2832" t="s">
        <v>2660</v>
      </c>
      <c r="D79" s="2832" t="s">
        <v>2661</v>
      </c>
      <c r="E79" s="2858">
        <v>0.15</v>
      </c>
      <c r="F79" s="2858">
        <v>20</v>
      </c>
    </row>
    <row r="80" spans="1:7" ht="24">
      <c r="A80" s="2858">
        <v>6</v>
      </c>
      <c r="B80" s="3483"/>
      <c r="C80" s="2832" t="s">
        <v>2662</v>
      </c>
      <c r="D80" s="2832" t="s">
        <v>2663</v>
      </c>
      <c r="E80" s="2858">
        <v>0.15</v>
      </c>
      <c r="F80" s="2858">
        <v>20</v>
      </c>
    </row>
    <row r="81" spans="1:6" ht="24">
      <c r="A81" s="2858">
        <v>7</v>
      </c>
      <c r="B81" s="3483"/>
      <c r="C81" s="2832" t="s">
        <v>2664</v>
      </c>
      <c r="D81" s="2832" t="s">
        <v>2665</v>
      </c>
      <c r="E81" s="2858">
        <v>0.15</v>
      </c>
      <c r="F81" s="2858">
        <v>20</v>
      </c>
    </row>
    <row r="82" spans="1:6" ht="24">
      <c r="A82" s="2858">
        <v>8</v>
      </c>
      <c r="B82" s="3483"/>
      <c r="C82" s="2832" t="s">
        <v>2666</v>
      </c>
      <c r="D82" s="2832" t="s">
        <v>2667</v>
      </c>
      <c r="E82" s="2858">
        <v>0.1</v>
      </c>
      <c r="F82" s="2858">
        <v>15</v>
      </c>
    </row>
    <row r="83" spans="1:6" ht="24">
      <c r="A83" s="2858">
        <v>9</v>
      </c>
      <c r="B83" s="3483"/>
      <c r="C83" s="2832" t="s">
        <v>2668</v>
      </c>
      <c r="D83" s="2832" t="s">
        <v>2669</v>
      </c>
      <c r="E83" s="2858">
        <v>0.1</v>
      </c>
      <c r="F83" s="2858">
        <v>15</v>
      </c>
    </row>
    <row r="84" spans="1:6" ht="24">
      <c r="A84" s="2858">
        <v>10</v>
      </c>
      <c r="B84" s="3483"/>
      <c r="C84" s="2832" t="s">
        <v>2670</v>
      </c>
      <c r="D84" s="2832" t="s">
        <v>2671</v>
      </c>
      <c r="E84" s="2858">
        <v>0.1</v>
      </c>
      <c r="F84" s="2858">
        <v>15</v>
      </c>
    </row>
    <row r="85" spans="1:6" ht="24">
      <c r="A85" s="2858">
        <v>11</v>
      </c>
      <c r="B85" s="3483"/>
      <c r="C85" s="2832" t="s">
        <v>2672</v>
      </c>
      <c r="D85" s="2832" t="s">
        <v>2673</v>
      </c>
      <c r="E85" s="2858">
        <v>0.1</v>
      </c>
      <c r="F85" s="2858">
        <v>15</v>
      </c>
    </row>
    <row r="86" spans="1:6" ht="24">
      <c r="A86" s="2858">
        <v>12</v>
      </c>
      <c r="B86" s="3483"/>
      <c r="C86" s="2832" t="s">
        <v>2674</v>
      </c>
      <c r="D86" s="2832" t="s">
        <v>2675</v>
      </c>
      <c r="E86" s="2858">
        <v>0.1</v>
      </c>
      <c r="F86" s="2858">
        <v>15</v>
      </c>
    </row>
    <row r="87" spans="1:6" ht="13.5">
      <c r="A87" s="2858">
        <v>13</v>
      </c>
      <c r="B87" s="3483"/>
      <c r="C87" s="2832" t="s">
        <v>2676</v>
      </c>
      <c r="D87" s="2832" t="s">
        <v>2677</v>
      </c>
      <c r="E87" s="2858">
        <v>0.1</v>
      </c>
      <c r="F87" s="2858">
        <v>15</v>
      </c>
    </row>
    <row r="88" spans="1:6" ht="13.5">
      <c r="A88" s="2858">
        <v>14</v>
      </c>
      <c r="B88" s="3483"/>
      <c r="C88" s="2832" t="s">
        <v>2678</v>
      </c>
      <c r="D88" s="2832" t="s">
        <v>2679</v>
      </c>
      <c r="E88" s="2858">
        <v>0.1</v>
      </c>
      <c r="F88" s="2858">
        <v>15</v>
      </c>
    </row>
    <row r="89" spans="1:6" ht="13.5">
      <c r="A89" s="2858">
        <v>15</v>
      </c>
      <c r="B89" s="3483"/>
      <c r="C89" s="2832" t="s">
        <v>2680</v>
      </c>
      <c r="D89" s="2832" t="s">
        <v>2681</v>
      </c>
      <c r="E89" s="2858">
        <v>0.1</v>
      </c>
      <c r="F89" s="2858">
        <v>15</v>
      </c>
    </row>
    <row r="90" spans="1:6" ht="24">
      <c r="A90" s="2858">
        <v>16</v>
      </c>
      <c r="B90" s="3483"/>
      <c r="C90" s="2832" t="s">
        <v>2682</v>
      </c>
      <c r="D90" s="2832" t="s">
        <v>2683</v>
      </c>
      <c r="E90" s="2858">
        <v>0.1</v>
      </c>
      <c r="F90" s="2858">
        <v>15</v>
      </c>
    </row>
    <row r="91" spans="1:6" ht="24">
      <c r="A91" s="2858">
        <v>17</v>
      </c>
      <c r="B91" s="3482"/>
      <c r="C91" s="2832" t="s">
        <v>2684</v>
      </c>
      <c r="D91" s="2832" t="s">
        <v>2685</v>
      </c>
      <c r="E91" s="2858">
        <v>0.1</v>
      </c>
      <c r="F91" s="2858">
        <v>15</v>
      </c>
    </row>
    <row r="92" spans="1:6" ht="13.5">
      <c r="A92" s="2858">
        <v>18</v>
      </c>
      <c r="B92" s="3481" t="s">
        <v>2686</v>
      </c>
      <c r="C92" s="2832" t="s">
        <v>2687</v>
      </c>
      <c r="D92" s="2832" t="s">
        <v>2688</v>
      </c>
      <c r="E92" s="2858">
        <v>0.2</v>
      </c>
      <c r="F92" s="2858">
        <v>25</v>
      </c>
    </row>
    <row r="93" spans="1:6" ht="24">
      <c r="A93" s="2858">
        <v>19</v>
      </c>
      <c r="B93" s="3483"/>
      <c r="C93" s="2832" t="s">
        <v>2689</v>
      </c>
      <c r="D93" s="2832" t="s">
        <v>2690</v>
      </c>
      <c r="E93" s="2858">
        <v>0.2</v>
      </c>
      <c r="F93" s="2858">
        <v>25</v>
      </c>
    </row>
    <row r="94" spans="1:6" ht="13.5">
      <c r="A94" s="2858">
        <v>20</v>
      </c>
      <c r="B94" s="3483"/>
      <c r="C94" s="2832" t="s">
        <v>2691</v>
      </c>
      <c r="D94" s="2832" t="s">
        <v>2692</v>
      </c>
      <c r="E94" s="2858">
        <v>0.15</v>
      </c>
      <c r="F94" s="2858">
        <v>20</v>
      </c>
    </row>
    <row r="95" spans="1:6" ht="13.5">
      <c r="A95" s="2858">
        <v>21</v>
      </c>
      <c r="B95" s="3483"/>
      <c r="C95" s="2832" t="s">
        <v>2693</v>
      </c>
      <c r="D95" s="2832" t="s">
        <v>2694</v>
      </c>
      <c r="E95" s="2858">
        <v>0.15</v>
      </c>
      <c r="F95" s="2858">
        <v>20</v>
      </c>
    </row>
    <row r="96" spans="1:6" ht="13.5">
      <c r="A96" s="2858">
        <v>22</v>
      </c>
      <c r="B96" s="3483"/>
      <c r="C96" s="2832" t="s">
        <v>2695</v>
      </c>
      <c r="D96" s="2832" t="s">
        <v>2696</v>
      </c>
      <c r="E96" s="2858">
        <v>0.15</v>
      </c>
      <c r="F96" s="2858">
        <v>20</v>
      </c>
    </row>
    <row r="97" spans="1:6" ht="36">
      <c r="A97" s="2858">
        <v>23</v>
      </c>
      <c r="B97" s="3483"/>
      <c r="C97" s="2832" t="s">
        <v>2697</v>
      </c>
      <c r="D97" s="2832" t="s">
        <v>2698</v>
      </c>
      <c r="E97" s="2858">
        <v>0.15</v>
      </c>
      <c r="F97" s="2858">
        <v>20</v>
      </c>
    </row>
    <row r="98" spans="1:6" ht="13.5">
      <c r="A98" s="2858">
        <v>24</v>
      </c>
      <c r="B98" s="3483"/>
      <c r="C98" s="2832" t="s">
        <v>2699</v>
      </c>
      <c r="D98" s="2832" t="s">
        <v>2700</v>
      </c>
      <c r="E98" s="2858">
        <v>0.1</v>
      </c>
      <c r="F98" s="2858">
        <v>15</v>
      </c>
    </row>
    <row r="99" spans="1:6" ht="13.5">
      <c r="A99" s="2858">
        <v>25</v>
      </c>
      <c r="B99" s="3483"/>
      <c r="C99" s="2832" t="s">
        <v>2701</v>
      </c>
      <c r="D99" s="2832" t="s">
        <v>2702</v>
      </c>
      <c r="E99" s="2858">
        <v>0.1</v>
      </c>
      <c r="F99" s="2858">
        <v>15</v>
      </c>
    </row>
    <row r="100" spans="1:6" ht="24">
      <c r="A100" s="2858">
        <v>26</v>
      </c>
      <c r="B100" s="3483"/>
      <c r="C100" s="2832" t="s">
        <v>2703</v>
      </c>
      <c r="D100" s="2832" t="s">
        <v>2704</v>
      </c>
      <c r="E100" s="2858">
        <v>0.1</v>
      </c>
      <c r="F100" s="2858">
        <v>15</v>
      </c>
    </row>
    <row r="101" spans="1:6" ht="24">
      <c r="A101" s="2858">
        <v>27</v>
      </c>
      <c r="B101" s="3483"/>
      <c r="C101" s="2832" t="s">
        <v>2705</v>
      </c>
      <c r="D101" s="2832" t="s">
        <v>2706</v>
      </c>
      <c r="E101" s="2858">
        <v>0.1</v>
      </c>
      <c r="F101" s="2858">
        <v>15</v>
      </c>
    </row>
    <row r="102" spans="1:6" ht="13.5">
      <c r="A102" s="2858">
        <v>28</v>
      </c>
      <c r="B102" s="3483"/>
      <c r="C102" s="2832" t="s">
        <v>2707</v>
      </c>
      <c r="D102" s="2832" t="s">
        <v>2708</v>
      </c>
      <c r="E102" s="2858">
        <v>0.1</v>
      </c>
      <c r="F102" s="2858">
        <v>15</v>
      </c>
    </row>
    <row r="103" spans="1:6" ht="13.5">
      <c r="A103" s="2858">
        <v>29</v>
      </c>
      <c r="B103" s="3483"/>
      <c r="C103" s="2832" t="s">
        <v>2709</v>
      </c>
      <c r="D103" s="2832" t="s">
        <v>2710</v>
      </c>
      <c r="E103" s="2858">
        <v>0.1</v>
      </c>
      <c r="F103" s="2858">
        <v>15</v>
      </c>
    </row>
    <row r="104" spans="1:6" ht="13.5">
      <c r="A104" s="2858">
        <v>30</v>
      </c>
      <c r="B104" s="3483"/>
      <c r="C104" s="2832" t="s">
        <v>2711</v>
      </c>
      <c r="D104" s="2832" t="s">
        <v>2712</v>
      </c>
      <c r="E104" s="2858">
        <v>0.1</v>
      </c>
      <c r="F104" s="2858">
        <v>15</v>
      </c>
    </row>
    <row r="105" spans="1:6" ht="24">
      <c r="A105" s="2858">
        <v>31</v>
      </c>
      <c r="B105" s="3483"/>
      <c r="C105" s="2832" t="s">
        <v>2713</v>
      </c>
      <c r="D105" s="2832" t="s">
        <v>2714</v>
      </c>
      <c r="E105" s="2858">
        <v>0.1</v>
      </c>
      <c r="F105" s="2858">
        <v>15</v>
      </c>
    </row>
    <row r="106" spans="1:6" ht="24">
      <c r="A106" s="2858">
        <v>32</v>
      </c>
      <c r="B106" s="3483"/>
      <c r="C106" s="2832" t="s">
        <v>2715</v>
      </c>
      <c r="D106" s="2832" t="s">
        <v>2716</v>
      </c>
      <c r="E106" s="2858">
        <v>0.1</v>
      </c>
      <c r="F106" s="2858">
        <v>15</v>
      </c>
    </row>
    <row r="107" spans="1:6" ht="24">
      <c r="A107" s="2858">
        <v>33</v>
      </c>
      <c r="B107" s="3483"/>
      <c r="C107" s="2832" t="s">
        <v>2717</v>
      </c>
      <c r="D107" s="2832" t="s">
        <v>2718</v>
      </c>
      <c r="E107" s="2858">
        <v>0.1</v>
      </c>
      <c r="F107" s="2858">
        <v>15</v>
      </c>
    </row>
    <row r="108" spans="1:6" ht="24">
      <c r="A108" s="2858">
        <v>34</v>
      </c>
      <c r="B108" s="3482"/>
      <c r="C108" s="2832" t="s">
        <v>2719</v>
      </c>
      <c r="D108" s="2832" t="s">
        <v>2720</v>
      </c>
      <c r="E108" s="2858">
        <v>0.1</v>
      </c>
      <c r="F108" s="2858">
        <v>15</v>
      </c>
    </row>
    <row r="109" spans="1:6" ht="24">
      <c r="A109" s="2858">
        <v>35</v>
      </c>
      <c r="B109" s="3481" t="s">
        <v>2721</v>
      </c>
      <c r="C109" s="2858" t="s">
        <v>2722</v>
      </c>
      <c r="D109" s="2832" t="s">
        <v>2723</v>
      </c>
      <c r="E109" s="2858">
        <v>0.15</v>
      </c>
      <c r="F109" s="2858">
        <v>20</v>
      </c>
    </row>
    <row r="110" spans="1:6" ht="13.5">
      <c r="A110" s="2858">
        <v>36</v>
      </c>
      <c r="B110" s="3483"/>
      <c r="C110" s="2858" t="s">
        <v>2724</v>
      </c>
      <c r="D110" s="2832" t="s">
        <v>2725</v>
      </c>
      <c r="E110" s="2858">
        <v>0.15</v>
      </c>
      <c r="F110" s="2858">
        <v>20</v>
      </c>
    </row>
    <row r="111" spans="1:6" ht="13.5">
      <c r="A111" s="2858">
        <v>37</v>
      </c>
      <c r="B111" s="3483"/>
      <c r="C111" s="2858" t="s">
        <v>2726</v>
      </c>
      <c r="D111" s="2832" t="s">
        <v>2727</v>
      </c>
      <c r="E111" s="2858">
        <v>0.15</v>
      </c>
      <c r="F111" s="2858">
        <v>20</v>
      </c>
    </row>
    <row r="112" spans="1:6" ht="13.5">
      <c r="A112" s="2858">
        <v>38</v>
      </c>
      <c r="B112" s="3483"/>
      <c r="C112" s="2858" t="s">
        <v>2728</v>
      </c>
      <c r="D112" s="2832" t="s">
        <v>2729</v>
      </c>
      <c r="E112" s="2858">
        <v>0.1</v>
      </c>
      <c r="F112" s="2858">
        <v>15</v>
      </c>
    </row>
    <row r="113" spans="1:6" ht="24">
      <c r="A113" s="2858">
        <v>39</v>
      </c>
      <c r="B113" s="3483"/>
      <c r="C113" s="2858" t="s">
        <v>2730</v>
      </c>
      <c r="D113" s="2832" t="s">
        <v>2731</v>
      </c>
      <c r="E113" s="2858">
        <v>0.1</v>
      </c>
      <c r="F113" s="2858">
        <v>15</v>
      </c>
    </row>
    <row r="114" spans="1:6" ht="24">
      <c r="A114" s="2858">
        <v>40</v>
      </c>
      <c r="B114" s="3482"/>
      <c r="C114" s="2858" t="s">
        <v>2732</v>
      </c>
      <c r="D114" s="2832" t="s">
        <v>2733</v>
      </c>
      <c r="E114" s="2858">
        <v>0.1</v>
      </c>
      <c r="F114" s="2858">
        <v>15</v>
      </c>
    </row>
    <row r="115" spans="1:6" ht="13.5">
      <c r="A115" s="2858">
        <v>41</v>
      </c>
      <c r="B115" s="3480" t="s">
        <v>2734</v>
      </c>
      <c r="C115" s="2858" t="s">
        <v>2735</v>
      </c>
      <c r="D115" s="2832" t="s">
        <v>2736</v>
      </c>
      <c r="E115" s="2858">
        <v>0.1</v>
      </c>
      <c r="F115" s="2858">
        <v>15</v>
      </c>
    </row>
    <row r="116" spans="1:6" ht="13.5">
      <c r="A116" s="2858">
        <v>42</v>
      </c>
      <c r="B116" s="3480"/>
      <c r="C116" s="2858" t="s">
        <v>2737</v>
      </c>
      <c r="D116" s="2832" t="s">
        <v>2738</v>
      </c>
      <c r="E116" s="2858">
        <v>0.1</v>
      </c>
      <c r="F116" s="2858">
        <v>15</v>
      </c>
    </row>
    <row r="117" spans="1:6" ht="24">
      <c r="A117" s="2858">
        <v>43</v>
      </c>
      <c r="B117" s="3480"/>
      <c r="C117" s="2858" t="s">
        <v>2739</v>
      </c>
      <c r="D117" s="2832" t="s">
        <v>2740</v>
      </c>
      <c r="E117" s="2858">
        <v>0.1</v>
      </c>
      <c r="F117" s="2858">
        <v>15</v>
      </c>
    </row>
    <row r="118" spans="1:6" ht="13.5">
      <c r="A118" s="2858">
        <v>44</v>
      </c>
      <c r="B118" s="3481" t="s">
        <v>2741</v>
      </c>
      <c r="C118" s="2858" t="s">
        <v>2742</v>
      </c>
      <c r="D118" s="2832" t="s">
        <v>2743</v>
      </c>
      <c r="E118" s="2858">
        <v>0.1</v>
      </c>
      <c r="F118" s="2858">
        <v>15</v>
      </c>
    </row>
    <row r="119" spans="1:6" ht="24">
      <c r="A119" s="2858">
        <v>45</v>
      </c>
      <c r="B119" s="3482"/>
      <c r="C119" s="2832" t="s">
        <v>2744</v>
      </c>
      <c r="D119" s="2832" t="s">
        <v>2745</v>
      </c>
      <c r="E119" s="2858">
        <v>0.1</v>
      </c>
      <c r="F119" s="2858">
        <v>15</v>
      </c>
    </row>
    <row r="120" spans="1:6" ht="24">
      <c r="A120" s="2858">
        <v>46</v>
      </c>
      <c r="B120" s="3481" t="s">
        <v>2746</v>
      </c>
      <c r="C120" s="2858" t="s">
        <v>2747</v>
      </c>
      <c r="D120" s="2832" t="s">
        <v>2748</v>
      </c>
      <c r="E120" s="2858">
        <v>0.1</v>
      </c>
      <c r="F120" s="2858">
        <v>15</v>
      </c>
    </row>
    <row r="121" spans="1:6" ht="24">
      <c r="A121" s="2858">
        <v>47</v>
      </c>
      <c r="B121" s="3482"/>
      <c r="C121" s="2858" t="s">
        <v>2749</v>
      </c>
      <c r="D121" s="2832" t="s">
        <v>2750</v>
      </c>
      <c r="E121" s="2858">
        <v>0.1</v>
      </c>
      <c r="F121" s="2858">
        <v>15</v>
      </c>
    </row>
    <row r="122" spans="1:6" ht="13.5">
      <c r="A122" s="2858">
        <v>48</v>
      </c>
      <c r="B122" s="3481" t="s">
        <v>2751</v>
      </c>
      <c r="C122" s="2858" t="s">
        <v>2752</v>
      </c>
      <c r="D122" s="2832" t="s">
        <v>2753</v>
      </c>
      <c r="E122" s="2858">
        <v>0.1</v>
      </c>
      <c r="F122" s="2858">
        <v>15</v>
      </c>
    </row>
    <row r="123" spans="1:6" ht="13.5">
      <c r="A123" s="2858">
        <v>49</v>
      </c>
      <c r="B123" s="3482"/>
      <c r="C123" s="2858" t="s">
        <v>2754</v>
      </c>
      <c r="D123" s="2832" t="s">
        <v>2755</v>
      </c>
      <c r="E123" s="2858">
        <v>0.1</v>
      </c>
      <c r="F123" s="2858">
        <v>15</v>
      </c>
    </row>
    <row r="124" spans="1:6" ht="24">
      <c r="A124" s="2858">
        <v>50</v>
      </c>
      <c r="B124" s="3480" t="s">
        <v>2756</v>
      </c>
      <c r="C124" s="2858" t="s">
        <v>2757</v>
      </c>
      <c r="D124" s="2832" t="s">
        <v>2758</v>
      </c>
      <c r="E124" s="2858">
        <v>0.1</v>
      </c>
      <c r="F124" s="2858">
        <v>15</v>
      </c>
    </row>
    <row r="125" spans="1:6" ht="24">
      <c r="A125" s="2858">
        <v>51</v>
      </c>
      <c r="B125" s="3480"/>
      <c r="C125" s="2858" t="s">
        <v>2759</v>
      </c>
      <c r="D125" s="2832" t="s">
        <v>2760</v>
      </c>
      <c r="E125" s="2858">
        <v>0.1</v>
      </c>
      <c r="F125" s="2858">
        <v>15</v>
      </c>
    </row>
    <row r="126" spans="1:6" ht="24">
      <c r="A126" s="2858">
        <v>52</v>
      </c>
      <c r="B126" s="3480" t="s">
        <v>2761</v>
      </c>
      <c r="C126" s="2858" t="s">
        <v>2762</v>
      </c>
      <c r="D126" s="2832" t="s">
        <v>2763</v>
      </c>
      <c r="E126" s="2858">
        <v>0.1</v>
      </c>
      <c r="F126" s="2858">
        <v>15</v>
      </c>
    </row>
    <row r="127" spans="1:6" ht="24">
      <c r="A127" s="2858">
        <v>53</v>
      </c>
      <c r="B127" s="3480"/>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0" t="s">
        <v>2769</v>
      </c>
      <c r="C129" s="2858" t="s">
        <v>2770</v>
      </c>
      <c r="D129" s="2832" t="s">
        <v>2771</v>
      </c>
      <c r="E129" s="2858">
        <v>0.1</v>
      </c>
      <c r="F129" s="2858">
        <v>15</v>
      </c>
    </row>
    <row r="130" spans="1:6" ht="13.5">
      <c r="A130" s="2858">
        <v>56</v>
      </c>
      <c r="B130" s="3480"/>
      <c r="C130" s="2858" t="s">
        <v>2772</v>
      </c>
      <c r="D130" s="2832" t="s">
        <v>2773</v>
      </c>
      <c r="E130" s="2858">
        <v>0.1</v>
      </c>
      <c r="F130" s="2858">
        <v>15</v>
      </c>
    </row>
    <row r="131" spans="1:6" ht="24">
      <c r="A131" s="2858">
        <v>57</v>
      </c>
      <c r="B131" s="3480"/>
      <c r="C131" s="2858" t="s">
        <v>2774</v>
      </c>
      <c r="D131" s="2832" t="s">
        <v>2775</v>
      </c>
      <c r="E131" s="2858">
        <v>0.1</v>
      </c>
      <c r="F131" s="2858">
        <v>15</v>
      </c>
    </row>
    <row r="132" spans="1:6" ht="24">
      <c r="A132" s="2858">
        <v>58</v>
      </c>
      <c r="B132" s="3480" t="s">
        <v>2776</v>
      </c>
      <c r="C132" s="2858" t="s">
        <v>2777</v>
      </c>
      <c r="D132" s="2832" t="s">
        <v>2778</v>
      </c>
      <c r="E132" s="2858">
        <v>0.1</v>
      </c>
      <c r="F132" s="2858">
        <v>15</v>
      </c>
    </row>
    <row r="133" spans="1:6" ht="13.5">
      <c r="A133" s="2858">
        <v>59</v>
      </c>
      <c r="B133" s="3480"/>
      <c r="C133" s="2858" t="s">
        <v>2779</v>
      </c>
      <c r="D133" s="2832" t="s">
        <v>2780</v>
      </c>
      <c r="E133" s="2858">
        <v>0.1</v>
      </c>
      <c r="F133" s="2858">
        <v>15</v>
      </c>
    </row>
    <row r="134" spans="1:6" ht="13.5">
      <c r="A134" s="2858">
        <v>60</v>
      </c>
      <c r="B134" s="3481" t="s">
        <v>2781</v>
      </c>
      <c r="C134" s="2858" t="s">
        <v>2782</v>
      </c>
      <c r="D134" s="2832" t="s">
        <v>2783</v>
      </c>
      <c r="E134" s="2858">
        <v>0.1</v>
      </c>
      <c r="F134" s="2858">
        <v>15</v>
      </c>
    </row>
    <row r="135" spans="1:6" ht="13.5">
      <c r="A135" s="2858">
        <v>61</v>
      </c>
      <c r="B135" s="3482"/>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0" t="s">
        <v>2789</v>
      </c>
      <c r="C137" s="2858" t="s">
        <v>2790</v>
      </c>
      <c r="D137" s="2832" t="s">
        <v>2791</v>
      </c>
      <c r="E137" s="2858">
        <v>0.1</v>
      </c>
      <c r="F137" s="2858">
        <v>15</v>
      </c>
    </row>
    <row r="138" spans="1:6" ht="13.5">
      <c r="A138" s="2858">
        <v>64</v>
      </c>
      <c r="B138" s="3480"/>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t="e">
        <f ca="1">结果表!H101</f>
        <v>#REF!</v>
      </c>
    </row>
    <row r="6" spans="1:5" ht="15.75">
      <c r="B6" s="3175"/>
      <c r="C6" s="1392" t="s">
        <v>911</v>
      </c>
      <c r="D6" s="797" t="e">
        <f ca="1">NUMBERSTRING(INT(D5*10000),2)&amp;"元整"</f>
        <v>#REF!</v>
      </c>
    </row>
    <row r="7" spans="1:5" ht="15.75">
      <c r="B7" s="3180"/>
      <c r="C7" s="1393" t="s">
        <v>912</v>
      </c>
      <c r="D7" s="798" t="e">
        <f ca="1">结果表!H102</f>
        <v>#REF!</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t="e">
        <f ca="1">结果表!H107</f>
        <v>#REF!</v>
      </c>
    </row>
    <row r="14" spans="1:5" ht="15.75">
      <c r="B14" s="3175"/>
      <c r="C14" s="1392" t="s">
        <v>911</v>
      </c>
      <c r="D14" s="797" t="e">
        <f ca="1">NUMBERSTRING(INT(D13*10000),2)&amp;"元整"</f>
        <v>#REF!</v>
      </c>
    </row>
    <row r="15" spans="1:5" ht="15">
      <c r="B15" s="3180"/>
      <c r="C15" s="1393" t="s">
        <v>921</v>
      </c>
      <c r="D15" s="806" t="e">
        <f ca="1">结果表!H108</f>
        <v>#REF!</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5" t="s">
        <v>94</v>
      </c>
    </row>
    <row r="43" spans="1:7" ht="13.5" customHeight="1">
      <c r="A43" s="734" t="s">
        <v>347</v>
      </c>
      <c r="B43" s="207" t="s">
        <v>426</v>
      </c>
      <c r="C43" s="230" t="e">
        <f ca="1">ROUND(IF('数据-取费表'!B22&lt;=1,C39*F22*'数据-取费表'!B21/2,C39*(POWER((1+F22),'数据-取费表'!B21/2)-1)),0)</f>
        <v>#VALUE!</v>
      </c>
      <c r="D43" s="230"/>
      <c r="E43" s="230"/>
      <c r="F43" s="231"/>
      <c r="G43" s="3356"/>
    </row>
    <row r="44" spans="1:7" ht="13.5" customHeight="1">
      <c r="A44" s="734" t="s">
        <v>348</v>
      </c>
      <c r="B44" s="207" t="s">
        <v>428</v>
      </c>
      <c r="C44" s="230" t="e">
        <f ca="1">ROUND(IF('数据-取费表'!B22&lt;=1,C40*F22*'数据-取费表'!B21/2,C40*(POWER((1+F22),'数据-取费表'!B21/2)-1)),4)</f>
        <v>#VALUE!</v>
      </c>
      <c r="D44" s="230"/>
      <c r="E44" s="230"/>
      <c r="F44" s="231"/>
      <c r="G44" s="335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4" t="s">
        <v>3181</v>
      </c>
      <c r="B1" s="349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5" t="s">
        <v>3232</v>
      </c>
      <c r="B1" s="3495"/>
      <c r="C1" s="3495"/>
      <c r="D1" s="3495"/>
      <c r="E1" s="3495"/>
      <c r="F1" s="349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46083</v>
      </c>
      <c r="B1" s="2930" t="s">
        <v>3376</v>
      </c>
      <c r="C1" s="2931"/>
      <c r="D1" s="2931"/>
      <c r="E1" s="2931"/>
      <c r="F1" s="2931"/>
      <c r="G1" s="2931"/>
      <c r="H1" s="2931"/>
      <c r="I1" s="2931"/>
      <c r="J1" s="2897"/>
      <c r="K1" s="2931" t="s">
        <v>454</v>
      </c>
      <c r="L1" s="2931"/>
      <c r="M1" s="2931"/>
      <c r="N1" s="2931"/>
      <c r="O1" s="2931"/>
      <c r="P1" s="2931"/>
      <c r="Q1" s="2897"/>
      <c r="R1" s="3497" t="s">
        <v>456</v>
      </c>
      <c r="S1" s="3498"/>
      <c r="T1" s="3498"/>
      <c r="U1" s="3498"/>
      <c r="V1" s="3498"/>
      <c r="W1" s="3498"/>
      <c r="X1" s="2897"/>
      <c r="Y1" s="3497" t="s">
        <v>457</v>
      </c>
      <c r="Z1" s="3498"/>
      <c r="AA1" s="3498"/>
      <c r="AB1" s="3498"/>
      <c r="AC1" s="3498"/>
      <c r="AD1" s="349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7" t="s">
        <v>2827</v>
      </c>
      <c r="S29" s="3498"/>
      <c r="T29" s="3498"/>
      <c r="U29" s="3498"/>
      <c r="V29" s="3498"/>
      <c r="W29" s="3498"/>
      <c r="X29" s="2897"/>
      <c r="Y29" s="3497" t="s">
        <v>2828</v>
      </c>
      <c r="Z29" s="3498"/>
      <c r="AA29" s="3498"/>
      <c r="AB29" s="3498"/>
      <c r="AC29" s="3498"/>
      <c r="AD29" s="349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0" t="s">
        <v>2839</v>
      </c>
      <c r="B1" s="3510"/>
      <c r="C1" s="3510"/>
      <c r="D1" s="3510"/>
      <c r="E1" s="3510"/>
      <c r="F1" s="3510"/>
      <c r="G1" s="351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46083</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7" t="s">
        <v>927</v>
      </c>
      <c r="B5" s="3187"/>
      <c r="C5" s="3187"/>
      <c r="D5" s="3187" t="e">
        <f ca="1">结果表!D119</f>
        <v>#REF!</v>
      </c>
      <c r="E5" s="3187"/>
      <c r="F5" s="3187" t="e">
        <f ca="1">结果表!F119</f>
        <v>#REF!</v>
      </c>
      <c r="G5" s="3187"/>
      <c r="H5" s="3187" t="e">
        <f ca="1">结果表!H119</f>
        <v>#REF!</v>
      </c>
      <c r="I5" s="3187"/>
    </row>
    <row r="6" spans="1:9" ht="15.75">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房地产抵押价值</v>
      </c>
      <c r="B8" s="3186"/>
      <c r="C8" s="3186"/>
      <c r="D8" s="3186" t="e">
        <f ca="1">结果表!D122</f>
        <v>#REF!</v>
      </c>
      <c r="E8" s="3186"/>
      <c r="F8" s="3186"/>
      <c r="G8" s="3186"/>
      <c r="H8" s="3186"/>
      <c r="I8" s="3186"/>
    </row>
    <row r="9" spans="1:9" ht="15">
      <c r="A9" s="3187" t="s">
        <v>927</v>
      </c>
      <c r="B9" s="3187"/>
      <c r="C9" s="3187"/>
      <c r="D9" s="3187" t="e">
        <f ca="1">结果表!D123</f>
        <v>#REF!</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3" t="str">
        <f>IF(项目基本情况!B8="抵押","3.抵押双方在办理抵押登记手续时，应使用本公司出具的正式《房地产评估报告》，特提醒报告使用者注意。","——")</f>
        <v>——</v>
      </c>
      <c r="B13" s="3198"/>
      <c r="C13" s="3198"/>
      <c r="D13" s="3198"/>
    </row>
    <row r="14" spans="1:4" ht="15.75" customHeight="1">
      <c r="A14" s="3193" t="str">
        <f>IF(项目基本情况!B8="抵押","4.本次评估估价师所知悉的法定优先受偿款情况说明如下：","——")</f>
        <v>——</v>
      </c>
      <c r="B14" s="3198"/>
      <c r="C14" s="3198"/>
      <c r="D14" s="3198"/>
    </row>
    <row r="15" spans="1:4" ht="42" customHeight="1">
      <c r="A15" s="3193" t="str">
        <f>IF(项目基本情况!B8="抵押","（1）"&amp;CONCATENATE(项目基本情况!L20,项目基本情况!L21,项目基本情况!L22),"——")</f>
        <v>——</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46085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比较法-车位月租</vt:lpstr>
      <vt:lpstr>比较法-车位时租</vt:lpstr>
      <vt:lpstr>Sheet1</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'比较法-车位时租'!Print_Area</vt:lpstr>
      <vt:lpstr>'比较法-车位月租'!Print_Area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'比较法-车位时租'!车位公共部分装修</vt:lpstr>
      <vt:lpstr>车位公共部分装修</vt:lpstr>
      <vt:lpstr>'比较法-车位时租'!车位交易情况</vt:lpstr>
      <vt:lpstr>车位交易情况</vt:lpstr>
      <vt:lpstr>'比较法-车位时租'!车位类型</vt:lpstr>
      <vt:lpstr>车位类型</vt:lpstr>
      <vt:lpstr>'比较法-车位时租'!车位楼层</vt:lpstr>
      <vt:lpstr>车位楼层</vt:lpstr>
      <vt:lpstr>'比较法-车位时租'!车位配套类型</vt:lpstr>
      <vt:lpstr>车位配套类型</vt:lpstr>
      <vt:lpstr>'比较法-车位时租'!车位物业等级</vt:lpstr>
      <vt:lpstr>车位物业等级</vt:lpstr>
      <vt:lpstr>'比较法-车位时租'!车位用途</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'比较法-车位时租'!是否直接入户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2026-03-04T06:10:15Z</dcterms:modified>
</cp:coreProperties>
</file>