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70北苑车位租金\"/>
    </mc:Choice>
  </mc:AlternateContent>
  <xr:revisionPtr revIDLastSave="0" documentId="13_ncr:1_{E4F43967-07C4-4242-98D9-E2DD5ABCD8BF}" xr6:coauthVersionLast="47" xr6:coauthVersionMax="47" xr10:uidLastSave="{00000000-0000-0000-0000-000000000000}"/>
  <bookViews>
    <workbookView xWindow="-120" yWindow="-120" windowWidth="38640" windowHeight="21240" tabRatio="899" firstSheet="17"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月租" sheetId="35" r:id="rId30"/>
    <sheet name="比较法-车位时租" sheetId="81" r:id="rId31"/>
    <sheet name="Sheet1" sheetId="80" r:id="rId32"/>
    <sheet name="Sheet2" sheetId="82"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3" hidden="1">'比较法-仓储'!$A$1:$L$37</definedName>
    <definedName name="_xlnm._FilterDatabase" localSheetId="30" hidden="1">'比较法-车位时租'!$A$1:$L$39</definedName>
    <definedName name="_xlnm._FilterDatabase" localSheetId="29" hidden="1">'比较法-车位月租'!$A$1:$L$39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0">'比较法-车位时租'!$A$1:$K$44,'比较法-车位时租'!$A$47:$M$102</definedName>
    <definedName name="_xlnm.Print_Area" localSheetId="29">'比较法-车位月租'!$A$1:$K$44,'比较法-车位月租'!$A$47:$M$102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0">'比较法-车位时租'!$B$83:$M$83</definedName>
    <definedName name="车位公共部分装修">'比较法-车位月租'!$B$83:$M$83</definedName>
    <definedName name="车位交易情况" localSheetId="30">'比较法-车位时租'!$A$51:$M$51</definedName>
    <definedName name="车位交易情况">'比较法-车位月租'!$A$51:$M$51</definedName>
    <definedName name="车位类型" localSheetId="30">'比较法-车位时租'!$B$93:$M$93</definedName>
    <definedName name="车位类型">'比较法-车位月租'!$B$93:$M$93</definedName>
    <definedName name="车位楼层" localSheetId="30">'比较法-车位时租'!$B$71:$M$71</definedName>
    <definedName name="车位楼层">'比较法-车位月租'!$B$71:$M$71</definedName>
    <definedName name="车位配套类型" localSheetId="30">'比较法-车位时租'!$B$79:$M$79</definedName>
    <definedName name="车位配套类型">'比较法-车位月租'!$B$79:$M$79</definedName>
    <definedName name="车位物业等级" localSheetId="30">'比较法-车位时租'!$B$88:$M$88</definedName>
    <definedName name="车位物业等级">'比较法-车位月租'!$B$88:$M$88</definedName>
    <definedName name="车位用途" localSheetId="30">'比较法-车位时租'!$B$53:$M$53</definedName>
    <definedName name="车位用途">'比较法-车位月租'!$B$53:$M$53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30">'比较法-车位时租'!$B$95:$M$95</definedName>
    <definedName name="是否直接入户">'比较法-车位月租'!$B$95:$M$95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3" i="82" l="1"/>
  <c r="E15" i="4"/>
  <c r="J34" i="82"/>
  <c r="M4" i="82"/>
  <c r="M55" i="80"/>
  <c r="M54" i="80"/>
  <c r="M28" i="81"/>
  <c r="B101" i="81"/>
  <c r="B99" i="81"/>
  <c r="B97" i="81"/>
  <c r="H34" i="81" s="1"/>
  <c r="D96" i="81"/>
  <c r="E96" i="81" s="1"/>
  <c r="F96" i="81" s="1"/>
  <c r="G96" i="81" s="1"/>
  <c r="D94" i="81"/>
  <c r="E94" i="81" s="1"/>
  <c r="F94" i="81" s="1"/>
  <c r="G94" i="81" s="1"/>
  <c r="H94" i="81" s="1"/>
  <c r="I94" i="81" s="1"/>
  <c r="J94" i="81" s="1"/>
  <c r="K94" i="81" s="1"/>
  <c r="L94" i="81" s="1"/>
  <c r="M94" i="81" s="1"/>
  <c r="M90" i="81"/>
  <c r="L90" i="81"/>
  <c r="K90" i="81"/>
  <c r="J90" i="81"/>
  <c r="I90" i="81"/>
  <c r="H90" i="81"/>
  <c r="G90" i="81"/>
  <c r="F90" i="81"/>
  <c r="E90" i="81"/>
  <c r="D90" i="81"/>
  <c r="C90" i="81"/>
  <c r="D89" i="81"/>
  <c r="E89" i="81" s="1"/>
  <c r="F89" i="81" s="1"/>
  <c r="G89" i="81" s="1"/>
  <c r="H89" i="81" s="1"/>
  <c r="I89" i="81" s="1"/>
  <c r="J89" i="81" s="1"/>
  <c r="K89" i="81" s="1"/>
  <c r="L89" i="81" s="1"/>
  <c r="M89" i="81" s="1"/>
  <c r="D87" i="81"/>
  <c r="E87" i="81" s="1"/>
  <c r="G85" i="81"/>
  <c r="F85" i="81"/>
  <c r="E85" i="81"/>
  <c r="D85" i="81"/>
  <c r="C85" i="81"/>
  <c r="D84" i="81"/>
  <c r="J28" i="81" s="1"/>
  <c r="W28" i="81" s="1"/>
  <c r="D80" i="81"/>
  <c r="E80" i="81" s="1"/>
  <c r="F80" i="81" s="1"/>
  <c r="G80" i="81" s="1"/>
  <c r="H80" i="81" s="1"/>
  <c r="I80" i="81" s="1"/>
  <c r="J80" i="81" s="1"/>
  <c r="K80" i="81" s="1"/>
  <c r="L80" i="81" s="1"/>
  <c r="M80" i="81" s="1"/>
  <c r="B77" i="81"/>
  <c r="B75" i="81"/>
  <c r="B73" i="81"/>
  <c r="E72" i="81"/>
  <c r="F72" i="81" s="1"/>
  <c r="G72" i="81" s="1"/>
  <c r="D72" i="81"/>
  <c r="E70" i="81"/>
  <c r="F70" i="81" s="1"/>
  <c r="G70" i="81" s="1"/>
  <c r="D70" i="81"/>
  <c r="D68" i="81"/>
  <c r="E68" i="81" s="1"/>
  <c r="F68" i="81" s="1"/>
  <c r="G68" i="81" s="1"/>
  <c r="E66" i="81"/>
  <c r="F66" i="81" s="1"/>
  <c r="G66" i="81" s="1"/>
  <c r="D66" i="81"/>
  <c r="E64" i="81"/>
  <c r="F64" i="81" s="1"/>
  <c r="G64" i="81" s="1"/>
  <c r="D64" i="81"/>
  <c r="B61" i="81"/>
  <c r="B59" i="81"/>
  <c r="B57" i="81"/>
  <c r="C53" i="81"/>
  <c r="I44" i="81"/>
  <c r="J44" i="81" s="1"/>
  <c r="G44" i="81"/>
  <c r="H44" i="81" s="1"/>
  <c r="E44" i="81"/>
  <c r="F44" i="81" s="1"/>
  <c r="P39" i="81"/>
  <c r="P38" i="81"/>
  <c r="K38" i="81"/>
  <c r="B38" i="81"/>
  <c r="V37" i="81"/>
  <c r="T37" i="81"/>
  <c r="R37" i="81"/>
  <c r="P37" i="81"/>
  <c r="Q36" i="81"/>
  <c r="Z36" i="81" s="1"/>
  <c r="J36" i="81"/>
  <c r="AC36" i="81" s="1"/>
  <c r="H36" i="81"/>
  <c r="AB36" i="81" s="1"/>
  <c r="F36" i="81"/>
  <c r="AA36" i="81" s="1"/>
  <c r="Q35" i="81"/>
  <c r="Z35" i="81" s="1"/>
  <c r="J35" i="81"/>
  <c r="AC35" i="81" s="1"/>
  <c r="H35" i="81"/>
  <c r="AB35" i="81" s="1"/>
  <c r="F35" i="81"/>
  <c r="AA35" i="81" s="1"/>
  <c r="Q34" i="81"/>
  <c r="Z34" i="81" s="1"/>
  <c r="J34" i="81"/>
  <c r="W34" i="81" s="1"/>
  <c r="Q33" i="81"/>
  <c r="Z33" i="81" s="1"/>
  <c r="J33" i="81"/>
  <c r="AC33" i="81" s="1"/>
  <c r="H33" i="81"/>
  <c r="U33" i="81" s="1"/>
  <c r="F33" i="81"/>
  <c r="AA33" i="81" s="1"/>
  <c r="Q32" i="81"/>
  <c r="Z32" i="81" s="1"/>
  <c r="J32" i="81"/>
  <c r="AC32" i="81" s="1"/>
  <c r="H32" i="81"/>
  <c r="AB32" i="81" s="1"/>
  <c r="F32" i="81"/>
  <c r="AA32" i="81" s="1"/>
  <c r="Z31" i="81"/>
  <c r="Q31" i="81"/>
  <c r="J31" i="81"/>
  <c r="AC31" i="81" s="1"/>
  <c r="H31" i="81"/>
  <c r="AB31" i="81" s="1"/>
  <c r="F31" i="81"/>
  <c r="AA31" i="81" s="1"/>
  <c r="Q30" i="81"/>
  <c r="Z30" i="81" s="1"/>
  <c r="M30" i="81"/>
  <c r="J30" i="81"/>
  <c r="AC30" i="81" s="1"/>
  <c r="H30" i="81"/>
  <c r="AB30" i="81" s="1"/>
  <c r="F30" i="81"/>
  <c r="AA30" i="81" s="1"/>
  <c r="Q29" i="81"/>
  <c r="Z29" i="81" s="1"/>
  <c r="M29" i="81"/>
  <c r="Q28" i="81"/>
  <c r="Z28" i="81" s="1"/>
  <c r="F28" i="81"/>
  <c r="AA28" i="81" s="1"/>
  <c r="Q27" i="81"/>
  <c r="Z27" i="81" s="1"/>
  <c r="J27" i="81"/>
  <c r="AC27" i="81" s="1"/>
  <c r="H27" i="81"/>
  <c r="AB27" i="81" s="1"/>
  <c r="F27" i="81"/>
  <c r="AA27" i="81" s="1"/>
  <c r="Q26" i="81"/>
  <c r="Z26" i="81" s="1"/>
  <c r="C26" i="81"/>
  <c r="Q25" i="81"/>
  <c r="Z25" i="81" s="1"/>
  <c r="J25" i="81"/>
  <c r="AC25" i="81" s="1"/>
  <c r="H25" i="81"/>
  <c r="U25" i="81" s="1"/>
  <c r="F25" i="81"/>
  <c r="AA25" i="81" s="1"/>
  <c r="S24" i="81"/>
  <c r="Q24" i="81"/>
  <c r="Z24" i="81" s="1"/>
  <c r="F24" i="81"/>
  <c r="AA24" i="81" s="1"/>
  <c r="Q23" i="81"/>
  <c r="Z23" i="81" s="1"/>
  <c r="J23" i="81"/>
  <c r="AC23" i="81" s="1"/>
  <c r="H23" i="81"/>
  <c r="AB23" i="81" s="1"/>
  <c r="F23" i="81"/>
  <c r="AA23" i="81" s="1"/>
  <c r="Q22" i="81"/>
  <c r="Z22" i="81" s="1"/>
  <c r="J22" i="81"/>
  <c r="AC22" i="81" s="1"/>
  <c r="H22" i="81"/>
  <c r="AB22" i="81" s="1"/>
  <c r="F22" i="81"/>
  <c r="AA22" i="81" s="1"/>
  <c r="Q20" i="81"/>
  <c r="Z20" i="81" s="1"/>
  <c r="J20" i="81"/>
  <c r="AC20" i="81" s="1"/>
  <c r="H20" i="81"/>
  <c r="AB20" i="81" s="1"/>
  <c r="F20" i="81"/>
  <c r="AA20" i="81" s="1"/>
  <c r="C20" i="81"/>
  <c r="Q18" i="81"/>
  <c r="Z18" i="81" s="1"/>
  <c r="J18" i="81"/>
  <c r="AC18" i="81" s="1"/>
  <c r="H18" i="81"/>
  <c r="U18" i="81" s="1"/>
  <c r="F18" i="81"/>
  <c r="AA18" i="81" s="1"/>
  <c r="C18" i="81"/>
  <c r="Q16" i="81"/>
  <c r="Z16" i="81" s="1"/>
  <c r="J16" i="81"/>
  <c r="AC16" i="81" s="1"/>
  <c r="H16" i="81"/>
  <c r="AB16" i="81" s="1"/>
  <c r="F16" i="81"/>
  <c r="AA16" i="81" s="1"/>
  <c r="C16" i="81"/>
  <c r="U14" i="81"/>
  <c r="Q14" i="81"/>
  <c r="Z14" i="81" s="1"/>
  <c r="J14" i="81"/>
  <c r="AC14" i="81" s="1"/>
  <c r="H14" i="81"/>
  <c r="AB14" i="81" s="1"/>
  <c r="F14" i="81"/>
  <c r="AA14" i="81" s="1"/>
  <c r="C14" i="8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J8" i="81"/>
  <c r="H8" i="81"/>
  <c r="U8" i="81" s="1"/>
  <c r="F8" i="81"/>
  <c r="AA8" i="81" s="1"/>
  <c r="D3" i="81"/>
  <c r="M30" i="35"/>
  <c r="M29" i="35"/>
  <c r="M28" i="35"/>
  <c r="D3" i="4"/>
  <c r="E27" i="45"/>
  <c r="D2" i="81"/>
  <c r="W10" i="81" l="1"/>
  <c r="AC34" i="81"/>
  <c r="S8" i="81"/>
  <c r="W22" i="81"/>
  <c r="U13" i="81"/>
  <c r="U16" i="81"/>
  <c r="U9" i="81"/>
  <c r="W30" i="81"/>
  <c r="U20" i="81"/>
  <c r="AB8" i="81"/>
  <c r="S12" i="81"/>
  <c r="AB18" i="81"/>
  <c r="AB25" i="81"/>
  <c r="AB33" i="81"/>
  <c r="J11" i="81"/>
  <c r="H11" i="81"/>
  <c r="F11" i="81"/>
  <c r="F26" i="81"/>
  <c r="S32" i="81"/>
  <c r="AB34" i="81"/>
  <c r="U34" i="81"/>
  <c r="W8" i="81"/>
  <c r="AC8" i="81"/>
  <c r="W27" i="81"/>
  <c r="S36" i="81"/>
  <c r="J24" i="81"/>
  <c r="H24" i="81"/>
  <c r="AC28" i="81"/>
  <c r="F87" i="81"/>
  <c r="W9" i="81"/>
  <c r="U12" i="81"/>
  <c r="W13" i="81"/>
  <c r="W16" i="81"/>
  <c r="W20" i="81"/>
  <c r="S23" i="81"/>
  <c r="W25" i="81"/>
  <c r="S31" i="81"/>
  <c r="U32" i="81"/>
  <c r="W33" i="81"/>
  <c r="S35" i="81"/>
  <c r="U36" i="81"/>
  <c r="W14" i="81"/>
  <c r="W18" i="81"/>
  <c r="S10" i="81"/>
  <c r="W12" i="81"/>
  <c r="S22" i="81"/>
  <c r="U23" i="81"/>
  <c r="S27" i="81"/>
  <c r="H28" i="81"/>
  <c r="S28" i="81"/>
  <c r="S30" i="81"/>
  <c r="U31" i="81"/>
  <c r="W32" i="81"/>
  <c r="F34" i="81"/>
  <c r="U35" i="81"/>
  <c r="W36" i="81"/>
  <c r="C79" i="81"/>
  <c r="E84" i="81"/>
  <c r="F84" i="81" s="1"/>
  <c r="G84" i="81" s="1"/>
  <c r="H84" i="81" s="1"/>
  <c r="I84" i="81" s="1"/>
  <c r="J84" i="81" s="1"/>
  <c r="K84" i="81" s="1"/>
  <c r="L84" i="81" s="1"/>
  <c r="M84" i="81" s="1"/>
  <c r="S9" i="81"/>
  <c r="U10" i="81"/>
  <c r="S13" i="81"/>
  <c r="S14" i="81"/>
  <c r="S16" i="81"/>
  <c r="S18" i="81"/>
  <c r="S20" i="81"/>
  <c r="U22" i="81"/>
  <c r="W23" i="81"/>
  <c r="S25" i="81"/>
  <c r="U27" i="81"/>
  <c r="U30" i="81"/>
  <c r="W31" i="81"/>
  <c r="S33" i="81"/>
  <c r="W35" i="81"/>
  <c r="G14" i="73"/>
  <c r="F14" i="73"/>
  <c r="E14" i="73"/>
  <c r="AA34" i="81" l="1"/>
  <c r="S34" i="81"/>
  <c r="AA11" i="81"/>
  <c r="S11" i="81"/>
  <c r="J26" i="81"/>
  <c r="H26" i="81"/>
  <c r="AB11" i="81"/>
  <c r="U11" i="81"/>
  <c r="AA26" i="81"/>
  <c r="S26" i="81"/>
  <c r="AB28" i="81"/>
  <c r="U28" i="81"/>
  <c r="AB24" i="81"/>
  <c r="U24" i="81"/>
  <c r="G87" i="81"/>
  <c r="F29" i="81" s="1"/>
  <c r="AC24" i="81"/>
  <c r="W24" i="81"/>
  <c r="AC11" i="81"/>
  <c r="W11" i="81"/>
  <c r="I12" i="79"/>
  <c r="AB26" i="81" l="1"/>
  <c r="U26" i="81"/>
  <c r="AA29" i="81"/>
  <c r="S29" i="81"/>
  <c r="AC26" i="81"/>
  <c r="W26" i="81"/>
  <c r="H87" i="81"/>
  <c r="I87" i="81" s="1"/>
  <c r="J87" i="81" s="1"/>
  <c r="K87" i="81" s="1"/>
  <c r="L87" i="81" s="1"/>
  <c r="M87" i="81" s="1"/>
  <c r="J29" i="81"/>
  <c r="H29"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29" i="81" l="1"/>
  <c r="U29" i="81"/>
  <c r="W29" i="81"/>
  <c r="AC29" i="8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21" i="79" l="1"/>
  <c r="AR22" i="79" s="1"/>
  <c r="AR23" i="79" s="1"/>
  <c r="AR24" i="79" s="1"/>
  <c r="S48" i="79"/>
  <c r="AG48" i="79" s="1"/>
  <c r="U46" i="79"/>
  <c r="AI46" i="79" s="1"/>
  <c r="N31" i="79"/>
  <c r="S20" i="79"/>
  <c r="AG20" i="79" s="1"/>
  <c r="T22"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W40" i="79"/>
  <c r="AK40" i="79" s="1"/>
  <c r="AH40" i="79"/>
  <c r="T35" i="79"/>
  <c r="T33"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V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B71" i="71"/>
  <c r="B70" i="71" s="1"/>
  <c r="Q70" i="71"/>
  <c r="P70" i="71"/>
  <c r="O70" i="71"/>
  <c r="N70" i="71"/>
  <c r="Q69" i="71"/>
  <c r="P69" i="71"/>
  <c r="O69" i="71"/>
  <c r="N69" i="71"/>
  <c r="D69" i="71"/>
  <c r="F68" i="71"/>
  <c r="F67" i="71" s="1"/>
  <c r="F66" i="71" s="1"/>
  <c r="E68" i="71"/>
  <c r="P68" i="71" s="1"/>
  <c r="C68" i="71"/>
  <c r="B68" i="71"/>
  <c r="S68" i="71"/>
  <c r="D65" i="71"/>
  <c r="Q64" i="71"/>
  <c r="P64" i="71"/>
  <c r="O64" i="71"/>
  <c r="N64" i="71"/>
  <c r="Q63" i="71"/>
  <c r="P63" i="71"/>
  <c r="O63" i="71"/>
  <c r="N63" i="71"/>
  <c r="Q62" i="71"/>
  <c r="P62" i="71"/>
  <c r="O62" i="71"/>
  <c r="C63" i="71" s="1"/>
  <c r="N62" i="71"/>
  <c r="Q61" i="71"/>
  <c r="F62" i="71" s="1"/>
  <c r="F63" i="71" s="1"/>
  <c r="P61" i="71"/>
  <c r="E62" i="71"/>
  <c r="E63" i="71" s="1"/>
  <c r="E64" i="71" s="1"/>
  <c r="U64" i="71" s="1"/>
  <c r="O61" i="71"/>
  <c r="C62" i="71" s="1"/>
  <c r="N61" i="71"/>
  <c r="B62"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P41" i="71"/>
  <c r="E42" i="71" s="1"/>
  <c r="E43" i="71" s="1"/>
  <c r="O41" i="71"/>
  <c r="C42" i="71" s="1"/>
  <c r="D42" i="71" s="1"/>
  <c r="N41" i="71"/>
  <c r="B42" i="71"/>
  <c r="D41" i="71"/>
  <c r="Q40" i="71"/>
  <c r="P40" i="71"/>
  <c r="O40" i="71"/>
  <c r="N40" i="71"/>
  <c r="Q39" i="71"/>
  <c r="AB39" i="71" s="1"/>
  <c r="P39" i="71"/>
  <c r="O39" i="71"/>
  <c r="N39" i="71"/>
  <c r="X39" i="71"/>
  <c r="Q38" i="71"/>
  <c r="P38" i="71"/>
  <c r="O38" i="71"/>
  <c r="Y38" i="71" s="1"/>
  <c r="Z38" i="71" s="1"/>
  <c r="N38" i="71"/>
  <c r="F38" i="71"/>
  <c r="F39" i="71" s="1"/>
  <c r="Q37" i="71"/>
  <c r="P37" i="71"/>
  <c r="O37" i="71"/>
  <c r="Y37" i="71" s="1"/>
  <c r="Z37"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E34" i="71" s="1"/>
  <c r="O33" i="71"/>
  <c r="C34" i="71" s="1"/>
  <c r="D34" i="71" s="1"/>
  <c r="N33" i="71"/>
  <c r="D33" i="71"/>
  <c r="Q32" i="71"/>
  <c r="AB32" i="71" s="1"/>
  <c r="P32" i="71"/>
  <c r="O32" i="71"/>
  <c r="N32" i="71"/>
  <c r="Q31" i="71"/>
  <c r="P31" i="71"/>
  <c r="O31" i="71"/>
  <c r="N31" i="71"/>
  <c r="Q30" i="71"/>
  <c r="P30" i="71"/>
  <c r="O30" i="71"/>
  <c r="N30" i="71"/>
  <c r="Q29" i="71"/>
  <c r="P29" i="71"/>
  <c r="O29" i="71"/>
  <c r="N29" i="71"/>
  <c r="D29" i="71"/>
  <c r="O28" i="71"/>
  <c r="N28" i="71"/>
  <c r="B30" i="71"/>
  <c r="B31" i="71" s="1"/>
  <c r="B32" i="71" s="1"/>
  <c r="S32" i="71" s="1"/>
  <c r="E30" i="71"/>
  <c r="E31" i="71" s="1"/>
  <c r="E32" i="71" s="1"/>
  <c r="U32" i="71" s="1"/>
  <c r="C30" i="71"/>
  <c r="C31" i="71" s="1"/>
  <c r="C38" i="71"/>
  <c r="B28" i="71"/>
  <c r="C47" i="71"/>
  <c r="D47" i="71" s="1"/>
  <c r="P28" i="71"/>
  <c r="U68" i="71"/>
  <c r="Q28" i="71"/>
  <c r="C55" i="71"/>
  <c r="C56" i="71" s="1"/>
  <c r="D54" i="71"/>
  <c r="D62" i="71"/>
  <c r="Q67" i="71"/>
  <c r="T68" i="71"/>
  <c r="O68" i="71"/>
  <c r="D68" i="71"/>
  <c r="C67" i="71"/>
  <c r="Q68" i="71"/>
  <c r="D72" i="71"/>
  <c r="C75" i="71"/>
  <c r="D75" i="71" s="1"/>
  <c r="D76" i="71"/>
  <c r="D80" i="71"/>
  <c r="F28" i="71"/>
  <c r="F27" i="71" s="1"/>
  <c r="F26"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1" i="34"/>
  <c r="H25" i="40"/>
  <c r="AB25" i="40" s="1"/>
  <c r="J25" i="40"/>
  <c r="H29" i="39"/>
  <c r="AB29" i="39" s="1"/>
  <c r="J29" i="39"/>
  <c r="J18" i="36"/>
  <c r="AC18" i="36" s="1"/>
  <c r="H18" i="35"/>
  <c r="AB18" i="35" s="1"/>
  <c r="J18" i="35"/>
  <c r="AC18" i="35" s="1"/>
  <c r="H21" i="37"/>
  <c r="U21" i="37" s="1"/>
  <c r="F21" i="37"/>
  <c r="H21" i="34"/>
  <c r="AB21" i="34" s="1"/>
  <c r="H21" i="33"/>
  <c r="U21" i="33" s="1"/>
  <c r="F21" i="33"/>
  <c r="S21" i="33" s="1"/>
  <c r="E83" i="21"/>
  <c r="F83" i="21" s="1"/>
  <c r="H1" i="69"/>
  <c r="AC25" i="40"/>
  <c r="W25" i="40"/>
  <c r="U25" i="40"/>
  <c r="W18" i="36"/>
  <c r="AB21" i="37"/>
  <c r="U21" i="34"/>
  <c r="AB21" i="33"/>
  <c r="AA21" i="33"/>
  <c r="J21" i="37"/>
  <c r="J21" i="34"/>
  <c r="W21" i="34" s="1"/>
  <c r="J21" i="33"/>
  <c r="W21" i="33" s="1"/>
  <c r="H21" i="21"/>
  <c r="U21" i="21" s="1"/>
  <c r="F38" i="69"/>
  <c r="E37" i="69"/>
  <c r="F36" i="69"/>
  <c r="F35" i="69"/>
  <c r="F21" i="69"/>
  <c r="F40" i="69" s="1"/>
  <c r="F20" i="69"/>
  <c r="F39" i="69" s="1"/>
  <c r="E10" i="69"/>
  <c r="E9" i="69"/>
  <c r="C7" i="69"/>
  <c r="G83" i="21"/>
  <c r="J21" i="21"/>
  <c r="AC21" i="21" s="1"/>
  <c r="C40" i="69"/>
  <c r="F38" i="68"/>
  <c r="E37" i="68"/>
  <c r="F36" i="68"/>
  <c r="F35" i="68"/>
  <c r="F21" i="68"/>
  <c r="F40" i="68" s="1"/>
  <c r="C21" i="68"/>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C48" i="8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A55" i="3" s="1"/>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L52" i="3" s="1"/>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A283" i="3" s="1"/>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A235" i="3" s="1"/>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A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A473" i="3" s="1"/>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L443" i="3" s="1"/>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L440" i="3" s="1"/>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A431" i="3" s="1"/>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A493" i="3" s="1"/>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K5" i="3" s="1"/>
  <c r="BM495" i="3"/>
  <c r="BN495" i="3"/>
  <c r="BO495" i="3"/>
  <c r="BP495" i="3"/>
  <c r="BR495" i="3"/>
  <c r="BS495" i="3"/>
  <c r="BL495" i="3" s="1"/>
  <c r="BT495" i="3"/>
  <c r="H496" i="3"/>
  <c r="AC496" i="3"/>
  <c r="BB496" i="3"/>
  <c r="BC496" i="3"/>
  <c r="BD496" i="3"/>
  <c r="BD5"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H5"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BB499" i="3"/>
  <c r="BC499" i="3"/>
  <c r="BD499" i="3"/>
  <c r="BE499" i="3"/>
  <c r="BE5" i="3" s="1"/>
  <c r="BF499" i="3"/>
  <c r="BG499" i="3"/>
  <c r="BH499" i="3"/>
  <c r="BI499" i="3"/>
  <c r="BJ499" i="3"/>
  <c r="BK499" i="3"/>
  <c r="BM499" i="3"/>
  <c r="BN499" i="3"/>
  <c r="BO499" i="3"/>
  <c r="BP499" i="3"/>
  <c r="BR499" i="3"/>
  <c r="BS499" i="3"/>
  <c r="BS5" i="3" s="1"/>
  <c r="BT499" i="3"/>
  <c r="H500" i="3"/>
  <c r="AC500" i="3"/>
  <c r="BB500" i="3"/>
  <c r="BC500" i="3"/>
  <c r="BD500" i="3"/>
  <c r="BA500" i="3" s="1"/>
  <c r="AZ500" i="3" s="1"/>
  <c r="BE500" i="3"/>
  <c r="BF500" i="3"/>
  <c r="BG500" i="3"/>
  <c r="BH500" i="3"/>
  <c r="BI500" i="3"/>
  <c r="BJ500" i="3"/>
  <c r="BJ5" i="3" s="1"/>
  <c r="BK500" i="3"/>
  <c r="BM500" i="3"/>
  <c r="BN500" i="3"/>
  <c r="BO500" i="3"/>
  <c r="BP500" i="3"/>
  <c r="BQ500" i="3"/>
  <c r="BL500" i="3" s="1"/>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A502" i="3" s="1"/>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A503" i="3" s="1"/>
  <c r="AZ503" i="3" s="1"/>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A505" i="3" s="1"/>
  <c r="BI505" i="3"/>
  <c r="BJ505" i="3"/>
  <c r="BK505" i="3"/>
  <c r="BM505" i="3"/>
  <c r="BN505" i="3"/>
  <c r="BO505" i="3"/>
  <c r="BP505" i="3"/>
  <c r="BR505" i="3"/>
  <c r="BS505" i="3"/>
  <c r="BT505" i="3"/>
  <c r="H506" i="3"/>
  <c r="AC506" i="3"/>
  <c r="G506" i="3" s="1"/>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C5" i="3" s="1"/>
  <c r="BD509" i="3"/>
  <c r="BE509" i="3"/>
  <c r="BF509" i="3"/>
  <c r="BG509" i="3"/>
  <c r="BH509" i="3"/>
  <c r="BI509" i="3"/>
  <c r="BJ509" i="3"/>
  <c r="BK509" i="3"/>
  <c r="BM509" i="3"/>
  <c r="BN509" i="3"/>
  <c r="BO509" i="3"/>
  <c r="BP509" i="3"/>
  <c r="BP5" i="3" s="1"/>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G511" i="3" s="1"/>
  <c r="AC511" i="3"/>
  <c r="BB511" i="3"/>
  <c r="BC511" i="3"/>
  <c r="BD511" i="3"/>
  <c r="BE511" i="3"/>
  <c r="BF511" i="3"/>
  <c r="BA511" i="3" s="1"/>
  <c r="BG511" i="3"/>
  <c r="BH511" i="3"/>
  <c r="BI511" i="3"/>
  <c r="BJ511" i="3"/>
  <c r="BK511" i="3"/>
  <c r="BM511" i="3"/>
  <c r="BM5"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R5" i="3" s="1"/>
  <c r="BS512" i="3"/>
  <c r="BT512" i="3"/>
  <c r="H513" i="3"/>
  <c r="AC513" i="3"/>
  <c r="BB513" i="3"/>
  <c r="BC513" i="3"/>
  <c r="BA513" i="3" s="1"/>
  <c r="BD513" i="3"/>
  <c r="BE513" i="3"/>
  <c r="BF513" i="3"/>
  <c r="BG513" i="3"/>
  <c r="BH513" i="3"/>
  <c r="BI513" i="3"/>
  <c r="BI5" i="3" s="1"/>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F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C518" i="3"/>
  <c r="BD518" i="3"/>
  <c r="BE518" i="3"/>
  <c r="BF518" i="3"/>
  <c r="BG518" i="3"/>
  <c r="BH518" i="3"/>
  <c r="BA518" i="3" s="1"/>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A521" i="3" s="1"/>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A524" i="3" s="1"/>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A527" i="3" s="1"/>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L528" i="3" s="1"/>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A531" i="3" s="1"/>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A534" i="3" s="1"/>
  <c r="BJ534" i="3"/>
  <c r="BK534" i="3"/>
  <c r="BM534" i="3"/>
  <c r="BN534" i="3"/>
  <c r="BO534" i="3"/>
  <c r="BP534" i="3"/>
  <c r="BL534" i="3" s="1"/>
  <c r="BQ534" i="3"/>
  <c r="BR534" i="3"/>
  <c r="BS534" i="3"/>
  <c r="BT534" i="3"/>
  <c r="H535" i="3"/>
  <c r="AC535" i="3"/>
  <c r="G535" i="3" s="1"/>
  <c r="BB535" i="3"/>
  <c r="BC535" i="3"/>
  <c r="BD535" i="3"/>
  <c r="BE535" i="3"/>
  <c r="BF535" i="3"/>
  <c r="BG535" i="3"/>
  <c r="BA535" i="3" s="1"/>
  <c r="BH535" i="3"/>
  <c r="BI535" i="3"/>
  <c r="BJ535" i="3"/>
  <c r="BK535" i="3"/>
  <c r="BM535" i="3"/>
  <c r="BN535" i="3"/>
  <c r="BO535" i="3"/>
  <c r="BP535" i="3"/>
  <c r="BR535" i="3"/>
  <c r="BS535" i="3"/>
  <c r="BT535" i="3"/>
  <c r="H536" i="3"/>
  <c r="G536" i="3" s="1"/>
  <c r="AC536" i="3"/>
  <c r="BB536" i="3"/>
  <c r="BC536" i="3"/>
  <c r="BD536" i="3"/>
  <c r="BE536" i="3"/>
  <c r="BF536" i="3"/>
  <c r="BA536" i="3" s="1"/>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G539" i="3" s="1"/>
  <c r="BB539" i="3"/>
  <c r="BC539" i="3"/>
  <c r="BD539" i="3"/>
  <c r="BE539" i="3"/>
  <c r="BF539" i="3"/>
  <c r="BG539" i="3"/>
  <c r="BA539" i="3" s="1"/>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L540" i="3" s="1"/>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A555" i="3" s="1"/>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A564" i="3" s="1"/>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L584" i="3" s="1"/>
  <c r="BR584" i="3"/>
  <c r="BS584" i="3"/>
  <c r="BT584" i="3"/>
  <c r="H7" i="12"/>
  <c r="I7" i="12"/>
  <c r="J7" i="12"/>
  <c r="K7" i="12"/>
  <c r="H111" i="21"/>
  <c r="B109" i="39"/>
  <c r="H35" i="39" s="1"/>
  <c r="AB35" i="39" s="1"/>
  <c r="B111" i="39"/>
  <c r="J30" i="36"/>
  <c r="H30" i="36"/>
  <c r="F30" i="36"/>
  <c r="AA30" i="36" s="1"/>
  <c r="C26" i="35"/>
  <c r="C79" i="35" s="1"/>
  <c r="J31" i="35"/>
  <c r="H31" i="35"/>
  <c r="AB31" i="35" s="1"/>
  <c r="F31" i="35"/>
  <c r="AA31" i="35" s="1"/>
  <c r="D87" i="35"/>
  <c r="E87" i="35" s="1"/>
  <c r="F87" i="35" s="1"/>
  <c r="G87" i="35" s="1"/>
  <c r="H34" i="37"/>
  <c r="U34" i="37" s="1"/>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J14" i="40" s="1"/>
  <c r="W14" i="40" s="1"/>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c r="D73" i="37"/>
  <c r="E73" i="37" s="1"/>
  <c r="F73" i="37"/>
  <c r="D71" i="37"/>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B57" i="35"/>
  <c r="F11" i="35" s="1"/>
  <c r="S11" i="35" s="1"/>
  <c r="B61" i="35"/>
  <c r="J13" i="35" s="1"/>
  <c r="AC13" i="35" s="1"/>
  <c r="B59" i="35"/>
  <c r="F12" i="35" s="1"/>
  <c r="B131" i="34"/>
  <c r="J47" i="34" s="1"/>
  <c r="AC47" i="34" s="1"/>
  <c r="B129" i="34"/>
  <c r="B127" i="34"/>
  <c r="H45" i="34" s="1"/>
  <c r="U45" i="34" s="1"/>
  <c r="B99" i="34"/>
  <c r="B97" i="34"/>
  <c r="B95" i="34"/>
  <c r="B93" i="34"/>
  <c r="B75" i="34"/>
  <c r="J14" i="34" s="1"/>
  <c r="W14" i="34" s="1"/>
  <c r="B73" i="34"/>
  <c r="H13" i="34" s="1"/>
  <c r="U13" i="34" s="1"/>
  <c r="B71" i="34"/>
  <c r="J12" i="34" s="1"/>
  <c r="W12" i="34" s="1"/>
  <c r="B130" i="33"/>
  <c r="J46" i="33" s="1"/>
  <c r="AC46" i="33" s="1"/>
  <c r="B128" i="33"/>
  <c r="B126" i="33"/>
  <c r="J44" i="33" s="1"/>
  <c r="AC44" i="33" s="1"/>
  <c r="B98" i="33"/>
  <c r="H31" i="33" s="1"/>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H31" i="21" s="1"/>
  <c r="AB31" i="21" s="1"/>
  <c r="B96" i="21"/>
  <c r="B94" i="21"/>
  <c r="J29" i="21"/>
  <c r="AC29" i="21" s="1"/>
  <c r="B92" i="21"/>
  <c r="H28" i="21" s="1"/>
  <c r="AB28" i="21" s="1"/>
  <c r="B90" i="21"/>
  <c r="F27" i="21" s="1"/>
  <c r="B74" i="21"/>
  <c r="B72" i="21"/>
  <c r="H13" i="21" s="1"/>
  <c r="B70" i="21"/>
  <c r="F12" i="21" s="1"/>
  <c r="C19" i="21"/>
  <c r="C17" i="21"/>
  <c r="C23" i="21"/>
  <c r="Q9" i="21"/>
  <c r="Z9" i="21"/>
  <c r="Q10" i="21"/>
  <c r="Z10" i="21"/>
  <c r="Q11" i="21"/>
  <c r="Z11" i="21" s="1"/>
  <c r="Q12" i="21"/>
  <c r="Z12" i="21" s="1"/>
  <c r="Q13" i="21"/>
  <c r="Z13" i="21" s="1"/>
  <c r="Q14" i="21"/>
  <c r="Z14" i="21" s="1"/>
  <c r="Q15" i="21"/>
  <c r="Z15" i="21"/>
  <c r="Q17" i="21"/>
  <c r="Z17" i="21"/>
  <c r="Q19" i="21"/>
  <c r="Z19" i="21" s="1"/>
  <c r="Q23" i="21"/>
  <c r="Z23" i="21" s="1"/>
  <c r="Q25" i="21"/>
  <c r="Z25" i="21" s="1"/>
  <c r="Q26" i="21"/>
  <c r="Z26" i="21" s="1"/>
  <c r="Q27" i="21"/>
  <c r="Z27" i="21"/>
  <c r="Q28" i="21"/>
  <c r="Z28" i="21"/>
  <c r="Q29" i="21"/>
  <c r="Z29" i="21" s="1"/>
  <c r="Q30" i="21"/>
  <c r="Z30" i="21" s="1"/>
  <c r="Q31" i="21"/>
  <c r="Z31" i="21" s="1"/>
  <c r="Q32" i="21"/>
  <c r="Z32" i="21" s="1"/>
  <c r="Q33" i="21"/>
  <c r="Z33" i="21"/>
  <c r="Q34" i="21"/>
  <c r="Z34" i="21"/>
  <c r="J35" i="21"/>
  <c r="W35" i="21" s="1"/>
  <c r="Q35" i="21"/>
  <c r="Z35" i="21" s="1"/>
  <c r="Q36" i="21"/>
  <c r="Z36" i="21"/>
  <c r="Q37" i="21"/>
  <c r="Z37" i="21" s="1"/>
  <c r="J38" i="21"/>
  <c r="W38" i="21"/>
  <c r="Q38" i="21"/>
  <c r="Z38" i="21"/>
  <c r="J39" i="21"/>
  <c r="AC39" i="21" s="1"/>
  <c r="Q39" i="21"/>
  <c r="Z39" i="21" s="1"/>
  <c r="H40" i="21"/>
  <c r="AB40" i="21" s="1"/>
  <c r="Q40" i="21"/>
  <c r="Z40" i="21" s="1"/>
  <c r="Q41" i="21"/>
  <c r="Z41" i="21"/>
  <c r="Q42" i="21"/>
  <c r="Z42" i="2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A41" i="21"/>
  <c r="F45" i="39"/>
  <c r="S45" i="39"/>
  <c r="J45" i="39"/>
  <c r="W45" i="39" s="1"/>
  <c r="F36" i="39"/>
  <c r="S36" i="39" s="1"/>
  <c r="H36" i="39"/>
  <c r="AB36" i="39" s="1"/>
  <c r="J35" i="39"/>
  <c r="AC35" i="39" s="1"/>
  <c r="F35" i="39"/>
  <c r="AA35" i="39" s="1"/>
  <c r="J36" i="39"/>
  <c r="AC36" i="39" s="1"/>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F36" i="34"/>
  <c r="J35" i="34"/>
  <c r="W9" i="34"/>
  <c r="H39" i="33"/>
  <c r="AB39" i="33" s="1"/>
  <c r="F26" i="33"/>
  <c r="AA26" i="33" s="1"/>
  <c r="W39" i="33"/>
  <c r="H39" i="37"/>
  <c r="AB39" i="37" s="1"/>
  <c r="F11" i="40"/>
  <c r="AA11" i="40" s="1"/>
  <c r="H11" i="40"/>
  <c r="AB11" i="40" s="1"/>
  <c r="AA9" i="40"/>
  <c r="S34" i="40"/>
  <c r="U34" i="40"/>
  <c r="F42" i="39"/>
  <c r="AA42" i="39" s="1"/>
  <c r="F41" i="39"/>
  <c r="S41" i="39" s="1"/>
  <c r="H40" i="39"/>
  <c r="AB40" i="39" s="1"/>
  <c r="H39" i="39"/>
  <c r="U39" i="39" s="1"/>
  <c r="S38" i="39"/>
  <c r="H34" i="39"/>
  <c r="U34" i="39" s="1"/>
  <c r="E100" i="39"/>
  <c r="F100" i="39" s="1"/>
  <c r="G100"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40" i="21"/>
  <c r="U34" i="21"/>
  <c r="H11" i="39"/>
  <c r="S40" i="39"/>
  <c r="C15" i="39"/>
  <c r="H32" i="33"/>
  <c r="AB32" i="33"/>
  <c r="H11" i="21"/>
  <c r="U11" i="21" s="1"/>
  <c r="J11" i="21"/>
  <c r="W11" i="21" s="1"/>
  <c r="H37" i="40"/>
  <c r="U37" i="40" s="1"/>
  <c r="H36" i="40"/>
  <c r="AB36" i="40" s="1"/>
  <c r="F35" i="40"/>
  <c r="AA35" i="40" s="1"/>
  <c r="H23" i="40"/>
  <c r="AB23" i="40" s="1"/>
  <c r="H17" i="40"/>
  <c r="U17" i="40"/>
  <c r="J15" i="40"/>
  <c r="W15" i="40" s="1"/>
  <c r="J11" i="40"/>
  <c r="AC11" i="40" s="1"/>
  <c r="AB8" i="39"/>
  <c r="AC12" i="34"/>
  <c r="W32" i="40"/>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AB23" i="34" s="1"/>
  <c r="U23" i="34"/>
  <c r="J23" i="34"/>
  <c r="F19" i="34"/>
  <c r="H17" i="34"/>
  <c r="U17" i="34" s="1"/>
  <c r="F15" i="34"/>
  <c r="AA15" i="34" s="1"/>
  <c r="J15" i="34"/>
  <c r="AC15" i="34" s="1"/>
  <c r="H15" i="34"/>
  <c r="AB15" i="34" s="1"/>
  <c r="W8" i="34"/>
  <c r="J28" i="34"/>
  <c r="AC28" i="34" s="1"/>
  <c r="W28" i="34"/>
  <c r="F41" i="33"/>
  <c r="S41" i="33" s="1"/>
  <c r="AA41" i="33"/>
  <c r="S38" i="33"/>
  <c r="E113" i="33"/>
  <c r="F32" i="33"/>
  <c r="AA32" i="33" s="1"/>
  <c r="J19" i="33"/>
  <c r="AC19" i="33"/>
  <c r="J15" i="33"/>
  <c r="AC15" i="33" s="1"/>
  <c r="F11" i="33"/>
  <c r="AA11" i="33" s="1"/>
  <c r="S26" i="33"/>
  <c r="W40" i="33"/>
  <c r="F37" i="40"/>
  <c r="AA37" i="40" s="1"/>
  <c r="F36" i="40"/>
  <c r="AA36" i="40" s="1"/>
  <c r="H28" i="40"/>
  <c r="U28" i="40"/>
  <c r="F23" i="40"/>
  <c r="AA23" i="40" s="1"/>
  <c r="F17" i="40"/>
  <c r="AA17" i="40" s="1"/>
  <c r="J17" i="40"/>
  <c r="W17" i="40" s="1"/>
  <c r="F15" i="40"/>
  <c r="S15" i="40" s="1"/>
  <c r="H15" i="40"/>
  <c r="AB15" i="40" s="1"/>
  <c r="H33" i="37"/>
  <c r="F33" i="37"/>
  <c r="AA33" i="37" s="1"/>
  <c r="S34" i="37"/>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W44" i="34" s="1"/>
  <c r="F44" i="34"/>
  <c r="AA44" i="34"/>
  <c r="J10" i="35"/>
  <c r="AC10" i="35" s="1"/>
  <c r="J14" i="21"/>
  <c r="W14" i="21" s="1"/>
  <c r="F14" i="21"/>
  <c r="S14" i="21" s="1"/>
  <c r="H14" i="21"/>
  <c r="U14" i="21" s="1"/>
  <c r="J28" i="21"/>
  <c r="W28" i="21" s="1"/>
  <c r="H30" i="21"/>
  <c r="AB30" i="21" s="1"/>
  <c r="U30" i="21"/>
  <c r="F30" i="21"/>
  <c r="S30" i="21" s="1"/>
  <c r="J30" i="21"/>
  <c r="AC30" i="21" s="1"/>
  <c r="J44" i="21"/>
  <c r="AC44" i="21" s="1"/>
  <c r="H46" i="21"/>
  <c r="U46" i="21" s="1"/>
  <c r="J46" i="21"/>
  <c r="F46" i="21"/>
  <c r="AA46" i="2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9" i="21"/>
  <c r="AB29" i="21" s="1"/>
  <c r="U29" i="21"/>
  <c r="J31" i="21"/>
  <c r="AC31" i="21" s="1"/>
  <c r="F45" i="21"/>
  <c r="AA45" i="21" s="1"/>
  <c r="F27" i="33"/>
  <c r="AA27" i="33"/>
  <c r="J13" i="33"/>
  <c r="AC13" i="33" s="1"/>
  <c r="H13" i="33"/>
  <c r="U13" i="33" s="1"/>
  <c r="F13" i="33"/>
  <c r="AA13" i="33" s="1"/>
  <c r="S13" i="33"/>
  <c r="J29" i="33"/>
  <c r="H29" i="33"/>
  <c r="U29" i="33" s="1"/>
  <c r="F29" i="33"/>
  <c r="S29" i="33" s="1"/>
  <c r="J31" i="33"/>
  <c r="W31" i="33" s="1"/>
  <c r="H45" i="33"/>
  <c r="AB45" i="33" s="1"/>
  <c r="J45" i="33"/>
  <c r="W45" i="33" s="1"/>
  <c r="F45" i="33"/>
  <c r="AA45" i="33" s="1"/>
  <c r="F14" i="34"/>
  <c r="S14" i="34" s="1"/>
  <c r="H30" i="34"/>
  <c r="F30" i="34"/>
  <c r="S30" i="34"/>
  <c r="J30" i="34"/>
  <c r="H32" i="34"/>
  <c r="U32" i="34" s="1"/>
  <c r="F32" i="34"/>
  <c r="J32" i="34"/>
  <c r="W32" i="34" s="1"/>
  <c r="H46" i="34"/>
  <c r="U46" i="34"/>
  <c r="F46" i="34"/>
  <c r="S46" i="34" s="1"/>
  <c r="J46" i="34"/>
  <c r="H11" i="35"/>
  <c r="AB11" i="35" s="1"/>
  <c r="J11" i="35"/>
  <c r="W11" i="35" s="1"/>
  <c r="J26" i="36"/>
  <c r="W26" i="36" s="1"/>
  <c r="H28" i="36"/>
  <c r="U28" i="36" s="1"/>
  <c r="H32" i="36"/>
  <c r="AB32" i="36" s="1"/>
  <c r="J32" i="36"/>
  <c r="W32"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c r="F30" i="33"/>
  <c r="AA30" i="33" s="1"/>
  <c r="J30" i="33"/>
  <c r="H44" i="33"/>
  <c r="F46" i="33"/>
  <c r="AA46" i="33" s="1"/>
  <c r="H46" i="33"/>
  <c r="AB46" i="33" s="1"/>
  <c r="J13" i="34"/>
  <c r="W13" i="34" s="1"/>
  <c r="F13" i="34"/>
  <c r="AA13" i="34" s="1"/>
  <c r="J29" i="34"/>
  <c r="F29" i="34"/>
  <c r="S29" i="34" s="1"/>
  <c r="H29" i="34"/>
  <c r="AB29" i="34" s="1"/>
  <c r="J31" i="34"/>
  <c r="W31" i="34" s="1"/>
  <c r="H31" i="34"/>
  <c r="F31" i="34"/>
  <c r="S31" i="34"/>
  <c r="J45" i="34"/>
  <c r="W45" i="34" s="1"/>
  <c r="F45" i="34"/>
  <c r="S45" i="34" s="1"/>
  <c r="H47" i="34"/>
  <c r="U47" i="34" s="1"/>
  <c r="F47" i="34"/>
  <c r="S47" i="34" s="1"/>
  <c r="F13" i="35"/>
  <c r="H13" i="35"/>
  <c r="U13" i="35" s="1"/>
  <c r="J25" i="35"/>
  <c r="W25" i="35" s="1"/>
  <c r="F25" i="35"/>
  <c r="S25" i="35" s="1"/>
  <c r="H25" i="35"/>
  <c r="AB25" i="35"/>
  <c r="J35" i="35"/>
  <c r="AC35" i="35" s="1"/>
  <c r="F35" i="35"/>
  <c r="AA35" i="35" s="1"/>
  <c r="H35" i="35"/>
  <c r="J25" i="36"/>
  <c r="W25" i="36"/>
  <c r="F25" i="36"/>
  <c r="S25" i="36" s="1"/>
  <c r="H25" i="36"/>
  <c r="AB25" i="36" s="1"/>
  <c r="F13" i="37"/>
  <c r="S13" i="37" s="1"/>
  <c r="F28" i="37"/>
  <c r="AA28" i="37" s="1"/>
  <c r="J28" i="37"/>
  <c r="AC28" i="37" s="1"/>
  <c r="H28" i="37"/>
  <c r="J38" i="37"/>
  <c r="AC38" i="37" s="1"/>
  <c r="F43" i="39"/>
  <c r="AA43" i="39" s="1"/>
  <c r="H43" i="39"/>
  <c r="J14" i="39"/>
  <c r="AC14" i="39" s="1"/>
  <c r="F14" i="39"/>
  <c r="S14" i="39" s="1"/>
  <c r="H14" i="39"/>
  <c r="AB14" i="39" s="1"/>
  <c r="H30" i="40"/>
  <c r="AB30" i="40"/>
  <c r="F33" i="40"/>
  <c r="AA33" i="40" s="1"/>
  <c r="H33" i="40"/>
  <c r="U33" i="40"/>
  <c r="J35" i="40"/>
  <c r="AC35" i="40"/>
  <c r="J37" i="40"/>
  <c r="AC37" i="40" s="1"/>
  <c r="F13" i="40"/>
  <c r="AA13" i="40" s="1"/>
  <c r="F14" i="37"/>
  <c r="AA14" i="37" s="1"/>
  <c r="S14" i="37"/>
  <c r="F27" i="37"/>
  <c r="AA27" i="37" s="1"/>
  <c r="F13" i="39"/>
  <c r="J13" i="39"/>
  <c r="W13" i="39" s="1"/>
  <c r="H13" i="39"/>
  <c r="H14" i="40"/>
  <c r="AB14" i="40" s="1"/>
  <c r="F14" i="40"/>
  <c r="S14" i="40" s="1"/>
  <c r="AA14" i="40"/>
  <c r="J14" i="37"/>
  <c r="AA14" i="33"/>
  <c r="J36" i="37"/>
  <c r="AC36" i="37"/>
  <c r="J10" i="36"/>
  <c r="AC10" i="36" s="1"/>
  <c r="S11" i="36"/>
  <c r="AB46" i="34"/>
  <c r="S44" i="34"/>
  <c r="BA586" i="3"/>
  <c r="BA585" i="3"/>
  <c r="F17" i="21"/>
  <c r="AA17" i="21" s="1"/>
  <c r="H17" i="21"/>
  <c r="AB17" i="21" s="1"/>
  <c r="F15" i="21"/>
  <c r="S15" i="21" s="1"/>
  <c r="J41" i="39"/>
  <c r="W41" i="39" s="1"/>
  <c r="U36" i="39"/>
  <c r="S35" i="39"/>
  <c r="G531" i="3"/>
  <c r="G518" i="3"/>
  <c r="G514" i="3"/>
  <c r="G510" i="3"/>
  <c r="G508" i="3"/>
  <c r="G504" i="3"/>
  <c r="G500" i="3"/>
  <c r="G496" i="3"/>
  <c r="G584" i="3"/>
  <c r="G580" i="3"/>
  <c r="G576" i="3"/>
  <c r="G572" i="3"/>
  <c r="G560" i="3"/>
  <c r="G554" i="3"/>
  <c r="G550" i="3"/>
  <c r="BL580" i="3"/>
  <c r="BL576" i="3"/>
  <c r="BL572" i="3"/>
  <c r="BL568" i="3"/>
  <c r="BL542" i="3"/>
  <c r="BL516" i="3"/>
  <c r="BL582" i="3"/>
  <c r="BL578" i="3"/>
  <c r="BL574" i="3"/>
  <c r="BL566" i="3"/>
  <c r="BL562" i="3"/>
  <c r="BL556" i="3"/>
  <c r="G533" i="3"/>
  <c r="G529" i="3"/>
  <c r="G525" i="3"/>
  <c r="BA584" i="3"/>
  <c r="AZ584" i="3" s="1"/>
  <c r="BA582" i="3"/>
  <c r="BA580" i="3"/>
  <c r="AZ580" i="3" s="1"/>
  <c r="BA576" i="3"/>
  <c r="BA574" i="3"/>
  <c r="BA572" i="3"/>
  <c r="BA570" i="3"/>
  <c r="AZ570" i="3" s="1"/>
  <c r="BA560" i="3"/>
  <c r="BA558" i="3"/>
  <c r="AZ558" i="3" s="1"/>
  <c r="BA552" i="3"/>
  <c r="BA532" i="3"/>
  <c r="BA512" i="3"/>
  <c r="BA498" i="3"/>
  <c r="BA587" i="3"/>
  <c r="BA583" i="3"/>
  <c r="BA581" i="3"/>
  <c r="BA571" i="3"/>
  <c r="BA569" i="3"/>
  <c r="BA567" i="3"/>
  <c r="BA563" i="3"/>
  <c r="BA561" i="3"/>
  <c r="BA559" i="3"/>
  <c r="BA543" i="3"/>
  <c r="BA529" i="3"/>
  <c r="G583" i="3"/>
  <c r="G581" i="3"/>
  <c r="G579" i="3"/>
  <c r="G577" i="3"/>
  <c r="G575" i="3"/>
  <c r="G573" i="3"/>
  <c r="G571" i="3"/>
  <c r="G569" i="3"/>
  <c r="G565" i="3"/>
  <c r="G561" i="3"/>
  <c r="BL558" i="3"/>
  <c r="BA557" i="3"/>
  <c r="AC557" i="3"/>
  <c r="G557" i="3" s="1"/>
  <c r="BQ557" i="3"/>
  <c r="BL557" i="3" s="1"/>
  <c r="BQ583" i="3"/>
  <c r="BL583" i="3" s="1"/>
  <c r="AZ583" i="3" s="1"/>
  <c r="BQ581" i="3"/>
  <c r="BL581" i="3" s="1"/>
  <c r="BQ579" i="3"/>
  <c r="BQ577" i="3"/>
  <c r="BQ575" i="3"/>
  <c r="BQ573" i="3"/>
  <c r="BQ571" i="3"/>
  <c r="BL571" i="3"/>
  <c r="BQ569" i="3"/>
  <c r="BL569" i="3" s="1"/>
  <c r="BQ567" i="3"/>
  <c r="BL567" i="3" s="1"/>
  <c r="BQ565" i="3"/>
  <c r="BL565" i="3" s="1"/>
  <c r="BQ563" i="3"/>
  <c r="BL563" i="3" s="1"/>
  <c r="BQ561" i="3"/>
  <c r="BL561" i="3" s="1"/>
  <c r="AZ561" i="3" s="1"/>
  <c r="BQ559" i="3"/>
  <c r="BL559" i="3" s="1"/>
  <c r="AZ559" i="3" s="1"/>
  <c r="G553" i="3"/>
  <c r="G549" i="3"/>
  <c r="G545" i="3"/>
  <c r="G541" i="3"/>
  <c r="G537" i="3"/>
  <c r="BQ555" i="3"/>
  <c r="BQ553" i="3"/>
  <c r="BQ551" i="3"/>
  <c r="BQ549" i="3"/>
  <c r="BQ547" i="3"/>
  <c r="BQ545" i="3"/>
  <c r="BQ543" i="3"/>
  <c r="BQ541" i="3"/>
  <c r="BQ539" i="3"/>
  <c r="BL539" i="3" s="1"/>
  <c r="BQ537" i="3"/>
  <c r="BL537" i="3" s="1"/>
  <c r="BQ535" i="3"/>
  <c r="BQ533" i="3"/>
  <c r="BQ531" i="3"/>
  <c r="BQ529" i="3"/>
  <c r="BL529" i="3" s="1"/>
  <c r="BQ527" i="3"/>
  <c r="BQ525" i="3"/>
  <c r="BQ523" i="3"/>
  <c r="AC521" i="3"/>
  <c r="G521" i="3" s="1"/>
  <c r="BQ521" i="3"/>
  <c r="BL521" i="3"/>
  <c r="G517" i="3"/>
  <c r="G515" i="3"/>
  <c r="G513" i="3"/>
  <c r="BQ519" i="3"/>
  <c r="BQ517" i="3"/>
  <c r="BQ515" i="3"/>
  <c r="BQ513" i="3"/>
  <c r="BL513" i="3" s="1"/>
  <c r="BQ511" i="3"/>
  <c r="AC509" i="3"/>
  <c r="BQ509" i="3"/>
  <c r="BL508" i="3"/>
  <c r="G507" i="3"/>
  <c r="G505" i="3"/>
  <c r="G503" i="3"/>
  <c r="G501" i="3"/>
  <c r="G499" i="3"/>
  <c r="G497" i="3"/>
  <c r="G495" i="3"/>
  <c r="BQ507" i="3"/>
  <c r="BQ505" i="3"/>
  <c r="BL505" i="3" s="1"/>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c r="J32" i="37"/>
  <c r="AC32" i="37" s="1"/>
  <c r="F36" i="37"/>
  <c r="AA36" i="37" s="1"/>
  <c r="F37" i="37"/>
  <c r="AA37" i="37"/>
  <c r="F31" i="40"/>
  <c r="AA31" i="40"/>
  <c r="H31" i="40"/>
  <c r="U31" i="40" s="1"/>
  <c r="F32" i="40"/>
  <c r="S32" i="40" s="1"/>
  <c r="H32" i="40"/>
  <c r="U32" i="40" s="1"/>
  <c r="J36" i="40"/>
  <c r="W36" i="40" s="1"/>
  <c r="H19" i="37"/>
  <c r="AB19" i="37" s="1"/>
  <c r="H42" i="33"/>
  <c r="AB42" i="33" s="1"/>
  <c r="J43" i="33"/>
  <c r="AC43" i="33" s="1"/>
  <c r="S28" i="31"/>
  <c r="S27" i="31"/>
  <c r="S26" i="31"/>
  <c r="U14" i="40"/>
  <c r="U39" i="37"/>
  <c r="U26" i="37"/>
  <c r="AC36" i="34"/>
  <c r="AC31" i="33"/>
  <c r="W44" i="33"/>
  <c r="U11" i="33"/>
  <c r="U19" i="21"/>
  <c r="W44" i="21"/>
  <c r="AB38" i="21"/>
  <c r="F43" i="33"/>
  <c r="AA43" i="33"/>
  <c r="W15" i="34"/>
  <c r="W40" i="37"/>
  <c r="H37" i="21"/>
  <c r="U37" i="21" s="1"/>
  <c r="S42" i="21"/>
  <c r="H19" i="34"/>
  <c r="AB19" i="34" s="1"/>
  <c r="F36" i="35"/>
  <c r="S36" i="35" s="1"/>
  <c r="J9" i="37"/>
  <c r="W9" i="37" s="1"/>
  <c r="H9" i="37"/>
  <c r="U9" i="37" s="1"/>
  <c r="F9" i="37"/>
  <c r="S9" i="37" s="1"/>
  <c r="J12" i="37"/>
  <c r="W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AZ241" i="3"/>
  <c r="BA379" i="3"/>
  <c r="BL380" i="3"/>
  <c r="G381" i="3"/>
  <c r="BA383" i="3"/>
  <c r="BL384" i="3"/>
  <c r="G385" i="3"/>
  <c r="BA387" i="3"/>
  <c r="AZ387" i="3" s="1"/>
  <c r="BL388" i="3"/>
  <c r="G389" i="3"/>
  <c r="BA391" i="3"/>
  <c r="BL392" i="3"/>
  <c r="G393" i="3"/>
  <c r="AZ325" i="3"/>
  <c r="AC5" i="3"/>
  <c r="G538" i="3"/>
  <c r="G520" i="3"/>
  <c r="G502" i="3"/>
  <c r="BG5" i="3"/>
  <c r="G17" i="3"/>
  <c r="BA17" i="3"/>
  <c r="BA15" i="3"/>
  <c r="AZ380" i="3"/>
  <c r="G509" i="3"/>
  <c r="F83" i="43"/>
  <c r="H85" i="43" s="1"/>
  <c r="F50" i="43"/>
  <c r="H54" i="43" s="1"/>
  <c r="F72" i="43"/>
  <c r="H75" i="43" s="1"/>
  <c r="U17" i="39"/>
  <c r="U43" i="21"/>
  <c r="U35" i="21"/>
  <c r="AC35" i="21"/>
  <c r="AZ563" i="3"/>
  <c r="J37" i="33"/>
  <c r="W37" i="33" s="1"/>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H35" i="37"/>
  <c r="U35" i="37" s="1"/>
  <c r="AC14" i="35"/>
  <c r="H20" i="35"/>
  <c r="U20" i="35" s="1"/>
  <c r="F20" i="35"/>
  <c r="S20" i="35" s="1"/>
  <c r="AB29" i="36"/>
  <c r="U29" i="36"/>
  <c r="H32" i="37"/>
  <c r="F96" i="37"/>
  <c r="G96" i="37" s="1"/>
  <c r="H27" i="40"/>
  <c r="U27" i="40" s="1"/>
  <c r="J27" i="40"/>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C40" i="11"/>
  <c r="AZ271" i="3"/>
  <c r="F23" i="39"/>
  <c r="AA23" i="39" s="1"/>
  <c r="H27" i="36"/>
  <c r="U27" i="36" s="1"/>
  <c r="F27" i="36"/>
  <c r="AA27" i="36" s="1"/>
  <c r="H33" i="34"/>
  <c r="AB33" i="34" s="1"/>
  <c r="F32" i="37"/>
  <c r="S32" i="37" s="1"/>
  <c r="AA32" i="37"/>
  <c r="H96" i="37"/>
  <c r="I96" i="37" s="1"/>
  <c r="J96" i="37" s="1"/>
  <c r="K96" i="37" s="1"/>
  <c r="L96" i="37" s="1"/>
  <c r="M96" i="37" s="1"/>
  <c r="F20" i="36"/>
  <c r="AA20" i="36" s="1"/>
  <c r="J33" i="34"/>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AC36" i="40"/>
  <c r="AA32" i="40"/>
  <c r="S17" i="40"/>
  <c r="S23" i="40"/>
  <c r="AC17" i="40"/>
  <c r="S28" i="40"/>
  <c r="U21" i="40"/>
  <c r="AB19" i="40"/>
  <c r="S43" i="39"/>
  <c r="F32" i="39"/>
  <c r="AA32" i="39" s="1"/>
  <c r="F106" i="39"/>
  <c r="G106" i="39" s="1"/>
  <c r="H106" i="39" s="1"/>
  <c r="I106" i="39" s="1"/>
  <c r="J106" i="39" s="1"/>
  <c r="K106" i="39" s="1"/>
  <c r="L106" i="39" s="1"/>
  <c r="M106" i="39" s="1"/>
  <c r="AB27" i="39"/>
  <c r="J21" i="39"/>
  <c r="W21" i="39" s="1"/>
  <c r="F21" i="39"/>
  <c r="AA21" i="39" s="1"/>
  <c r="G94" i="39"/>
  <c r="H21" i="39"/>
  <c r="U21" i="39" s="1"/>
  <c r="W19" i="39"/>
  <c r="U19" i="39"/>
  <c r="S17" i="39"/>
  <c r="S15" i="39"/>
  <c r="AA12" i="39"/>
  <c r="S9" i="39"/>
  <c r="AC13" i="39"/>
  <c r="U12" i="39"/>
  <c r="U13" i="36"/>
  <c r="U26" i="36"/>
  <c r="AA34" i="36"/>
  <c r="AC26" i="36"/>
  <c r="AA22" i="36"/>
  <c r="W14" i="36"/>
  <c r="AB14" i="36"/>
  <c r="U22" i="36"/>
  <c r="S16" i="36"/>
  <c r="AA25" i="36"/>
  <c r="S24" i="36"/>
  <c r="AB20" i="36"/>
  <c r="U16" i="36"/>
  <c r="S14" i="36"/>
  <c r="AA25" i="35"/>
  <c r="W24" i="35"/>
  <c r="U28" i="35"/>
  <c r="U36" i="35"/>
  <c r="AC30" i="35"/>
  <c r="S32" i="35"/>
  <c r="AA36" i="35"/>
  <c r="S28" i="35"/>
  <c r="AB16" i="35"/>
  <c r="U22" i="35"/>
  <c r="AC20" i="35"/>
  <c r="S22" i="35"/>
  <c r="U14" i="35"/>
  <c r="AC9" i="35"/>
  <c r="W9" i="35"/>
  <c r="W13" i="35"/>
  <c r="F9" i="35"/>
  <c r="S9" i="35" s="1"/>
  <c r="H9" i="35"/>
  <c r="U9" i="35" s="1"/>
  <c r="AB40" i="37"/>
  <c r="S25" i="37"/>
  <c r="AC29" i="37"/>
  <c r="U29" i="37"/>
  <c r="AB31" i="37"/>
  <c r="W30" i="37"/>
  <c r="S36" i="37"/>
  <c r="W38" i="37"/>
  <c r="AC35" i="37"/>
  <c r="W39" i="37"/>
  <c r="S30" i="37"/>
  <c r="S37" i="37"/>
  <c r="AC15" i="37"/>
  <c r="J17" i="37"/>
  <c r="W17" i="37" s="1"/>
  <c r="G73" i="37"/>
  <c r="F17" i="37"/>
  <c r="AA17" i="37" s="1"/>
  <c r="F75" i="37"/>
  <c r="F19" i="37"/>
  <c r="S19" i="37" s="1"/>
  <c r="F79" i="37"/>
  <c r="G79" i="37" s="1"/>
  <c r="F23" i="37"/>
  <c r="S23" i="37" s="1"/>
  <c r="U23" i="37"/>
  <c r="U15" i="37"/>
  <c r="AA13" i="37"/>
  <c r="H10" i="37"/>
  <c r="AB10" i="37" s="1"/>
  <c r="F63" i="37"/>
  <c r="F11" i="37"/>
  <c r="S11" i="37" s="1"/>
  <c r="W25" i="34"/>
  <c r="AB8" i="34"/>
  <c r="U43" i="34"/>
  <c r="AC39" i="34"/>
  <c r="W41" i="34"/>
  <c r="AC42" i="34"/>
  <c r="AB35" i="34"/>
  <c r="U39" i="34"/>
  <c r="S43" i="34"/>
  <c r="AB41"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F25" i="33"/>
  <c r="AA25" i="33" s="1"/>
  <c r="J23" i="33"/>
  <c r="AC23" i="33" s="1"/>
  <c r="F85" i="33"/>
  <c r="G85" i="33" s="1"/>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AA15" i="40"/>
  <c r="U11" i="40"/>
  <c r="S31" i="40"/>
  <c r="AB13" i="40"/>
  <c r="AB17" i="40"/>
  <c r="U8" i="40"/>
  <c r="S8" i="40"/>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U25" i="36"/>
  <c r="AB28" i="36"/>
  <c r="AA13" i="36"/>
  <c r="W9" i="36"/>
  <c r="W22" i="36"/>
  <c r="W23" i="36"/>
  <c r="U25" i="35"/>
  <c r="U24" i="35"/>
  <c r="S35" i="35"/>
  <c r="W35" i="35"/>
  <c r="AA35" i="37"/>
  <c r="W36" i="37"/>
  <c r="S28" i="37"/>
  <c r="U36" i="37"/>
  <c r="S40" i="37"/>
  <c r="U38" i="37"/>
  <c r="AB37"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U38" i="34"/>
  <c r="AA19" i="34"/>
  <c r="S19" i="34"/>
  <c r="AA36" i="34"/>
  <c r="S36" i="34"/>
  <c r="AA8" i="34"/>
  <c r="S8" i="34"/>
  <c r="AB9" i="34"/>
  <c r="U9" i="34"/>
  <c r="AC43" i="34"/>
  <c r="W43" i="34"/>
  <c r="W23" i="34"/>
  <c r="AC23" i="34"/>
  <c r="AC35" i="34"/>
  <c r="W35" i="34"/>
  <c r="U12" i="34"/>
  <c r="AB12" i="34"/>
  <c r="AB28" i="33"/>
  <c r="W46" i="33"/>
  <c r="U39" i="33"/>
  <c r="U38" i="33"/>
  <c r="S33" i="33"/>
  <c r="AB34" i="33"/>
  <c r="U44" i="33"/>
  <c r="AB44" i="33"/>
  <c r="S30" i="33"/>
  <c r="AC14" i="33"/>
  <c r="W14" i="33"/>
  <c r="AC30" i="33"/>
  <c r="W30"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AB9" i="21" s="1"/>
  <c r="J9" i="21"/>
  <c r="J32" i="21"/>
  <c r="W32" i="21" s="1"/>
  <c r="F32" i="21"/>
  <c r="U17" i="21"/>
  <c r="W29" i="21"/>
  <c r="S9" i="21"/>
  <c r="AA9" i="21"/>
  <c r="K141" i="21"/>
  <c r="K144" i="21"/>
  <c r="K143" i="21"/>
  <c r="AB25" i="21"/>
  <c r="AA30"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S32" i="39"/>
  <c r="AB21" i="39"/>
  <c r="S17" i="37"/>
  <c r="J19" i="37"/>
  <c r="W19" i="37" s="1"/>
  <c r="G75" i="37"/>
  <c r="AA19"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G91" i="33"/>
  <c r="H91" i="33" s="1"/>
  <c r="I91" i="33" s="1"/>
  <c r="J91" i="33" s="1"/>
  <c r="K91" i="33" s="1"/>
  <c r="L91" i="33" s="1"/>
  <c r="M91" i="33" s="1"/>
  <c r="J27" i="33"/>
  <c r="W27" i="33" s="1"/>
  <c r="U25" i="33"/>
  <c r="AB25" i="33"/>
  <c r="S25" i="33"/>
  <c r="G87" i="33"/>
  <c r="H87" i="33"/>
  <c r="I87" i="33" s="1"/>
  <c r="J87" i="33" s="1"/>
  <c r="K87" i="33" s="1"/>
  <c r="L87" i="33" s="1"/>
  <c r="M87" i="33" s="1"/>
  <c r="J25" i="33"/>
  <c r="AC25" i="33" s="1"/>
  <c r="F23" i="33"/>
  <c r="H19" i="33"/>
  <c r="U19" i="33" s="1"/>
  <c r="G81" i="33"/>
  <c r="H17" i="33"/>
  <c r="U17" i="33" s="1"/>
  <c r="F17" i="33"/>
  <c r="S17" i="33" s="1"/>
  <c r="W17" i="33"/>
  <c r="AC17" i="33"/>
  <c r="S37" i="21"/>
  <c r="AA23" i="21"/>
  <c r="J23" i="21"/>
  <c r="H23" i="21"/>
  <c r="AP7" i="1"/>
  <c r="AB45" i="21"/>
  <c r="AA32" i="21"/>
  <c r="S32" i="21"/>
  <c r="W9" i="21"/>
  <c r="AC9" i="21"/>
  <c r="A18" i="62"/>
  <c r="B64" i="72" s="1"/>
  <c r="J11" i="37"/>
  <c r="AC11" i="37" s="1"/>
  <c r="H70" i="34"/>
  <c r="I70" i="34" s="1"/>
  <c r="J70" i="34" s="1"/>
  <c r="K70" i="34" s="1"/>
  <c r="L70" i="34" s="1"/>
  <c r="M70" i="34" s="1"/>
  <c r="J11" i="34"/>
  <c r="W11" i="34" s="1"/>
  <c r="W25" i="33"/>
  <c r="U23" i="21"/>
  <c r="AB23" i="21"/>
  <c r="AC23" i="21"/>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M24" i="15"/>
  <c r="F9" i="15"/>
  <c r="F42" i="67"/>
  <c r="L47" i="15"/>
  <c r="M6" i="67"/>
  <c r="M23" i="15"/>
  <c r="M22" i="67"/>
  <c r="B13" i="76"/>
  <c r="E12" i="76"/>
  <c r="J15" i="15"/>
  <c r="E11" i="76"/>
  <c r="C76" i="67"/>
  <c r="F20" i="31"/>
  <c r="B11" i="76"/>
  <c r="F40" i="15"/>
  <c r="E2" i="69"/>
  <c r="E10" i="76"/>
  <c r="B7" i="76"/>
  <c r="F7" i="15"/>
  <c r="F13" i="15"/>
  <c r="F37" i="15"/>
  <c r="B9" i="76"/>
  <c r="F6" i="67"/>
  <c r="E13" i="76"/>
  <c r="F36" i="15"/>
  <c r="F9" i="67"/>
  <c r="E7" i="76"/>
  <c r="C20" i="9"/>
  <c r="M6" i="15"/>
  <c r="E2" i="68"/>
  <c r="M9" i="15"/>
  <c r="F5" i="73"/>
  <c r="L48" i="67"/>
  <c r="B10" i="76"/>
  <c r="D19" i="9"/>
  <c r="M29" i="67"/>
  <c r="F6" i="73"/>
  <c r="M8" i="15"/>
  <c r="D34" i="9"/>
  <c r="M29" i="15"/>
  <c r="B8" i="76"/>
  <c r="F3" i="73"/>
  <c r="F38" i="67"/>
  <c r="F7" i="73"/>
  <c r="C76" i="15"/>
  <c r="M26" i="67"/>
  <c r="AO13" i="1"/>
  <c r="F37" i="67"/>
  <c r="E8" i="76"/>
  <c r="F8" i="15"/>
  <c r="F26" i="15"/>
  <c r="C19" i="9"/>
  <c r="D20" i="9"/>
  <c r="L48" i="15"/>
  <c r="E9" i="76"/>
  <c r="B12" i="76"/>
  <c r="F6" i="15"/>
  <c r="F4" i="73"/>
  <c r="M8" i="67"/>
  <c r="M9" i="67"/>
  <c r="F38" i="15"/>
  <c r="F8" i="67"/>
  <c r="M23" i="67"/>
  <c r="F43" i="15"/>
  <c r="F16" i="15"/>
  <c r="D35" i="9"/>
  <c r="AZ552" i="3" l="1"/>
  <c r="AA27" i="21"/>
  <c r="S27" i="21"/>
  <c r="AZ510" i="3"/>
  <c r="W13" i="37"/>
  <c r="AC13" i="37"/>
  <c r="AZ501" i="3"/>
  <c r="G29" i="6"/>
  <c r="AZ494" i="3"/>
  <c r="AZ493" i="3"/>
  <c r="AZ534" i="3"/>
  <c r="AZ518" i="3"/>
  <c r="AZ514" i="3"/>
  <c r="AZ505" i="3"/>
  <c r="AZ554" i="3"/>
  <c r="AZ512" i="3"/>
  <c r="AC31" i="40"/>
  <c r="W31" i="40"/>
  <c r="W32" i="39"/>
  <c r="H13" i="37"/>
  <c r="F37" i="39"/>
  <c r="U9" i="40"/>
  <c r="BA553" i="3"/>
  <c r="BL544" i="3"/>
  <c r="BA537" i="3"/>
  <c r="AZ537" i="3" s="1"/>
  <c r="BL536" i="3"/>
  <c r="AZ536" i="3" s="1"/>
  <c r="BA526" i="3"/>
  <c r="AZ526" i="3" s="1"/>
  <c r="BA508" i="3"/>
  <c r="AZ508" i="3" s="1"/>
  <c r="BL502" i="3"/>
  <c r="BL497" i="3"/>
  <c r="BA497" i="3"/>
  <c r="AZ497" i="3" s="1"/>
  <c r="BA495" i="3"/>
  <c r="BL494" i="3"/>
  <c r="AZ532" i="3"/>
  <c r="BL515" i="3"/>
  <c r="AZ515" i="3" s="1"/>
  <c r="U32" i="39"/>
  <c r="AC17" i="37"/>
  <c r="S12" i="33"/>
  <c r="AC37" i="33"/>
  <c r="AB32" i="34"/>
  <c r="W40" i="34"/>
  <c r="AA27" i="40"/>
  <c r="BL499" i="3"/>
  <c r="BL523" i="3"/>
  <c r="BL541" i="3"/>
  <c r="AZ541" i="3" s="1"/>
  <c r="AZ572" i="3"/>
  <c r="AA40" i="33"/>
  <c r="S40" i="33"/>
  <c r="BL579" i="3"/>
  <c r="BA577" i="3"/>
  <c r="BA575" i="3"/>
  <c r="BA566" i="3"/>
  <c r="AZ564" i="3"/>
  <c r="BL560" i="3"/>
  <c r="AZ560" i="3" s="1"/>
  <c r="BA556" i="3"/>
  <c r="AZ556" i="3" s="1"/>
  <c r="BA545" i="3"/>
  <c r="AB36" i="33"/>
  <c r="H44" i="39"/>
  <c r="J44" i="39"/>
  <c r="F44" i="39"/>
  <c r="S13" i="21"/>
  <c r="AA33" i="34"/>
  <c r="S21" i="39"/>
  <c r="S27" i="37"/>
  <c r="AA14" i="39"/>
  <c r="AA35" i="33"/>
  <c r="AB17" i="37"/>
  <c r="AZ14" i="3"/>
  <c r="AZ362" i="3"/>
  <c r="BL543" i="3"/>
  <c r="AZ543" i="3" s="1"/>
  <c r="AA14" i="34"/>
  <c r="AC25" i="37"/>
  <c r="W25" i="37"/>
  <c r="AC40" i="39"/>
  <c r="W40" i="39"/>
  <c r="H38" i="40"/>
  <c r="AB38" i="40" s="1"/>
  <c r="J38" i="40"/>
  <c r="F38" i="40"/>
  <c r="W13" i="33"/>
  <c r="S33" i="40"/>
  <c r="C21" i="71"/>
  <c r="D21" i="71" s="1"/>
  <c r="D6" i="52"/>
  <c r="S19" i="21"/>
  <c r="AB20" i="35"/>
  <c r="BL512" i="3"/>
  <c r="W32" i="37"/>
  <c r="AA46" i="34"/>
  <c r="AB36" i="34"/>
  <c r="S23" i="39"/>
  <c r="AA45" i="34"/>
  <c r="AA11" i="35"/>
  <c r="AB13" i="35"/>
  <c r="U14" i="39"/>
  <c r="AA19" i="40"/>
  <c r="AC44" i="34"/>
  <c r="U36" i="40"/>
  <c r="AZ377" i="3"/>
  <c r="AZ361" i="3"/>
  <c r="AC45" i="33"/>
  <c r="BL519" i="3"/>
  <c r="BL545" i="3"/>
  <c r="AZ576" i="3"/>
  <c r="U26" i="33"/>
  <c r="AB26" i="33"/>
  <c r="J11" i="36"/>
  <c r="AC11" i="36" s="1"/>
  <c r="H11" i="36"/>
  <c r="U11" i="36" s="1"/>
  <c r="H23" i="36"/>
  <c r="F23" i="36"/>
  <c r="J12" i="40"/>
  <c r="H12" i="40"/>
  <c r="BB5" i="3"/>
  <c r="U35" i="40"/>
  <c r="AZ539" i="3"/>
  <c r="AA17" i="33"/>
  <c r="U32" i="21"/>
  <c r="U23" i="33"/>
  <c r="W32" i="33"/>
  <c r="AB19" i="33"/>
  <c r="AB15" i="21"/>
  <c r="AC28" i="33"/>
  <c r="U15" i="40"/>
  <c r="U25" i="39"/>
  <c r="AB27" i="40"/>
  <c r="AA34" i="33"/>
  <c r="U33" i="34"/>
  <c r="AZ164" i="3"/>
  <c r="BA515" i="3"/>
  <c r="H14" i="34"/>
  <c r="U40" i="33"/>
  <c r="AC15" i="40"/>
  <c r="W37" i="37"/>
  <c r="AZ320" i="3"/>
  <c r="AB32" i="40"/>
  <c r="H5" i="3"/>
  <c r="C32" i="71"/>
  <c r="D31" i="71"/>
  <c r="AZ540" i="3"/>
  <c r="BT5" i="3"/>
  <c r="AC34" i="37"/>
  <c r="AA14" i="21"/>
  <c r="U35" i="39"/>
  <c r="AZ390" i="3"/>
  <c r="W37" i="39"/>
  <c r="AA15" i="37"/>
  <c r="S15" i="37"/>
  <c r="BL509" i="3"/>
  <c r="BL531" i="3"/>
  <c r="AZ531" i="3" s="1"/>
  <c r="BL553" i="3"/>
  <c r="U30" i="37"/>
  <c r="AA35" i="34"/>
  <c r="J23" i="35"/>
  <c r="F23" i="35"/>
  <c r="H31" i="39"/>
  <c r="F31" i="39"/>
  <c r="J31" i="39"/>
  <c r="U41" i="21"/>
  <c r="AB41" i="21"/>
  <c r="BL554" i="3"/>
  <c r="G551" i="3"/>
  <c r="BA549" i="3"/>
  <c r="AZ549" i="3" s="1"/>
  <c r="BA547" i="3"/>
  <c r="BL546" i="3"/>
  <c r="BA546" i="3"/>
  <c r="BA544" i="3"/>
  <c r="AZ544" i="3" s="1"/>
  <c r="BA538" i="3"/>
  <c r="AZ538" i="3" s="1"/>
  <c r="BL530" i="3"/>
  <c r="AZ530" i="3" s="1"/>
  <c r="BA528" i="3"/>
  <c r="G527" i="3"/>
  <c r="BA525" i="3"/>
  <c r="AZ525" i="3" s="1"/>
  <c r="BA523" i="3"/>
  <c r="BA522" i="3"/>
  <c r="AZ522" i="3" s="1"/>
  <c r="BL520" i="3"/>
  <c r="AZ520" i="3" s="1"/>
  <c r="BA509" i="3"/>
  <c r="AZ509" i="3" s="1"/>
  <c r="BL506" i="3"/>
  <c r="AZ506" i="3" s="1"/>
  <c r="BL504" i="3"/>
  <c r="BA504" i="3"/>
  <c r="AZ504" i="3" s="1"/>
  <c r="BA499" i="3"/>
  <c r="BL498" i="3"/>
  <c r="AZ498" i="3" s="1"/>
  <c r="BL496" i="3"/>
  <c r="BA496" i="3"/>
  <c r="S24" i="35"/>
  <c r="AA26" i="36"/>
  <c r="AZ521" i="3"/>
  <c r="BL533" i="3"/>
  <c r="AZ533" i="3" s="1"/>
  <c r="BL555" i="3"/>
  <c r="U30" i="36"/>
  <c r="AB30" i="36"/>
  <c r="AZ568" i="3"/>
  <c r="BA565" i="3"/>
  <c r="AZ565" i="3" s="1"/>
  <c r="BA562" i="3"/>
  <c r="G559" i="3"/>
  <c r="S25" i="21"/>
  <c r="AA25" i="21"/>
  <c r="BL535" i="3"/>
  <c r="AZ535" i="3" s="1"/>
  <c r="F12" i="40"/>
  <c r="U45" i="33"/>
  <c r="H27" i="21"/>
  <c r="J27" i="21"/>
  <c r="BO5" i="3"/>
  <c r="AZ383" i="3"/>
  <c r="AZ338" i="3"/>
  <c r="AZ204" i="3"/>
  <c r="AC25" i="35"/>
  <c r="U41" i="39"/>
  <c r="U27" i="34"/>
  <c r="AZ188" i="3"/>
  <c r="H37" i="39"/>
  <c r="AZ557" i="3"/>
  <c r="H44" i="21"/>
  <c r="J36" i="35"/>
  <c r="AC36" i="35" s="1"/>
  <c r="H12" i="37"/>
  <c r="AB12" i="37" s="1"/>
  <c r="F12" i="37"/>
  <c r="S12" i="37" s="1"/>
  <c r="H27" i="37"/>
  <c r="J27" i="37"/>
  <c r="BA406" i="3"/>
  <c r="AZ406" i="3" s="1"/>
  <c r="G415" i="3"/>
  <c r="G416" i="3"/>
  <c r="G430" i="3"/>
  <c r="BL433" i="3"/>
  <c r="BL453" i="3"/>
  <c r="BL454" i="3"/>
  <c r="G470" i="3"/>
  <c r="G471" i="3"/>
  <c r="BA477" i="3"/>
  <c r="G484" i="3"/>
  <c r="BL316" i="3"/>
  <c r="G362" i="3"/>
  <c r="G212" i="3"/>
  <c r="G234" i="3"/>
  <c r="BA240" i="3"/>
  <c r="BA253" i="3"/>
  <c r="BA270" i="3"/>
  <c r="BA272" i="3"/>
  <c r="AZ272" i="3" s="1"/>
  <c r="G279" i="3"/>
  <c r="BL285" i="3"/>
  <c r="G135" i="3"/>
  <c r="BA153" i="3"/>
  <c r="G160" i="3"/>
  <c r="BA168" i="3"/>
  <c r="AZ168" i="3" s="1"/>
  <c r="BA169" i="3"/>
  <c r="AZ169" i="3" s="1"/>
  <c r="BA22" i="3"/>
  <c r="BA43" i="3"/>
  <c r="G53" i="3"/>
  <c r="G68" i="3"/>
  <c r="BA73" i="3"/>
  <c r="BA90" i="3"/>
  <c r="BA105" i="3"/>
  <c r="C29" i="39"/>
  <c r="C74" i="71"/>
  <c r="D74" i="71" s="1"/>
  <c r="B59" i="71"/>
  <c r="B60" i="71" s="1"/>
  <c r="S60" i="71" s="1"/>
  <c r="V68" i="71"/>
  <c r="F79" i="71"/>
  <c r="F78" i="71" s="1"/>
  <c r="BL573" i="3"/>
  <c r="J13" i="40"/>
  <c r="F38" i="37"/>
  <c r="F31" i="33"/>
  <c r="F28" i="21"/>
  <c r="S28" i="34"/>
  <c r="W8" i="40"/>
  <c r="BA402" i="3"/>
  <c r="AZ402" i="3" s="1"/>
  <c r="BA419" i="3"/>
  <c r="BA476" i="3"/>
  <c r="BL490" i="3"/>
  <c r="BL340" i="3"/>
  <c r="AZ340" i="3" s="1"/>
  <c r="BL239" i="3"/>
  <c r="AZ239" i="3" s="1"/>
  <c r="BL195" i="3"/>
  <c r="AZ195" i="3" s="1"/>
  <c r="BL207" i="3"/>
  <c r="BL18" i="3"/>
  <c r="BA40" i="3"/>
  <c r="BA41" i="3"/>
  <c r="BA42" i="3"/>
  <c r="BA72" i="3"/>
  <c r="BL86" i="3"/>
  <c r="BL103" i="3"/>
  <c r="BA104" i="3"/>
  <c r="B68" i="43"/>
  <c r="C59" i="71"/>
  <c r="BL527" i="3"/>
  <c r="AZ527" i="3" s="1"/>
  <c r="BL547" i="3"/>
  <c r="BL575" i="3"/>
  <c r="F44" i="33"/>
  <c r="AA12" i="36"/>
  <c r="S31" i="35"/>
  <c r="BA400" i="3"/>
  <c r="BL416" i="3"/>
  <c r="BL417" i="3"/>
  <c r="BL418" i="3"/>
  <c r="BA420" i="3"/>
  <c r="BL432" i="3"/>
  <c r="G442" i="3"/>
  <c r="BA451" i="3"/>
  <c r="BL451" i="3"/>
  <c r="BL472" i="3"/>
  <c r="BL475" i="3"/>
  <c r="BA491" i="3"/>
  <c r="BA339" i="3"/>
  <c r="AZ339" i="3" s="1"/>
  <c r="BL375" i="3"/>
  <c r="AZ375" i="3" s="1"/>
  <c r="BL214" i="3"/>
  <c r="BL219" i="3"/>
  <c r="BA251" i="3"/>
  <c r="BL251" i="3"/>
  <c r="BA269" i="3"/>
  <c r="AZ269" i="3" s="1"/>
  <c r="BA296" i="3"/>
  <c r="BA164" i="3"/>
  <c r="BA166" i="3"/>
  <c r="AZ166" i="3" s="1"/>
  <c r="G174" i="3"/>
  <c r="G186" i="3"/>
  <c r="G187" i="3"/>
  <c r="BA194" i="3"/>
  <c r="BL205" i="3"/>
  <c r="G29" i="3"/>
  <c r="BA38" i="3"/>
  <c r="BL56" i="3"/>
  <c r="BA58" i="3"/>
  <c r="G82" i="3"/>
  <c r="G98" i="3"/>
  <c r="BA103" i="3"/>
  <c r="G110" i="3"/>
  <c r="B57" i="43"/>
  <c r="B43" i="71"/>
  <c r="B44" i="71" s="1"/>
  <c r="S44" i="71" s="1"/>
  <c r="AZ334" i="3"/>
  <c r="BL577" i="3"/>
  <c r="F31" i="21"/>
  <c r="F33" i="36"/>
  <c r="W22" i="35"/>
  <c r="H12" i="35"/>
  <c r="BA366" i="3"/>
  <c r="AZ366" i="3" s="1"/>
  <c r="BA217" i="3"/>
  <c r="BA250" i="3"/>
  <c r="BL266" i="3"/>
  <c r="G276" i="3"/>
  <c r="G291" i="3"/>
  <c r="BA122" i="3"/>
  <c r="AZ122" i="3" s="1"/>
  <c r="BA178" i="3"/>
  <c r="BA192" i="3"/>
  <c r="AZ192" i="3" s="1"/>
  <c r="BA70" i="3"/>
  <c r="BA71" i="3"/>
  <c r="D48" i="81"/>
  <c r="E48" i="81" s="1"/>
  <c r="F48" i="81" s="1"/>
  <c r="G48" i="81" s="1"/>
  <c r="H48" i="81" s="1"/>
  <c r="I48" i="81" s="1"/>
  <c r="J48" i="81" s="1"/>
  <c r="K48" i="81" s="1"/>
  <c r="L48" i="81" s="1"/>
  <c r="M48" i="81" s="1"/>
  <c r="N48" i="81" s="1"/>
  <c r="O48" i="81" s="1"/>
  <c r="J7" i="81"/>
  <c r="H7" i="81"/>
  <c r="E55" i="71"/>
  <c r="E56" i="71" s="1"/>
  <c r="U56" i="71" s="1"/>
  <c r="BL511" i="3"/>
  <c r="AZ511" i="3" s="1"/>
  <c r="BL551" i="3"/>
  <c r="BL413" i="3"/>
  <c r="BL430" i="3"/>
  <c r="BA449" i="3"/>
  <c r="G462" i="3"/>
  <c r="BL471" i="3"/>
  <c r="BA489" i="3"/>
  <c r="BL211" i="3"/>
  <c r="BA279" i="3"/>
  <c r="BA120" i="3"/>
  <c r="AZ120" i="3" s="1"/>
  <c r="BA177" i="3"/>
  <c r="G47" i="3"/>
  <c r="BL69" i="3"/>
  <c r="G95" i="3"/>
  <c r="BL112" i="3"/>
  <c r="D30" i="71"/>
  <c r="B22" i="71"/>
  <c r="B21" i="71" s="1"/>
  <c r="B20" i="71" s="1"/>
  <c r="E23" i="71"/>
  <c r="E22" i="71" s="1"/>
  <c r="E21" i="71" s="1"/>
  <c r="E20" i="71" s="1"/>
  <c r="G409" i="3"/>
  <c r="BL412" i="3"/>
  <c r="BL427" i="3"/>
  <c r="BL428" i="3"/>
  <c r="BL429" i="3"/>
  <c r="BA448" i="3"/>
  <c r="AZ448" i="3" s="1"/>
  <c r="G458" i="3"/>
  <c r="BA485" i="3"/>
  <c r="BA487" i="3"/>
  <c r="AZ487" i="3" s="1"/>
  <c r="BA488" i="3"/>
  <c r="AZ488" i="3" s="1"/>
  <c r="G318" i="3"/>
  <c r="G343" i="3"/>
  <c r="BA348" i="3"/>
  <c r="BA350" i="3"/>
  <c r="AZ350" i="3" s="1"/>
  <c r="BA392" i="3"/>
  <c r="AZ392" i="3" s="1"/>
  <c r="BL230" i="3"/>
  <c r="G273" i="3"/>
  <c r="G302" i="3"/>
  <c r="BL115" i="3"/>
  <c r="AZ115" i="3" s="1"/>
  <c r="BA118" i="3"/>
  <c r="BL118" i="3"/>
  <c r="G144" i="3"/>
  <c r="BL146" i="3"/>
  <c r="BA149" i="3"/>
  <c r="BA162" i="3"/>
  <c r="BL175" i="3"/>
  <c r="AZ175" i="3" s="1"/>
  <c r="BA176" i="3"/>
  <c r="AZ176" i="3" s="1"/>
  <c r="G184" i="3"/>
  <c r="BL187" i="3"/>
  <c r="AZ187" i="3" s="1"/>
  <c r="G199" i="3"/>
  <c r="BL201" i="3"/>
  <c r="BL203" i="3"/>
  <c r="AZ203" i="3" s="1"/>
  <c r="BA204" i="3"/>
  <c r="BA207" i="3"/>
  <c r="BA68" i="3"/>
  <c r="G93" i="3"/>
  <c r="G107" i="3"/>
  <c r="K13" i="1"/>
  <c r="M13" i="1" s="1"/>
  <c r="O13" i="1" s="1"/>
  <c r="P13" i="1" s="1"/>
  <c r="C40" i="68"/>
  <c r="U29" i="39"/>
  <c r="E44" i="71"/>
  <c r="U44" i="71" s="1"/>
  <c r="B51" i="71"/>
  <c r="B52" i="71" s="1"/>
  <c r="S52" i="71" s="1"/>
  <c r="G423" i="3"/>
  <c r="G437" i="3"/>
  <c r="BA445" i="3"/>
  <c r="BA447" i="3"/>
  <c r="AZ447" i="3" s="1"/>
  <c r="BA469" i="3"/>
  <c r="AZ469" i="3" s="1"/>
  <c r="BL469" i="3"/>
  <c r="BA335" i="3"/>
  <c r="AZ335" i="3" s="1"/>
  <c r="BL359" i="3"/>
  <c r="AZ359" i="3" s="1"/>
  <c r="BL386" i="3"/>
  <c r="BA214" i="3"/>
  <c r="AZ214" i="3" s="1"/>
  <c r="BL227" i="3"/>
  <c r="BL261" i="3"/>
  <c r="BA293" i="3"/>
  <c r="BA133" i="3"/>
  <c r="BA148" i="3"/>
  <c r="AZ148" i="3" s="1"/>
  <c r="G155" i="3"/>
  <c r="BL158" i="3"/>
  <c r="BL173" i="3"/>
  <c r="G22" i="3"/>
  <c r="BA33" i="3"/>
  <c r="G74" i="3"/>
  <c r="BL83" i="3"/>
  <c r="BA111" i="3"/>
  <c r="F3" i="81"/>
  <c r="F44" i="71"/>
  <c r="V44" i="71" s="1"/>
  <c r="F64" i="71"/>
  <c r="V64" i="71" s="1"/>
  <c r="G400" i="3"/>
  <c r="BL411" i="3"/>
  <c r="G420" i="3"/>
  <c r="BL424" i="3"/>
  <c r="G435" i="3"/>
  <c r="BA444" i="3"/>
  <c r="G455" i="3"/>
  <c r="BL462" i="3"/>
  <c r="AZ462" i="3" s="1"/>
  <c r="G477" i="3"/>
  <c r="G329" i="3"/>
  <c r="BL385" i="3"/>
  <c r="BL208" i="3"/>
  <c r="BA210" i="3"/>
  <c r="BL210" i="3"/>
  <c r="BA212" i="3"/>
  <c r="BL225" i="3"/>
  <c r="BL226" i="3"/>
  <c r="BA245" i="3"/>
  <c r="BA260" i="3"/>
  <c r="AZ260" i="3" s="1"/>
  <c r="BA276" i="3"/>
  <c r="BA132" i="3"/>
  <c r="AZ132" i="3" s="1"/>
  <c r="G167" i="3"/>
  <c r="BL171" i="3"/>
  <c r="AZ171" i="3" s="1"/>
  <c r="BA189" i="3"/>
  <c r="AZ189" i="3" s="1"/>
  <c r="G196" i="3"/>
  <c r="G21" i="3"/>
  <c r="BA30" i="3"/>
  <c r="BA31" i="3"/>
  <c r="BA32" i="3"/>
  <c r="G40" i="3"/>
  <c r="BL48" i="3"/>
  <c r="BA51" i="3"/>
  <c r="G73" i="3"/>
  <c r="BL96" i="3"/>
  <c r="BL108" i="3"/>
  <c r="Y27" i="71"/>
  <c r="Z27" i="71" s="1"/>
  <c r="U72" i="71"/>
  <c r="U33" i="33"/>
  <c r="H39" i="40"/>
  <c r="U39" i="40" s="1"/>
  <c r="G542" i="3"/>
  <c r="BA413" i="3"/>
  <c r="AZ413" i="3" s="1"/>
  <c r="BL423" i="3"/>
  <c r="BA443" i="3"/>
  <c r="AZ443" i="3" s="1"/>
  <c r="BL458" i="3"/>
  <c r="AZ458" i="3" s="1"/>
  <c r="BL459" i="3"/>
  <c r="BA467" i="3"/>
  <c r="AZ467" i="3" s="1"/>
  <c r="BA468" i="3"/>
  <c r="BA481" i="3"/>
  <c r="BL383" i="3"/>
  <c r="BL224" i="3"/>
  <c r="BA228" i="3"/>
  <c r="BL242" i="3"/>
  <c r="BA244" i="3"/>
  <c r="BL244" i="3"/>
  <c r="BA275" i="3"/>
  <c r="BA291" i="3"/>
  <c r="BA145" i="3"/>
  <c r="BA157" i="3"/>
  <c r="BA188" i="3"/>
  <c r="BL25" i="3"/>
  <c r="BL27" i="3"/>
  <c r="BA28" i="3"/>
  <c r="BA65" i="3"/>
  <c r="BL93" i="3"/>
  <c r="G398" i="3"/>
  <c r="G399" i="3"/>
  <c r="BL409" i="3"/>
  <c r="G419" i="3"/>
  <c r="BA439" i="3"/>
  <c r="BA440" i="3"/>
  <c r="AZ440" i="3" s="1"/>
  <c r="BA442" i="3"/>
  <c r="BA463" i="3"/>
  <c r="BA466" i="3"/>
  <c r="BA480" i="3"/>
  <c r="BL381" i="3"/>
  <c r="AZ381" i="3" s="1"/>
  <c r="G238" i="3"/>
  <c r="BL254" i="3"/>
  <c r="BA257" i="3"/>
  <c r="BA259" i="3"/>
  <c r="AZ259" i="3" s="1"/>
  <c r="BL286" i="3"/>
  <c r="BA290" i="3"/>
  <c r="BL113" i="3"/>
  <c r="BL125" i="3"/>
  <c r="BL126" i="3"/>
  <c r="BA144" i="3"/>
  <c r="AZ144" i="3" s="1"/>
  <c r="BL154" i="3"/>
  <c r="BA156" i="3"/>
  <c r="AZ156" i="3" s="1"/>
  <c r="BA184" i="3"/>
  <c r="AZ184" i="3" s="1"/>
  <c r="BL197" i="3"/>
  <c r="G58" i="3"/>
  <c r="BA62" i="3"/>
  <c r="BA63" i="3"/>
  <c r="G72" i="3"/>
  <c r="G88" i="3"/>
  <c r="BA94" i="3"/>
  <c r="BA98" i="3"/>
  <c r="AC21" i="33"/>
  <c r="AB33" i="71"/>
  <c r="F51" i="71"/>
  <c r="F52" i="71" s="1"/>
  <c r="V52" i="71" s="1"/>
  <c r="C25" i="39"/>
  <c r="BL400" i="3"/>
  <c r="BL408" i="3"/>
  <c r="G417" i="3"/>
  <c r="BL420" i="3"/>
  <c r="G431" i="3"/>
  <c r="G432" i="3"/>
  <c r="BA437" i="3"/>
  <c r="BA465" i="3"/>
  <c r="AZ465" i="3" s="1"/>
  <c r="G474" i="3"/>
  <c r="BL479" i="3"/>
  <c r="G488" i="3"/>
  <c r="G490" i="3"/>
  <c r="BA331" i="3"/>
  <c r="AZ331" i="3" s="1"/>
  <c r="BL367" i="3"/>
  <c r="G392" i="3"/>
  <c r="BL395" i="3"/>
  <c r="BA397" i="3"/>
  <c r="BL397" i="3"/>
  <c r="G216" i="3"/>
  <c r="BL222" i="3"/>
  <c r="G250" i="3"/>
  <c r="BA256" i="3"/>
  <c r="AZ256" i="3" s="1"/>
  <c r="BL256" i="3"/>
  <c r="G280" i="3"/>
  <c r="G295" i="3"/>
  <c r="BL298" i="3"/>
  <c r="BL299" i="3"/>
  <c r="G138" i="3"/>
  <c r="G150" i="3"/>
  <c r="BL155" i="3"/>
  <c r="AZ155" i="3" s="1"/>
  <c r="G163" i="3"/>
  <c r="G164" i="3"/>
  <c r="BL181" i="3"/>
  <c r="G38" i="3"/>
  <c r="G56" i="3"/>
  <c r="BL59" i="3"/>
  <c r="BL60" i="3"/>
  <c r="BA61" i="3"/>
  <c r="BA77" i="3"/>
  <c r="BA79" i="3"/>
  <c r="AZ79" i="3" s="1"/>
  <c r="G86" i="3"/>
  <c r="G102" i="3"/>
  <c r="G103" i="3"/>
  <c r="BA109" i="3"/>
  <c r="P27" i="6"/>
  <c r="E67" i="71"/>
  <c r="B79" i="71"/>
  <c r="B78" i="71" s="1"/>
  <c r="AC27" i="35"/>
  <c r="AB27" i="35"/>
  <c r="U32" i="35"/>
  <c r="H87" i="35"/>
  <c r="I87" i="35" s="1"/>
  <c r="J87" i="35" s="1"/>
  <c r="K87" i="35" s="1"/>
  <c r="L87" i="35" s="1"/>
  <c r="M87" i="35" s="1"/>
  <c r="J29" i="35"/>
  <c r="AC29" i="35" s="1"/>
  <c r="H29" i="35"/>
  <c r="AB29" i="35" s="1"/>
  <c r="F29" i="35"/>
  <c r="S29" i="35" s="1"/>
  <c r="AA33" i="35"/>
  <c r="U31" i="35"/>
  <c r="AA20" i="35"/>
  <c r="W18" i="35"/>
  <c r="AA16" i="35"/>
  <c r="W16" i="35"/>
  <c r="S14" i="35"/>
  <c r="J1" i="73"/>
  <c r="AC27" i="40"/>
  <c r="W27" i="40"/>
  <c r="U34" i="35"/>
  <c r="AB34" i="35"/>
  <c r="AC27" i="33"/>
  <c r="AC23" i="37"/>
  <c r="U9" i="21"/>
  <c r="AA23" i="37"/>
  <c r="AC33" i="34"/>
  <c r="W33" i="34"/>
  <c r="AA30" i="40"/>
  <c r="S30" i="40"/>
  <c r="AZ379" i="3"/>
  <c r="AZ307" i="3"/>
  <c r="W17" i="21"/>
  <c r="AC15" i="21"/>
  <c r="S39" i="39"/>
  <c r="AA39" i="39"/>
  <c r="S40" i="34"/>
  <c r="AA40" i="34"/>
  <c r="S11" i="39"/>
  <c r="AA11" i="39"/>
  <c r="AA19" i="33"/>
  <c r="AB32" i="37"/>
  <c r="U32" i="37"/>
  <c r="W20" i="36"/>
  <c r="AC20" i="36"/>
  <c r="AZ140" i="3"/>
  <c r="W11" i="39"/>
  <c r="AC11" i="39"/>
  <c r="AZ345" i="3"/>
  <c r="AZ372" i="3"/>
  <c r="AZ347" i="3"/>
  <c r="AZ337" i="3"/>
  <c r="AZ376" i="3"/>
  <c r="AZ309" i="3"/>
  <c r="AC12" i="37"/>
  <c r="W47" i="34"/>
  <c r="AZ523" i="3"/>
  <c r="AZ547" i="3"/>
  <c r="AZ569" i="3"/>
  <c r="AZ571" i="3"/>
  <c r="AZ579" i="3"/>
  <c r="AZ516" i="3"/>
  <c r="AZ524" i="3"/>
  <c r="AC28" i="21"/>
  <c r="AC31" i="34"/>
  <c r="AC11" i="35"/>
  <c r="W11" i="40"/>
  <c r="U38" i="40"/>
  <c r="AB39" i="40"/>
  <c r="U35" i="33"/>
  <c r="W28" i="36"/>
  <c r="BL585" i="3"/>
  <c r="AZ585" i="3" s="1"/>
  <c r="B75" i="43"/>
  <c r="H9" i="33"/>
  <c r="H23" i="35"/>
  <c r="W31" i="35"/>
  <c r="AC31" i="35"/>
  <c r="G552" i="3"/>
  <c r="AZ419" i="3"/>
  <c r="AZ529" i="3"/>
  <c r="J24" i="36"/>
  <c r="H24" i="36"/>
  <c r="BA551" i="3"/>
  <c r="AZ551" i="3" s="1"/>
  <c r="BA550" i="3"/>
  <c r="BL548" i="3"/>
  <c r="F29" i="6"/>
  <c r="E29" i="6" s="1"/>
  <c r="K15" i="1" s="1"/>
  <c r="AZ391" i="3"/>
  <c r="AZ318" i="3"/>
  <c r="AZ364" i="3"/>
  <c r="AZ329" i="3"/>
  <c r="AZ304" i="3"/>
  <c r="AZ306" i="3"/>
  <c r="AZ577" i="3"/>
  <c r="AZ513" i="3"/>
  <c r="AZ575" i="3"/>
  <c r="AZ528" i="3"/>
  <c r="AZ548" i="3"/>
  <c r="AZ566" i="3"/>
  <c r="AZ574" i="3"/>
  <c r="AZ582" i="3"/>
  <c r="AZ502" i="3"/>
  <c r="S45" i="33"/>
  <c r="U46" i="33"/>
  <c r="S27" i="35"/>
  <c r="W33" i="33"/>
  <c r="U34" i="34"/>
  <c r="W28" i="35"/>
  <c r="U9" i="39"/>
  <c r="BL587" i="3"/>
  <c r="AZ587" i="3" s="1"/>
  <c r="BL586" i="3"/>
  <c r="AZ586" i="3" s="1"/>
  <c r="J12" i="35"/>
  <c r="G582" i="3"/>
  <c r="AZ217" i="3"/>
  <c r="AZ519" i="3"/>
  <c r="AZ573" i="3"/>
  <c r="BL550" i="3"/>
  <c r="AZ301" i="3"/>
  <c r="W21" i="37"/>
  <c r="AC21" i="37"/>
  <c r="C25" i="40"/>
  <c r="B88" i="43"/>
  <c r="AA18" i="36"/>
  <c r="S18" i="36"/>
  <c r="F30" i="71"/>
  <c r="F31" i="71" s="1"/>
  <c r="F32" i="71" s="1"/>
  <c r="V32" i="71" s="1"/>
  <c r="AB28" i="71"/>
  <c r="AA39" i="71"/>
  <c r="AA38" i="71"/>
  <c r="U76" i="71"/>
  <c r="E75" i="71"/>
  <c r="E74" i="71" s="1"/>
  <c r="U80" i="71"/>
  <c r="E79" i="71"/>
  <c r="E78" i="71" s="1"/>
  <c r="G558" i="3"/>
  <c r="BL398" i="3"/>
  <c r="G402" i="3"/>
  <c r="BL403" i="3"/>
  <c r="G406" i="3"/>
  <c r="BA408" i="3"/>
  <c r="BA409" i="3"/>
  <c r="BA411" i="3"/>
  <c r="AZ411" i="3" s="1"/>
  <c r="BL414" i="3"/>
  <c r="BL415" i="3"/>
  <c r="BA417" i="3"/>
  <c r="AZ417" i="3" s="1"/>
  <c r="BL421" i="3"/>
  <c r="BL422" i="3"/>
  <c r="BL425" i="3"/>
  <c r="BL426" i="3"/>
  <c r="AZ426" i="3" s="1"/>
  <c r="BA428" i="3"/>
  <c r="BA429" i="3"/>
  <c r="AZ429" i="3" s="1"/>
  <c r="BA430" i="3"/>
  <c r="AZ430" i="3" s="1"/>
  <c r="BA432" i="3"/>
  <c r="AZ432" i="3" s="1"/>
  <c r="BA434" i="3"/>
  <c r="BA436" i="3"/>
  <c r="BA438" i="3"/>
  <c r="AZ438" i="3" s="1"/>
  <c r="G443" i="3"/>
  <c r="BA446" i="3"/>
  <c r="AZ446" i="3" s="1"/>
  <c r="BA450" i="3"/>
  <c r="AZ450" i="3" s="1"/>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AZ238" i="3" s="1"/>
  <c r="BA243" i="3"/>
  <c r="BA248" i="3"/>
  <c r="AZ248" i="3" s="1"/>
  <c r="BA249" i="3"/>
  <c r="BL249" i="3"/>
  <c r="BA252" i="3"/>
  <c r="AZ252" i="3" s="1"/>
  <c r="BA254" i="3"/>
  <c r="AZ254" i="3" s="1"/>
  <c r="G260" i="3"/>
  <c r="BL260" i="3"/>
  <c r="G262" i="3"/>
  <c r="BL264" i="3"/>
  <c r="BA267" i="3"/>
  <c r="AZ267" i="3" s="1"/>
  <c r="G270" i="3"/>
  <c r="BL270" i="3"/>
  <c r="AZ270" i="3" s="1"/>
  <c r="BA274" i="3"/>
  <c r="AZ274" i="3" s="1"/>
  <c r="BL274" i="3"/>
  <c r="BL278" i="3"/>
  <c r="BA288" i="3"/>
  <c r="BA125" i="3"/>
  <c r="AZ125" i="3" s="1"/>
  <c r="BL15" i="3"/>
  <c r="AZ15" i="3" s="1"/>
  <c r="BA398" i="3"/>
  <c r="BA399" i="3"/>
  <c r="AZ399" i="3" s="1"/>
  <c r="BL401" i="3"/>
  <c r="BL404" i="3"/>
  <c r="BL405" i="3"/>
  <c r="BL407" i="3"/>
  <c r="AZ407" i="3" s="1"/>
  <c r="BA412" i="3"/>
  <c r="BA414" i="3"/>
  <c r="AZ414" i="3" s="1"/>
  <c r="BA415" i="3"/>
  <c r="BA416" i="3"/>
  <c r="BA418" i="3"/>
  <c r="AZ418" i="3" s="1"/>
  <c r="BA421" i="3"/>
  <c r="AZ421" i="3" s="1"/>
  <c r="BA423" i="3"/>
  <c r="BA425" i="3"/>
  <c r="BA426" i="3"/>
  <c r="BA427" i="3"/>
  <c r="BA433" i="3"/>
  <c r="AZ433" i="3" s="1"/>
  <c r="BA435" i="3"/>
  <c r="AZ435" i="3" s="1"/>
  <c r="BL437" i="3"/>
  <c r="AZ437" i="3" s="1"/>
  <c r="G439" i="3"/>
  <c r="G440" i="3"/>
  <c r="BL441" i="3"/>
  <c r="BL442" i="3"/>
  <c r="BL444" i="3"/>
  <c r="AZ444" i="3" s="1"/>
  <c r="G446" i="3"/>
  <c r="G447" i="3"/>
  <c r="BL448" i="3"/>
  <c r="G450" i="3"/>
  <c r="G451" i="3"/>
  <c r="BA454" i="3"/>
  <c r="AZ454" i="3" s="1"/>
  <c r="BA457" i="3"/>
  <c r="BA459" i="3"/>
  <c r="BA460" i="3"/>
  <c r="AZ460" i="3" s="1"/>
  <c r="BA461" i="3"/>
  <c r="BL464" i="3"/>
  <c r="BL466" i="3"/>
  <c r="AZ466" i="3" s="1"/>
  <c r="G468" i="3"/>
  <c r="G469" i="3"/>
  <c r="BL476" i="3"/>
  <c r="BL477" i="3"/>
  <c r="BL478" i="3"/>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AZ242" i="3" s="1"/>
  <c r="G246" i="3"/>
  <c r="BA247" i="3"/>
  <c r="BL247" i="3"/>
  <c r="BL250" i="3"/>
  <c r="G258" i="3"/>
  <c r="BA263" i="3"/>
  <c r="AZ263" i="3" s="1"/>
  <c r="G268" i="3"/>
  <c r="BL275" i="3"/>
  <c r="BA281" i="3"/>
  <c r="BA286" i="3"/>
  <c r="BL287" i="3"/>
  <c r="BL289" i="3"/>
  <c r="G574" i="3"/>
  <c r="BL16" i="3"/>
  <c r="AZ16" i="3" s="1"/>
  <c r="BA401" i="3"/>
  <c r="AZ401" i="3" s="1"/>
  <c r="BA403" i="3"/>
  <c r="AZ403" i="3" s="1"/>
  <c r="BA404" i="3"/>
  <c r="AZ404" i="3" s="1"/>
  <c r="BA405" i="3"/>
  <c r="BL410" i="3"/>
  <c r="G412" i="3"/>
  <c r="G418" i="3"/>
  <c r="BA422" i="3"/>
  <c r="G429" i="3"/>
  <c r="BL431" i="3"/>
  <c r="G433" i="3"/>
  <c r="BL434" i="3"/>
  <c r="AZ434" i="3" s="1"/>
  <c r="G436" i="3"/>
  <c r="BL438" i="3"/>
  <c r="BL439" i="3"/>
  <c r="AZ439" i="3" s="1"/>
  <c r="BA441" i="3"/>
  <c r="BL445" i="3"/>
  <c r="AZ445" i="3" s="1"/>
  <c r="BL446" i="3"/>
  <c r="BL449" i="3"/>
  <c r="AZ449" i="3" s="1"/>
  <c r="BL450" i="3"/>
  <c r="BL452" i="3"/>
  <c r="G454" i="3"/>
  <c r="BL456" i="3"/>
  <c r="AZ456" i="3" s="1"/>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6" i="3"/>
  <c r="G256" i="3"/>
  <c r="BA258" i="3"/>
  <c r="G266" i="3"/>
  <c r="BA268" i="3"/>
  <c r="AA25" i="40"/>
  <c r="S25" i="40"/>
  <c r="BL273" i="3"/>
  <c r="G274" i="3"/>
  <c r="BA277" i="3"/>
  <c r="BL277" i="3"/>
  <c r="BA282" i="3"/>
  <c r="BL282" i="3"/>
  <c r="BA284" i="3"/>
  <c r="BL290" i="3"/>
  <c r="AZ290" i="3" s="1"/>
  <c r="BL291" i="3"/>
  <c r="AZ291" i="3" s="1"/>
  <c r="BL293" i="3"/>
  <c r="BL294" i="3"/>
  <c r="BA297" i="3"/>
  <c r="BL297" i="3"/>
  <c r="BL300" i="3"/>
  <c r="BA302" i="3"/>
  <c r="G115" i="3"/>
  <c r="BA117" i="3"/>
  <c r="BA130" i="3"/>
  <c r="AZ130" i="3" s="1"/>
  <c r="BL130" i="3"/>
  <c r="BA137" i="3"/>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BA181" i="3"/>
  <c r="AZ181" i="3" s="1"/>
  <c r="BA182" i="3"/>
  <c r="BL185" i="3"/>
  <c r="BL193" i="3"/>
  <c r="BL194" i="3"/>
  <c r="BA198" i="3"/>
  <c r="BA48" i="3"/>
  <c r="AZ48" i="3" s="1"/>
  <c r="BA49" i="3"/>
  <c r="BL50" i="3"/>
  <c r="BL51" i="3"/>
  <c r="BL53" i="3"/>
  <c r="BA56" i="3"/>
  <c r="BA57" i="3"/>
  <c r="BL58" i="3"/>
  <c r="AZ58" i="3" s="1"/>
  <c r="G60" i="3"/>
  <c r="BA60" i="3"/>
  <c r="BL77" i="3"/>
  <c r="AZ77" i="3" s="1"/>
  <c r="BL81" i="3"/>
  <c r="BA82" i="3"/>
  <c r="G109" i="3"/>
  <c r="C64" i="71"/>
  <c r="D64" i="71" s="1"/>
  <c r="D63" i="71"/>
  <c r="B27" i="71"/>
  <c r="B26" i="71" s="1"/>
  <c r="S28" i="71"/>
  <c r="BA116" i="3"/>
  <c r="AZ116" i="3" s="1"/>
  <c r="BA121" i="3"/>
  <c r="BL121" i="3"/>
  <c r="BA124" i="3"/>
  <c r="AZ124" i="3" s="1"/>
  <c r="BA126" i="3"/>
  <c r="AZ126" i="3" s="1"/>
  <c r="BA129" i="3"/>
  <c r="BL133" i="3"/>
  <c r="AZ133" i="3" s="1"/>
  <c r="BL139" i="3"/>
  <c r="AZ139" i="3" s="1"/>
  <c r="BL141" i="3"/>
  <c r="BL143" i="3"/>
  <c r="AZ143" i="3" s="1"/>
  <c r="BL157" i="3"/>
  <c r="BL159" i="3"/>
  <c r="AZ159" i="3" s="1"/>
  <c r="BL177" i="3"/>
  <c r="AZ177" i="3" s="1"/>
  <c r="BL183" i="3"/>
  <c r="AZ183" i="3" s="1"/>
  <c r="BA186" i="3"/>
  <c r="AZ186" i="3" s="1"/>
  <c r="BA190" i="3"/>
  <c r="AZ190" i="3" s="1"/>
  <c r="BA197" i="3"/>
  <c r="AZ197" i="3" s="1"/>
  <c r="BA201" i="3"/>
  <c r="AZ201" i="3" s="1"/>
  <c r="BA202" i="3"/>
  <c r="BL206" i="3"/>
  <c r="BA19" i="3"/>
  <c r="AZ19" i="3" s="1"/>
  <c r="G27" i="3"/>
  <c r="BA27" i="3"/>
  <c r="AZ27" i="3" s="1"/>
  <c r="BL30" i="3"/>
  <c r="AZ30" i="3" s="1"/>
  <c r="BL31" i="3"/>
  <c r="AZ31" i="3" s="1"/>
  <c r="G37" i="3"/>
  <c r="BL40" i="3"/>
  <c r="AZ40" i="3" s="1"/>
  <c r="BL41" i="3"/>
  <c r="BL45" i="3"/>
  <c r="BL49" i="3"/>
  <c r="BA64" i="3"/>
  <c r="AZ64" i="3" s="1"/>
  <c r="C5" i="68"/>
  <c r="BL245" i="3"/>
  <c r="G247" i="3"/>
  <c r="BL255" i="3"/>
  <c r="AZ255" i="3" s="1"/>
  <c r="G257" i="3"/>
  <c r="BL257" i="3"/>
  <c r="AZ257" i="3" s="1"/>
  <c r="BL258" i="3"/>
  <c r="AZ258" i="3" s="1"/>
  <c r="G259" i="3"/>
  <c r="BA262" i="3"/>
  <c r="AZ262" i="3" s="1"/>
  <c r="G265" i="3"/>
  <c r="BL265" i="3"/>
  <c r="AZ265" i="3" s="1"/>
  <c r="G267" i="3"/>
  <c r="G269" i="3"/>
  <c r="BA273" i="3"/>
  <c r="AZ273" i="3" s="1"/>
  <c r="BA278" i="3"/>
  <c r="BA280" i="3"/>
  <c r="AZ280" i="3" s="1"/>
  <c r="G283" i="3"/>
  <c r="BL283" i="3"/>
  <c r="AZ283" i="3" s="1"/>
  <c r="BL284" i="3"/>
  <c r="G285" i="3"/>
  <c r="G288" i="3"/>
  <c r="BL292" i="3"/>
  <c r="BA294" i="3"/>
  <c r="BL295" i="3"/>
  <c r="BA298" i="3"/>
  <c r="BL301" i="3"/>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G183" i="3"/>
  <c r="BA185" i="3"/>
  <c r="BL198" i="3"/>
  <c r="BL199" i="3"/>
  <c r="AZ199" i="3" s="1"/>
  <c r="BA200" i="3"/>
  <c r="AZ200" i="3" s="1"/>
  <c r="G204" i="3"/>
  <c r="G205" i="3"/>
  <c r="BA18" i="3"/>
  <c r="BL21" i="3"/>
  <c r="G23" i="3"/>
  <c r="BL29" i="3"/>
  <c r="G33" i="3"/>
  <c r="G34" i="3"/>
  <c r="BA37" i="3"/>
  <c r="BL39" i="3"/>
  <c r="G43" i="3"/>
  <c r="G44" i="3"/>
  <c r="BA45" i="3"/>
  <c r="BA46" i="3"/>
  <c r="BA50" i="3"/>
  <c r="BL54" i="3"/>
  <c r="BL55" i="3"/>
  <c r="AZ55" i="3" s="1"/>
  <c r="G57" i="3"/>
  <c r="BA59" i="3"/>
  <c r="AZ59" i="3" s="1"/>
  <c r="G61" i="3"/>
  <c r="BL61" i="3"/>
  <c r="AZ61" i="3" s="1"/>
  <c r="BA66" i="3"/>
  <c r="BL82" i="3"/>
  <c r="G83" i="3"/>
  <c r="BA84" i="3"/>
  <c r="BL88" i="3"/>
  <c r="AZ88" i="3" s="1"/>
  <c r="G90" i="3"/>
  <c r="BL90" i="3"/>
  <c r="BA100" i="3"/>
  <c r="AZ103" i="3"/>
  <c r="G111" i="3"/>
  <c r="AC29" i="39"/>
  <c r="W29" i="39"/>
  <c r="D56" i="71"/>
  <c r="T56" i="71"/>
  <c r="E28" i="71"/>
  <c r="AA27" i="71"/>
  <c r="AA28" i="71"/>
  <c r="D38" i="71"/>
  <c r="C39" i="71"/>
  <c r="AA34" i="71"/>
  <c r="X35" i="71"/>
  <c r="X38" i="71"/>
  <c r="V76" i="71"/>
  <c r="F75" i="71"/>
  <c r="F74" i="71" s="1"/>
  <c r="D84" i="71"/>
  <c r="C83" i="71"/>
  <c r="AB27" i="71"/>
  <c r="AB26" i="7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BL63" i="3"/>
  <c r="AZ63" i="3" s="1"/>
  <c r="G65" i="3"/>
  <c r="BL65" i="3"/>
  <c r="AZ65" i="3" s="1"/>
  <c r="BL66" i="3"/>
  <c r="BL67" i="3"/>
  <c r="AZ67" i="3" s="1"/>
  <c r="G69" i="3"/>
  <c r="G70" i="3"/>
  <c r="BL70" i="3"/>
  <c r="AZ70" i="3" s="1"/>
  <c r="BL71" i="3"/>
  <c r="AZ71" i="3" s="1"/>
  <c r="BL72" i="3"/>
  <c r="AZ72" i="3" s="1"/>
  <c r="BL75" i="3"/>
  <c r="BL91" i="3"/>
  <c r="BL100" i="3"/>
  <c r="BL105" i="3"/>
  <c r="AZ105" i="3" s="1"/>
  <c r="BL107" i="3"/>
  <c r="AA3" i="71"/>
  <c r="D67" i="71"/>
  <c r="C66" i="71"/>
  <c r="O67" i="71"/>
  <c r="Y26" i="71"/>
  <c r="Z26" i="71" s="1"/>
  <c r="X36" i="71"/>
  <c r="X31" i="71"/>
  <c r="E35" i="71"/>
  <c r="E36" i="71" s="1"/>
  <c r="U36" i="71" s="1"/>
  <c r="X26" i="71"/>
  <c r="Y29" i="71"/>
  <c r="Z29" i="71" s="1"/>
  <c r="Y30" i="71"/>
  <c r="Z30" i="71" s="1"/>
  <c r="X25" i="71"/>
  <c r="B34" i="71"/>
  <c r="B35" i="71" s="1"/>
  <c r="B36" i="71" s="1"/>
  <c r="S36" i="71" s="1"/>
  <c r="AB34" i="71"/>
  <c r="Y35" i="71"/>
  <c r="Z35" i="71" s="1"/>
  <c r="AB31" i="71"/>
  <c r="AB36" i="71"/>
  <c r="AA36" i="71"/>
  <c r="AA37" i="71"/>
  <c r="E38" i="71"/>
  <c r="E39" i="71" s="1"/>
  <c r="E40" i="71" s="1"/>
  <c r="U40" i="71" s="1"/>
  <c r="C51" i="71"/>
  <c r="C60" i="71"/>
  <c r="D59" i="71"/>
  <c r="B63" i="71"/>
  <c r="B64" i="71" s="1"/>
  <c r="S64" i="71" s="1"/>
  <c r="B67" i="71"/>
  <c r="N68" i="71"/>
  <c r="BL68" i="3"/>
  <c r="AZ68" i="3" s="1"/>
  <c r="BA69" i="3"/>
  <c r="AZ69" i="3" s="1"/>
  <c r="BL73" i="3"/>
  <c r="AZ73" i="3" s="1"/>
  <c r="BA74" i="3"/>
  <c r="AZ74" i="3" s="1"/>
  <c r="BA75" i="3"/>
  <c r="AZ75" i="3" s="1"/>
  <c r="BA78" i="3"/>
  <c r="BA80" i="3"/>
  <c r="G84" i="3"/>
  <c r="BL84" i="3"/>
  <c r="BA89" i="3"/>
  <c r="BL92" i="3"/>
  <c r="AZ92" i="3" s="1"/>
  <c r="BL94" i="3"/>
  <c r="AZ94" i="3" s="1"/>
  <c r="BL99" i="3"/>
  <c r="G101" i="3"/>
  <c r="BA101" i="3"/>
  <c r="AZ101" i="3" s="1"/>
  <c r="BA102" i="3"/>
  <c r="BL110" i="3"/>
  <c r="BL111" i="3"/>
  <c r="AZ111" i="3" s="1"/>
  <c r="AA21" i="37"/>
  <c r="S21" i="37"/>
  <c r="X34" i="71"/>
  <c r="AA30" i="71"/>
  <c r="C28" i="71"/>
  <c r="Y28" i="71"/>
  <c r="Z28" i="71" s="1"/>
  <c r="Y25" i="71"/>
  <c r="Z25" i="71" s="1"/>
  <c r="T72" i="71"/>
  <c r="C71" i="71"/>
  <c r="T80" i="71"/>
  <c r="C79" i="71"/>
  <c r="G81" i="3"/>
  <c r="G85" i="3"/>
  <c r="BL85" i="3"/>
  <c r="BA86" i="3"/>
  <c r="BA87" i="3"/>
  <c r="BA91" i="3"/>
  <c r="AZ91" i="3" s="1"/>
  <c r="G96" i="3"/>
  <c r="BL97" i="3"/>
  <c r="AZ97" i="3" s="1"/>
  <c r="BL101" i="3"/>
  <c r="BL102" i="3"/>
  <c r="G104" i="3"/>
  <c r="G105" i="3"/>
  <c r="BL106" i="3"/>
  <c r="BA108" i="3"/>
  <c r="AZ108" i="3" s="1"/>
  <c r="BA110" i="3"/>
  <c r="AZ110" i="3" s="1"/>
  <c r="F3" i="35"/>
  <c r="B77" i="43"/>
  <c r="AA18" i="35"/>
  <c r="C87" i="71"/>
  <c r="AB25" i="71"/>
  <c r="C43" i="71"/>
  <c r="C35" i="71"/>
  <c r="X33" i="71"/>
  <c r="AB37" i="71"/>
  <c r="X28" i="71"/>
  <c r="X32" i="71"/>
  <c r="F40" i="71"/>
  <c r="V40" i="71" s="1"/>
  <c r="AB38" i="7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52" i="3"/>
  <c r="AZ468" i="3"/>
  <c r="W35" i="39"/>
  <c r="F27" i="34"/>
  <c r="C21" i="39"/>
  <c r="U9" i="36"/>
  <c r="U14" i="37"/>
  <c r="H12" i="21"/>
  <c r="G526" i="3"/>
  <c r="AZ420" i="3"/>
  <c r="AZ424" i="3"/>
  <c r="AZ436" i="3"/>
  <c r="G28" i="6"/>
  <c r="U26" i="21"/>
  <c r="W36" i="39"/>
  <c r="U23" i="40"/>
  <c r="AA39" i="37"/>
  <c r="AC16" i="36"/>
  <c r="AB12" i="33"/>
  <c r="C27" i="39"/>
  <c r="U40" i="40"/>
  <c r="AC9" i="40"/>
  <c r="W36" i="35"/>
  <c r="J12" i="21"/>
  <c r="B73" i="43"/>
  <c r="B76" i="43"/>
  <c r="F9" i="36"/>
  <c r="J40" i="40"/>
  <c r="G562" i="3"/>
  <c r="AZ463" i="3"/>
  <c r="AZ385" i="3"/>
  <c r="AZ212" i="3"/>
  <c r="AZ220" i="3"/>
  <c r="AZ293" i="3"/>
  <c r="BA472" i="3"/>
  <c r="AZ472" i="3" s="1"/>
  <c r="G476" i="3"/>
  <c r="AZ478"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BL268" i="3"/>
  <c r="AZ268" i="3" s="1"/>
  <c r="G278" i="3"/>
  <c r="BA474" i="3"/>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BL253" i="3"/>
  <c r="AZ253" i="3" s="1"/>
  <c r="BA261" i="3"/>
  <c r="BA264" i="3"/>
  <c r="AZ264" i="3" s="1"/>
  <c r="BA266" i="3"/>
  <c r="AZ266" i="3" s="1"/>
  <c r="G272" i="3"/>
  <c r="G275" i="3"/>
  <c r="BL276" i="3"/>
  <c r="AZ276" i="3" s="1"/>
  <c r="BL279" i="3"/>
  <c r="AZ279" i="3" s="1"/>
  <c r="BL281" i="3"/>
  <c r="AZ281" i="3" s="1"/>
  <c r="BA285" i="3"/>
  <c r="AZ285" i="3" s="1"/>
  <c r="BA287" i="3"/>
  <c r="AZ287" i="3" s="1"/>
  <c r="AZ207" i="3"/>
  <c r="BA289" i="3"/>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BA292" i="3"/>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BL202"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BL78" i="3"/>
  <c r="BA83" i="3"/>
  <c r="G91" i="3"/>
  <c r="BL95" i="3"/>
  <c r="BL98" i="3"/>
  <c r="AZ98" i="3" s="1"/>
  <c r="BL109" i="3"/>
  <c r="AZ109" i="3" s="1"/>
  <c r="AB21" i="21"/>
  <c r="AZ78" i="3"/>
  <c r="AZ95" i="3"/>
  <c r="G77" i="3"/>
  <c r="BA81" i="3"/>
  <c r="AZ81" i="3" s="1"/>
  <c r="BA85" i="3"/>
  <c r="BL89" i="3"/>
  <c r="G94" i="3"/>
  <c r="G97" i="3"/>
  <c r="G100" i="3"/>
  <c r="BA107" i="3"/>
  <c r="AZ107" i="3" s="1"/>
  <c r="BA112" i="3"/>
  <c r="AZ112" i="3" s="1"/>
  <c r="AC21" i="34"/>
  <c r="E27" i="71"/>
  <c r="E26" i="71" s="1"/>
  <c r="V28" i="71"/>
  <c r="BA76" i="3"/>
  <c r="AZ76" i="3" s="1"/>
  <c r="BL80" i="3"/>
  <c r="BL87" i="3"/>
  <c r="BA93" i="3"/>
  <c r="AZ93" i="3" s="1"/>
  <c r="BA96" i="3"/>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15"/>
  <c r="F65" i="15"/>
  <c r="G20" i="9"/>
  <c r="C103" i="9"/>
  <c r="B13" i="70"/>
  <c r="F64" i="67"/>
  <c r="F68" i="15"/>
  <c r="C36" i="68"/>
  <c r="D9" i="69"/>
  <c r="C36" i="69"/>
  <c r="D9" i="68"/>
  <c r="F42" i="15"/>
  <c r="M24" i="67"/>
  <c r="J15" i="67"/>
  <c r="F7" i="67"/>
  <c r="F26" i="67"/>
  <c r="C16" i="15"/>
  <c r="F43" i="67"/>
  <c r="F13" i="67"/>
  <c r="F16" i="67"/>
  <c r="M22" i="15"/>
  <c r="M26" i="15"/>
  <c r="D7" i="73"/>
  <c r="D5" i="73"/>
  <c r="M28" i="15"/>
  <c r="D6" i="73"/>
  <c r="F40" i="67"/>
  <c r="L47" i="67"/>
  <c r="D4" i="73"/>
  <c r="D3" i="73"/>
  <c r="M28" i="67"/>
  <c r="F7" i="81" l="1"/>
  <c r="F71" i="67"/>
  <c r="F50" i="67"/>
  <c r="F59" i="67" s="1"/>
  <c r="C6" i="67"/>
  <c r="C32" i="67" s="1"/>
  <c r="F31" i="67"/>
  <c r="M7" i="67"/>
  <c r="J6" i="67" s="1"/>
  <c r="J18" i="67" s="1"/>
  <c r="F68" i="67"/>
  <c r="M59" i="67"/>
  <c r="L58" i="67"/>
  <c r="Q73" i="67" s="1"/>
  <c r="N59" i="67"/>
  <c r="L59" i="67"/>
  <c r="Q61" i="67" s="1"/>
  <c r="C27" i="67"/>
  <c r="AZ117" i="3"/>
  <c r="AZ41" i="3"/>
  <c r="AZ198" i="3"/>
  <c r="AZ250" i="3"/>
  <c r="AZ211" i="3"/>
  <c r="AZ423" i="3"/>
  <c r="AZ230" i="3"/>
  <c r="AZ397" i="3"/>
  <c r="AZ400" i="3"/>
  <c r="U27" i="37"/>
  <c r="AB27" i="37"/>
  <c r="AZ496" i="3"/>
  <c r="AZ185" i="3"/>
  <c r="AZ194" i="3"/>
  <c r="U7" i="81"/>
  <c r="AB7" i="81"/>
  <c r="T38" i="81" s="1"/>
  <c r="G38" i="81" s="1"/>
  <c r="W31" i="39"/>
  <c r="AC31" i="39"/>
  <c r="AA37" i="39"/>
  <c r="S37" i="39"/>
  <c r="AZ113" i="3"/>
  <c r="W7" i="81"/>
  <c r="AC7" i="81"/>
  <c r="V38" i="81" s="1"/>
  <c r="I38" i="81" s="1"/>
  <c r="AA31" i="39"/>
  <c r="S31" i="39"/>
  <c r="AB13" i="37"/>
  <c r="U13" i="37"/>
  <c r="AC27" i="37"/>
  <c r="W27" i="37"/>
  <c r="T32" i="71"/>
  <c r="D32" i="71"/>
  <c r="AZ86" i="3"/>
  <c r="AZ416" i="3"/>
  <c r="AA7" i="81"/>
  <c r="R38" i="81" s="1"/>
  <c r="S7" i="81"/>
  <c r="S44" i="33"/>
  <c r="AA44" i="33"/>
  <c r="AZ499" i="3"/>
  <c r="AB31" i="39"/>
  <c r="U31" i="39"/>
  <c r="AB23" i="36"/>
  <c r="U23" i="36"/>
  <c r="AZ182" i="3"/>
  <c r="AZ244" i="3"/>
  <c r="U12" i="35"/>
  <c r="AB12" i="35"/>
  <c r="AA28" i="21"/>
  <c r="S28" i="21"/>
  <c r="U44" i="21"/>
  <c r="AB44" i="21"/>
  <c r="AA23" i="35"/>
  <c r="S23" i="35"/>
  <c r="D17" i="53"/>
  <c r="B36" i="72" s="1"/>
  <c r="F26" i="43"/>
  <c r="E59" i="40"/>
  <c r="AZ99" i="3"/>
  <c r="AZ213" i="3"/>
  <c r="AZ62" i="3"/>
  <c r="AZ100" i="3"/>
  <c r="AZ157" i="3"/>
  <c r="AZ57" i="3"/>
  <c r="AZ367" i="3"/>
  <c r="AZ480" i="3"/>
  <c r="AZ459" i="3"/>
  <c r="AZ451" i="3"/>
  <c r="AA31" i="33"/>
  <c r="S31" i="33"/>
  <c r="W27" i="21"/>
  <c r="AC27" i="21"/>
  <c r="AZ546" i="3"/>
  <c r="AC23" i="35"/>
  <c r="W23" i="35"/>
  <c r="AA38" i="40"/>
  <c r="S38" i="40"/>
  <c r="AZ96" i="3"/>
  <c r="AZ83" i="3"/>
  <c r="AZ422" i="3"/>
  <c r="AZ286" i="3"/>
  <c r="AZ412" i="3"/>
  <c r="B19" i="71"/>
  <c r="B18" i="71" s="1"/>
  <c r="B17" i="71" s="1"/>
  <c r="B16" i="71" s="1"/>
  <c r="S20" i="71"/>
  <c r="AA33" i="36"/>
  <c r="S33" i="36"/>
  <c r="S38" i="37"/>
  <c r="AA38" i="37"/>
  <c r="U37" i="39"/>
  <c r="AB37" i="39"/>
  <c r="AB27" i="21"/>
  <c r="U27" i="21"/>
  <c r="W38" i="40"/>
  <c r="AC38" i="40"/>
  <c r="AA44" i="39"/>
  <c r="S44" i="39"/>
  <c r="P6" i="1"/>
  <c r="C13" i="12" s="1"/>
  <c r="AZ89" i="3"/>
  <c r="AZ292" i="3"/>
  <c r="AZ289" i="3"/>
  <c r="AZ261" i="3"/>
  <c r="AZ29" i="3"/>
  <c r="AZ245" i="3"/>
  <c r="AZ409" i="3"/>
  <c r="E66" i="71"/>
  <c r="P67" i="71"/>
  <c r="S31" i="21"/>
  <c r="AA31" i="21"/>
  <c r="AC13" i="40"/>
  <c r="W13" i="40"/>
  <c r="AC44" i="39"/>
  <c r="W44" i="39"/>
  <c r="AZ87" i="3"/>
  <c r="AZ85" i="3"/>
  <c r="AZ288" i="3"/>
  <c r="AZ298" i="3"/>
  <c r="AZ51" i="3"/>
  <c r="AZ297" i="3"/>
  <c r="AZ275" i="3"/>
  <c r="AZ408" i="3"/>
  <c r="AZ210" i="3"/>
  <c r="AZ251" i="3"/>
  <c r="S12" i="40"/>
  <c r="AA12" i="40"/>
  <c r="AZ553" i="3"/>
  <c r="AB12" i="40"/>
  <c r="U12" i="40"/>
  <c r="AB44" i="39"/>
  <c r="U44" i="39"/>
  <c r="AZ138" i="3"/>
  <c r="AZ246" i="3"/>
  <c r="AZ316" i="3"/>
  <c r="F30" i="6"/>
  <c r="F31" i="6" s="1"/>
  <c r="AZ84" i="3"/>
  <c r="AZ45" i="3"/>
  <c r="AZ332" i="3"/>
  <c r="AZ477" i="3"/>
  <c r="AZ427" i="3"/>
  <c r="AZ118" i="3"/>
  <c r="U14" i="34"/>
  <c r="AB14" i="34"/>
  <c r="AC12" i="40"/>
  <c r="W12" i="40"/>
  <c r="AZ202" i="3"/>
  <c r="AZ53" i="3"/>
  <c r="AZ150" i="3"/>
  <c r="AZ294" i="3"/>
  <c r="AZ405" i="3"/>
  <c r="AZ476" i="3"/>
  <c r="AZ428" i="3"/>
  <c r="AA23" i="36"/>
  <c r="S23" i="36"/>
  <c r="U29" i="35"/>
  <c r="AA29" i="35"/>
  <c r="W29" i="35"/>
  <c r="J7" i="36"/>
  <c r="AC7" i="36" s="1"/>
  <c r="V36" i="36" s="1"/>
  <c r="I36" i="36" s="1"/>
  <c r="D71" i="71"/>
  <c r="C70" i="71"/>
  <c r="D70" i="71" s="1"/>
  <c r="C27" i="71"/>
  <c r="D28" i="71"/>
  <c r="U28" i="71" s="1"/>
  <c r="T28" i="71"/>
  <c r="D51" i="71"/>
  <c r="C52" i="71"/>
  <c r="K16" i="1"/>
  <c r="C36" i="71"/>
  <c r="D35" i="71"/>
  <c r="N67" i="71"/>
  <c r="B66" i="71"/>
  <c r="AZ137" i="3"/>
  <c r="W12" i="35"/>
  <c r="AC12" i="35"/>
  <c r="E26" i="43"/>
  <c r="H26" i="43"/>
  <c r="AZ80" i="3"/>
  <c r="AZ114" i="3"/>
  <c r="AZ474" i="3"/>
  <c r="C44" i="71"/>
  <c r="D43" i="71"/>
  <c r="C40" i="71"/>
  <c r="D39" i="71"/>
  <c r="AZ278" i="3"/>
  <c r="AZ121" i="3"/>
  <c r="AZ49" i="3"/>
  <c r="AZ302" i="3"/>
  <c r="AZ284" i="3"/>
  <c r="AZ277" i="3"/>
  <c r="AZ247" i="3"/>
  <c r="AZ483" i="3"/>
  <c r="AZ457" i="3"/>
  <c r="AZ249" i="3"/>
  <c r="AB24" i="36"/>
  <c r="U24" i="36"/>
  <c r="U23" i="35"/>
  <c r="AB23" i="35"/>
  <c r="T64" i="71"/>
  <c r="G5" i="3"/>
  <c r="B3" i="3" s="1"/>
  <c r="E212" i="3" s="1"/>
  <c r="AZ295" i="3"/>
  <c r="C78" i="71"/>
  <c r="D78" i="71" s="1"/>
  <c r="D79" i="71"/>
  <c r="O65" i="71"/>
  <c r="O66" i="71"/>
  <c r="D66" i="71"/>
  <c r="C82" i="71"/>
  <c r="D82" i="71" s="1"/>
  <c r="D83" i="71"/>
  <c r="AZ50" i="3"/>
  <c r="AZ82" i="3"/>
  <c r="AZ461" i="3"/>
  <c r="AZ425" i="3"/>
  <c r="AZ223" i="3"/>
  <c r="AC24" i="36"/>
  <c r="W24" i="36"/>
  <c r="AB9" i="33"/>
  <c r="U9" i="33"/>
  <c r="AZ37" i="3"/>
  <c r="AZ165" i="3"/>
  <c r="AZ486" i="3"/>
  <c r="C86" i="71"/>
  <c r="D86" i="71" s="1"/>
  <c r="D87" i="71"/>
  <c r="AZ102" i="3"/>
  <c r="T60" i="71"/>
  <c r="D60" i="71"/>
  <c r="AZ66" i="3"/>
  <c r="AZ282" i="3"/>
  <c r="AZ441" i="3"/>
  <c r="AZ415" i="3"/>
  <c r="AZ398" i="3"/>
  <c r="AZ243" i="3"/>
  <c r="AZ368" i="3"/>
  <c r="AZ353" i="3"/>
  <c r="AZ550" i="3"/>
  <c r="G16" i="1"/>
  <c r="F10" i="39" s="1"/>
  <c r="S10" i="39" s="1"/>
  <c r="J7" i="37"/>
  <c r="AC7" i="37" s="1"/>
  <c r="K1" i="7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H7" i="37"/>
  <c r="AB7" i="37" s="1"/>
  <c r="T42" i="37" s="1"/>
  <c r="G42" i="37" s="1"/>
  <c r="H7" i="33"/>
  <c r="J7" i="33"/>
  <c r="D65" i="40"/>
  <c r="E63" i="40"/>
  <c r="F48" i="35"/>
  <c r="W7" i="37"/>
  <c r="F7" i="33"/>
  <c r="E58" i="21"/>
  <c r="W7" i="36"/>
  <c r="F7" i="37"/>
  <c r="M17" i="15"/>
  <c r="F59" i="15"/>
  <c r="P28" i="43"/>
  <c r="B66" i="40" s="1"/>
  <c r="P25" i="43"/>
  <c r="P29" i="43"/>
  <c r="P27" i="43"/>
  <c r="B70" i="39" s="1"/>
  <c r="C49" i="15"/>
  <c r="J18" i="15"/>
  <c r="C32" i="9"/>
  <c r="M11" i="67"/>
  <c r="J10" i="67" s="1"/>
  <c r="J5" i="67" s="1"/>
  <c r="F11" i="15"/>
  <c r="M11" i="15"/>
  <c r="J10" i="15" s="1"/>
  <c r="J5" i="15" s="1"/>
  <c r="J24" i="15" s="1"/>
  <c r="F11" i="67"/>
  <c r="F1" i="15"/>
  <c r="Q52" i="15"/>
  <c r="C32" i="15"/>
  <c r="F1" i="67"/>
  <c r="Q52" i="67"/>
  <c r="Q60" i="15"/>
  <c r="Q73" i="15"/>
  <c r="Q74" i="15"/>
  <c r="Q61" i="15"/>
  <c r="AE11" i="1"/>
  <c r="AE6" i="1"/>
  <c r="AE9" i="1"/>
  <c r="F27" i="68"/>
  <c r="AE7" i="1"/>
  <c r="AE8" i="1"/>
  <c r="AE12" i="1"/>
  <c r="AE10" i="1"/>
  <c r="G1" i="73"/>
  <c r="F41" i="67"/>
  <c r="C16" i="67"/>
  <c r="M17" i="67" l="1"/>
  <c r="C49" i="67"/>
  <c r="Q60" i="67"/>
  <c r="Q74" i="67"/>
  <c r="H10" i="40"/>
  <c r="AB10" i="40" s="1"/>
  <c r="F10" i="40"/>
  <c r="S10" i="40" s="1"/>
  <c r="J10" i="39"/>
  <c r="W10" i="39" s="1"/>
  <c r="H10" i="39"/>
  <c r="U10" i="39" s="1"/>
  <c r="I42" i="81"/>
  <c r="J42" i="81" s="1"/>
  <c r="AA10" i="39"/>
  <c r="J10" i="40"/>
  <c r="AC10" i="40" s="1"/>
  <c r="R39" i="81"/>
  <c r="E38" i="81"/>
  <c r="P65" i="71"/>
  <c r="P66" i="71"/>
  <c r="S7" i="36"/>
  <c r="G42" i="81"/>
  <c r="H42" i="81" s="1"/>
  <c r="G43" i="81"/>
  <c r="H43" i="81" s="1"/>
  <c r="AZ5" i="3"/>
  <c r="AY6" i="3" s="1"/>
  <c r="AY109" i="3" s="1"/>
  <c r="D26" i="43"/>
  <c r="C25" i="43" s="1"/>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C26" i="71"/>
  <c r="D26" i="71" s="1"/>
  <c r="D27" i="71"/>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142" i="3"/>
  <c r="R36" i="36"/>
  <c r="R37" i="36"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N65" i="71"/>
  <c r="N66" i="71"/>
  <c r="E118" i="3"/>
  <c r="U7" i="3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4" i="71"/>
  <c r="D44"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4" i="3"/>
  <c r="AY279" i="3"/>
  <c r="AY410" i="3"/>
  <c r="AY339" i="3"/>
  <c r="C39" i="43"/>
  <c r="C42" i="43"/>
  <c r="E42" i="43" s="1"/>
  <c r="C38" i="43"/>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M27" i="67"/>
  <c r="F41" i="15"/>
  <c r="M27" i="15"/>
  <c r="C48" i="67" l="1"/>
  <c r="C66" i="67" s="1"/>
  <c r="AY533" i="3"/>
  <c r="AY36" i="3"/>
  <c r="AY310" i="3"/>
  <c r="AY399" i="3"/>
  <c r="AY519" i="3"/>
  <c r="AY313" i="3"/>
  <c r="AY550" i="3"/>
  <c r="AY528" i="3"/>
  <c r="AY222" i="3"/>
  <c r="AY481" i="3"/>
  <c r="AY387" i="3"/>
  <c r="AY495" i="3"/>
  <c r="AY213" i="3"/>
  <c r="AY295" i="3"/>
  <c r="AY227" i="3"/>
  <c r="AY20" i="3"/>
  <c r="AY87" i="3"/>
  <c r="AY95" i="3"/>
  <c r="AY253" i="3"/>
  <c r="AY196" i="3"/>
  <c r="AY363" i="3"/>
  <c r="AY180" i="3"/>
  <c r="AY465" i="3"/>
  <c r="AY541" i="3"/>
  <c r="AY28" i="3"/>
  <c r="AY118" i="3"/>
  <c r="AY214" i="3"/>
  <c r="AY104" i="3"/>
  <c r="AY290" i="3"/>
  <c r="AY332" i="3"/>
  <c r="AY427" i="3"/>
  <c r="AY510" i="3"/>
  <c r="AY334" i="3"/>
  <c r="AY447" i="3"/>
  <c r="AY25" i="3"/>
  <c r="AY211" i="3"/>
  <c r="AY243" i="3"/>
  <c r="AY403" i="3"/>
  <c r="AY523" i="3"/>
  <c r="AY489" i="3"/>
  <c r="AY436" i="3"/>
  <c r="AY198" i="3"/>
  <c r="AY384" i="3"/>
  <c r="AY258" i="3"/>
  <c r="AY503" i="3"/>
  <c r="AY101" i="3"/>
  <c r="AY287" i="3"/>
  <c r="AY344" i="3"/>
  <c r="AY439" i="3"/>
  <c r="AY542" i="3"/>
  <c r="AY192" i="3"/>
  <c r="AY378" i="3"/>
  <c r="AY558" i="3"/>
  <c r="AY184" i="3"/>
  <c r="AY391" i="3"/>
  <c r="BD6" i="3"/>
  <c r="AY218" i="3"/>
  <c r="AY17" i="3"/>
  <c r="AY120" i="3"/>
  <c r="AY576" i="3"/>
  <c r="AY322" i="3"/>
  <c r="AY267" i="3"/>
  <c r="AY415" i="3"/>
  <c r="AY172" i="3"/>
  <c r="AY547" i="3"/>
  <c r="AY351" i="3"/>
  <c r="AY338" i="3"/>
  <c r="AY320" i="3"/>
  <c r="AY359" i="3"/>
  <c r="AY55" i="3"/>
  <c r="AY493" i="3"/>
  <c r="AY103" i="3"/>
  <c r="AY165" i="3"/>
  <c r="AY262" i="3"/>
  <c r="BH6" i="3"/>
  <c r="AY145" i="3"/>
  <c r="AY333" i="3"/>
  <c r="AY430" i="3"/>
  <c r="AY571" i="3"/>
  <c r="AY75" i="3"/>
  <c r="AY53" i="3"/>
  <c r="AY239" i="3"/>
  <c r="AY150" i="3"/>
  <c r="AY454" i="3"/>
  <c r="AY556" i="3"/>
  <c r="AY84" i="3"/>
  <c r="AY270" i="3"/>
  <c r="AY161" i="3"/>
  <c r="AY514" i="3"/>
  <c r="AY169" i="3"/>
  <c r="AY502" i="3"/>
  <c r="AY424" i="3"/>
  <c r="AY256" i="3"/>
  <c r="AY421" i="3"/>
  <c r="AY445" i="3"/>
  <c r="AY257" i="3"/>
  <c r="AY209" i="3"/>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400" i="3"/>
  <c r="AY58"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578" i="3"/>
  <c r="AY336" i="3"/>
  <c r="AY383" i="3"/>
  <c r="AY195" i="3"/>
  <c r="AY515" i="3"/>
  <c r="AY248" i="3"/>
  <c r="AY54" i="3"/>
  <c r="AY521" i="3"/>
  <c r="AY136" i="3"/>
  <c r="AY545" i="3"/>
  <c r="AY164" i="3"/>
  <c r="AY450" i="3"/>
  <c r="AY327" i="3"/>
  <c r="AY416"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526" i="3"/>
  <c r="BL6" i="3"/>
  <c r="AY337" i="3"/>
  <c r="AY563" i="3"/>
  <c r="AY272" i="3"/>
  <c r="AY529" i="3"/>
  <c r="AY442" i="3"/>
  <c r="AY50" i="3"/>
  <c r="AY34" i="3"/>
  <c r="AY152" i="3"/>
  <c r="AY382" i="3"/>
  <c r="AY74" i="3"/>
  <c r="AY470" i="3"/>
  <c r="AY228" i="3"/>
  <c r="AY433" i="3"/>
  <c r="AY108" i="3"/>
  <c r="AY201" i="3"/>
  <c r="AY294" i="3"/>
  <c r="AY381" i="3"/>
  <c r="AY24" i="3"/>
  <c r="AY210" i="3"/>
  <c r="AY488" i="3"/>
  <c r="BM6" i="3"/>
  <c r="AY98" i="3"/>
  <c r="AY574" i="3"/>
  <c r="AY157" i="3"/>
  <c r="BI6" i="3"/>
  <c r="AY325" i="3"/>
  <c r="AY527" i="3"/>
  <c r="AY82" i="3"/>
  <c r="AY43" i="3"/>
  <c r="AY540" i="3"/>
  <c r="AY141" i="3"/>
  <c r="BB6" i="3"/>
  <c r="AY309" i="3"/>
  <c r="AY520" i="3"/>
  <c r="AY48" i="3"/>
  <c r="AY234" i="3"/>
  <c r="AY471" i="3"/>
  <c r="AY506" i="3"/>
  <c r="AY135" i="3"/>
  <c r="AY346" i="3"/>
  <c r="AY128" i="3"/>
  <c r="AY586" i="3"/>
  <c r="AY530" i="3"/>
  <c r="AY15" i="3"/>
  <c r="AY330" i="3"/>
  <c r="AY241" i="3"/>
  <c r="AY476" i="3"/>
  <c r="AY544" i="3"/>
  <c r="AY30"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143" i="3"/>
  <c r="AY155" i="3"/>
  <c r="AY418"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7" i="3"/>
  <c r="AY566" i="3"/>
  <c r="AY142" i="3"/>
  <c r="AY21" i="3"/>
  <c r="AY293" i="3"/>
  <c r="AY76" i="3"/>
  <c r="AY147" i="3"/>
  <c r="AY438" i="3"/>
  <c r="AY345" i="3"/>
  <c r="AY264" i="3"/>
  <c r="AY70" i="3"/>
  <c r="AY122" i="3"/>
  <c r="AY174" i="3"/>
  <c r="AY79" i="3"/>
  <c r="AY451" i="3"/>
  <c r="AY176" i="3"/>
  <c r="AY276" i="3"/>
  <c r="AY335" i="3"/>
  <c r="AY261" i="3"/>
  <c r="AY441" i="3"/>
  <c r="AY372" i="3"/>
  <c r="AY549" i="3"/>
  <c r="AY61" i="3"/>
  <c r="AY154" i="3"/>
  <c r="AY247" i="3"/>
  <c r="AY360" i="3"/>
  <c r="AY166" i="3"/>
  <c r="AY353" i="3"/>
  <c r="AY462" i="3"/>
  <c r="AY534" i="3"/>
  <c r="AY90" i="3"/>
  <c r="AY244" i="3"/>
  <c r="AY89" i="3"/>
  <c r="AY302" i="3"/>
  <c r="AY40" i="3"/>
  <c r="AY467" i="3"/>
  <c r="AY508" i="3"/>
  <c r="AY31" i="3"/>
  <c r="AY212" i="3"/>
  <c r="AY100" i="3"/>
  <c r="AY286" i="3"/>
  <c r="AY29" i="3"/>
  <c r="AY480" i="3"/>
  <c r="AY584" i="3"/>
  <c r="AY189" i="3"/>
  <c r="AY369" i="3"/>
  <c r="AY453" i="3"/>
  <c r="D3" i="6"/>
  <c r="AY94" i="3"/>
  <c r="AY280" i="3"/>
  <c r="AY466" i="3"/>
  <c r="AY86" i="3"/>
  <c r="AY273" i="3"/>
  <c r="AY459" i="3"/>
  <c r="AY205" i="3"/>
  <c r="AY461" i="3"/>
  <c r="AY110" i="3"/>
  <c r="AY482" i="3"/>
  <c r="AY288" i="3"/>
  <c r="AY64" i="3"/>
  <c r="AY479" i="3"/>
  <c r="BP6" i="3"/>
  <c r="AY315" i="3"/>
  <c r="BT6" i="3"/>
  <c r="AY47" i="3"/>
  <c r="AY485" i="3"/>
  <c r="AY284" i="3"/>
  <c r="AY343" i="3"/>
  <c r="AY78" i="3"/>
  <c r="AY208" i="3"/>
  <c r="AY144" i="3"/>
  <c r="AY111" i="3"/>
  <c r="AY303" i="3"/>
  <c r="AY204" i="3"/>
  <c r="AY409" i="3"/>
  <c r="AY358" i="3"/>
  <c r="BK6" i="3"/>
  <c r="AY45" i="3"/>
  <c r="AY138" i="3"/>
  <c r="AY231" i="3"/>
  <c r="AY554" i="3"/>
  <c r="AY177" i="3"/>
  <c r="AY349" i="3"/>
  <c r="AY446" i="3"/>
  <c r="BF6" i="3"/>
  <c r="AY163" i="3"/>
  <c r="AY390" i="3"/>
  <c r="AY85" i="3"/>
  <c r="AY271" i="3"/>
  <c r="AY186" i="3"/>
  <c r="AY464" i="3"/>
  <c r="AY532" i="3"/>
  <c r="AY292" i="3"/>
  <c r="AY379" i="3"/>
  <c r="AY69" i="3"/>
  <c r="AY255" i="3"/>
  <c r="AY181" i="3"/>
  <c r="AY449" i="3"/>
  <c r="AY494" i="3"/>
  <c r="AY158" i="3"/>
  <c r="AY364" i="3"/>
  <c r="AY458" i="3"/>
  <c r="AY524" i="3"/>
  <c r="AY63" i="3"/>
  <c r="AY249" i="3"/>
  <c r="AY456" i="3"/>
  <c r="AY448" i="3"/>
  <c r="AY440" i="3"/>
  <c r="AY355" i="3"/>
  <c r="AY124" i="3"/>
  <c r="AY168" i="3"/>
  <c r="AY67" i="3"/>
  <c r="AY252" i="3"/>
  <c r="AY106" i="3"/>
  <c r="AY342" i="3"/>
  <c r="AY569" i="3"/>
  <c r="AY60" i="3"/>
  <c r="AY149" i="3"/>
  <c r="AY246" i="3"/>
  <c r="BJ6" i="3"/>
  <c r="AY114" i="3"/>
  <c r="AY317" i="3"/>
  <c r="AY414" i="3"/>
  <c r="AY546" i="3"/>
  <c r="AY237" i="3"/>
  <c r="AY311" i="3"/>
  <c r="AY68" i="3"/>
  <c r="AY254" i="3"/>
  <c r="AY130" i="3"/>
  <c r="AY422" i="3"/>
  <c r="AY496" i="3"/>
  <c r="AY220" i="3"/>
  <c r="AY326" i="3"/>
  <c r="AY52" i="3"/>
  <c r="AY238" i="3"/>
  <c r="AY121" i="3"/>
  <c r="AY406" i="3"/>
  <c r="AY582" i="3"/>
  <c r="AY137" i="3"/>
  <c r="AY329" i="3"/>
  <c r="AY426" i="3"/>
  <c r="AY565" i="3"/>
  <c r="AY46" i="3"/>
  <c r="AY232" i="3"/>
  <c r="AY437" i="3"/>
  <c r="AY38" i="3"/>
  <c r="AY224" i="3"/>
  <c r="AY429" i="3"/>
  <c r="AY298" i="3"/>
  <c r="AY431" i="3"/>
  <c r="AY203" i="3"/>
  <c r="AY13" i="3"/>
  <c r="AY375" i="3"/>
  <c r="AY153" i="3"/>
  <c r="AY434" i="3"/>
  <c r="AY62" i="3"/>
  <c r="AY408" i="3"/>
  <c r="AY240" i="3"/>
  <c r="AY115" i="3"/>
  <c r="AY26" i="3"/>
  <c r="AY140" i="3"/>
  <c r="AY129" i="3"/>
  <c r="AY297" i="3"/>
  <c r="AY419" i="3"/>
  <c r="AY386" i="3"/>
  <c r="AY27" i="3"/>
  <c r="AY348" i="3"/>
  <c r="AY500" i="3"/>
  <c r="AY405" i="3"/>
  <c r="AY19" i="3"/>
  <c r="AY350" i="3"/>
  <c r="AY402" i="3"/>
  <c r="AY35" i="3"/>
  <c r="AY577" i="3"/>
  <c r="AY230" i="3"/>
  <c r="I53" i="34"/>
  <c r="J53" i="34" s="1"/>
  <c r="G54" i="34"/>
  <c r="H54" i="34" s="1"/>
  <c r="AY235" i="3"/>
  <c r="AY275" i="3"/>
  <c r="AY398" i="3"/>
  <c r="AY478" i="3"/>
  <c r="AY221" i="3"/>
  <c r="AY113" i="3"/>
  <c r="AY509" i="3"/>
  <c r="AY435" i="3"/>
  <c r="AY133" i="3"/>
  <c r="E42" i="81"/>
  <c r="F42" i="81" s="1"/>
  <c r="E43" i="81"/>
  <c r="F43" i="81" s="1"/>
  <c r="C39" i="81"/>
  <c r="C38" i="81"/>
  <c r="E3" i="6"/>
  <c r="I43" i="81"/>
  <c r="J43" i="81" s="1"/>
  <c r="F25" i="12"/>
  <c r="C26" i="12" s="1"/>
  <c r="D25" i="12" s="1"/>
  <c r="D116" i="43"/>
  <c r="F22" i="68"/>
  <c r="F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1" i="6"/>
  <c r="D20" i="6"/>
  <c r="M19" i="9"/>
  <c r="C118" i="9" s="1"/>
  <c r="B2" i="74" s="1"/>
  <c r="D9" i="6"/>
  <c r="D10" i="6"/>
  <c r="L19" i="9"/>
  <c r="H25" i="6"/>
  <c r="H21" i="6"/>
  <c r="C18" i="4"/>
  <c r="D5" i="6"/>
  <c r="D12" i="6"/>
  <c r="D11" i="6"/>
  <c r="D13"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34" i="69"/>
  <c r="C14" i="67"/>
  <c r="C17" i="15"/>
  <c r="C17" i="67"/>
  <c r="C60" i="67" l="1"/>
  <c r="E54" i="34"/>
  <c r="F54" i="34" s="1"/>
  <c r="E53" i="34"/>
  <c r="F53" i="34" s="1"/>
  <c r="M18" i="9"/>
  <c r="B118" i="9" s="1"/>
  <c r="B1" i="74" s="1"/>
  <c r="D3" i="34"/>
  <c r="D19" i="11"/>
  <c r="C19" i="11" s="1"/>
  <c r="C20" i="11" s="1"/>
  <c r="C28" i="11" s="1"/>
  <c r="C27" i="11" s="1"/>
  <c r="C17" i="4"/>
  <c r="B4" i="52" s="1"/>
  <c r="B43" i="72" s="1"/>
  <c r="D3" i="21"/>
  <c r="L18" i="9"/>
  <c r="D3" i="37"/>
  <c r="D3" i="33"/>
  <c r="E6" i="6"/>
  <c r="D37" i="11"/>
  <c r="D14" i="12"/>
  <c r="D17" i="12" s="1"/>
  <c r="C17" i="12" s="1"/>
  <c r="D23" i="6"/>
  <c r="R23" i="6" s="1"/>
  <c r="R10" i="1" s="1"/>
  <c r="D14" i="6"/>
  <c r="M3" i="81"/>
  <c r="B2" i="81"/>
  <c r="B3" i="81" s="1"/>
  <c r="D8" i="6"/>
  <c r="D19" i="6"/>
  <c r="D26" i="6"/>
  <c r="H24" i="6"/>
  <c r="H26" i="6"/>
  <c r="H22" i="6"/>
  <c r="D24" i="6"/>
  <c r="D28" i="6"/>
  <c r="D30" i="6" s="1"/>
  <c r="D29" i="6"/>
  <c r="D22" i="6"/>
  <c r="C44" i="11"/>
  <c r="D41" i="11" s="1"/>
  <c r="C26" i="11"/>
  <c r="D22" i="11" s="1"/>
  <c r="C26" i="68"/>
  <c r="D22" i="68" s="1"/>
  <c r="C23" i="68"/>
  <c r="C44" i="68"/>
  <c r="D41"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0" i="69" l="1"/>
  <c r="D6" i="6"/>
  <c r="D10" i="11"/>
  <c r="C10" i="11" s="1"/>
  <c r="D20" i="12"/>
  <c r="C20" i="12" s="1"/>
  <c r="C18" i="12" s="1"/>
  <c r="D10" i="68"/>
  <c r="D31" i="6"/>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27" i="12" l="1"/>
  <c r="C25" i="12" s="1"/>
  <c r="C30" i="12"/>
  <c r="C28" i="12" s="1"/>
  <c r="C19" i="69"/>
  <c r="D37" i="69"/>
  <c r="C37" i="69" s="1"/>
  <c r="C33" i="69" s="1"/>
  <c r="C19" i="68"/>
  <c r="D37" i="68"/>
  <c r="C37" i="68" s="1"/>
  <c r="C33" i="68" s="1"/>
  <c r="C39" i="68" s="1"/>
  <c r="C43" i="68"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15"/>
  <c r="M21" i="67"/>
  <c r="F35" i="67"/>
  <c r="F35" i="15"/>
  <c r="C32" i="12" l="1"/>
  <c r="B2" i="12" s="1"/>
  <c r="B3" i="12" s="1"/>
  <c r="C42" i="68"/>
  <c r="C41" i="68" s="1"/>
  <c r="C24" i="68"/>
  <c r="C20" i="68"/>
  <c r="C46" i="68"/>
  <c r="C45" i="68" s="1"/>
  <c r="C39" i="69"/>
  <c r="C42" i="69"/>
  <c r="C41" i="69" s="1"/>
  <c r="C24" i="69"/>
  <c r="C20" i="69"/>
  <c r="E48" i="2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G42" i="35"/>
  <c r="H42" i="35" s="1"/>
  <c r="K65" i="40"/>
  <c r="L63" i="40"/>
  <c r="C49" i="68" l="1"/>
  <c r="C51" i="68" s="1"/>
  <c r="I53" i="21"/>
  <c r="J53" i="21" s="1"/>
  <c r="C28" i="69"/>
  <c r="C27" i="69" s="1"/>
  <c r="C25" i="69"/>
  <c r="C22" i="69" s="1"/>
  <c r="E52" i="21"/>
  <c r="F52" i="21" s="1"/>
  <c r="C43" i="69"/>
  <c r="C46" i="69"/>
  <c r="C45" i="69" s="1"/>
  <c r="C49" i="69" s="1"/>
  <c r="C51" i="69" s="1"/>
  <c r="R39" i="35"/>
  <c r="C28" i="68"/>
  <c r="C27" i="68" s="1"/>
  <c r="C25" i="68"/>
  <c r="C22" i="68" s="1"/>
  <c r="G43" i="35"/>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E38" i="35"/>
  <c r="M63" i="40"/>
  <c r="L65" i="40"/>
  <c r="D2" i="21"/>
  <c r="C31" i="69" l="1"/>
  <c r="C52" i="69" s="1"/>
  <c r="B2" i="69" s="1"/>
  <c r="B3" i="69" s="1"/>
  <c r="C31" i="68"/>
  <c r="C52" i="68" s="1"/>
  <c r="B2" i="68" s="1"/>
  <c r="B3"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C57" i="69" l="1"/>
  <c r="C56" i="69" s="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9" i="1"/>
  <c r="AO7" i="1"/>
  <c r="AO12" i="1"/>
  <c r="AO11"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7" i="72" l="1"/>
  <c r="D4" i="52"/>
  <c r="D54" i="9"/>
  <c r="C68" i="9"/>
  <c r="B51" i="72"/>
  <c r="F4" i="52"/>
  <c r="D8" i="52"/>
  <c r="B49" i="72"/>
  <c r="D5" i="52"/>
  <c r="D118" i="9"/>
  <c r="D119" i="9"/>
  <c r="E97" i="9"/>
  <c r="E96" i="9"/>
  <c r="C96" i="9"/>
  <c r="G4" i="52"/>
  <c r="B52" i="72"/>
  <c r="P57" i="9"/>
  <c r="N58" i="9"/>
  <c r="C86" i="9"/>
  <c r="C93" i="9"/>
  <c r="B53" i="72"/>
  <c r="F5" i="52"/>
  <c r="G118" i="9"/>
  <c r="F118" i="9"/>
  <c r="F119" i="9"/>
  <c r="E118" i="9"/>
  <c r="E4" i="52"/>
  <c r="B48" i="72"/>
  <c r="C73" i="9"/>
  <c r="C78" i="9"/>
  <c r="C5" i="74"/>
  <c r="E81" i="9"/>
  <c r="E80" i="9"/>
  <c r="C80" i="9"/>
  <c r="B32" i="72"/>
  <c r="D14" i="53"/>
  <c r="C64" i="9"/>
  <c r="C63" i="9"/>
  <c r="C67" i="9"/>
  <c r="D59" i="9"/>
  <c r="M55" i="9"/>
  <c r="C72" i="9"/>
  <c r="C79" i="9"/>
  <c r="C81" i="9"/>
  <c r="B20" i="72"/>
  <c r="M54" i="9"/>
  <c r="C85" i="9"/>
  <c r="C95" i="9"/>
  <c r="C97" i="9"/>
  <c r="D58" i="9"/>
  <c r="D56" i="9"/>
  <c r="B31" i="72"/>
  <c r="D15" i="53"/>
  <c r="I4" i="52"/>
  <c r="C105" i="9"/>
  <c r="N61" i="9"/>
  <c r="D55" i="9"/>
  <c r="M53" i="9"/>
  <c r="N57" i="9"/>
  <c r="N59" i="9"/>
  <c r="N60" i="9"/>
  <c r="M48" i="9"/>
  <c r="D13" i="53"/>
  <c r="B30" i="72"/>
  <c r="C104" i="9"/>
  <c r="H4" i="52"/>
  <c r="H108" i="9"/>
  <c r="C6" i="74"/>
  <c r="H107" i="9"/>
  <c r="D122" i="9"/>
  <c r="D123" i="9"/>
  <c r="D9" i="52"/>
  <c r="D5" i="53"/>
  <c r="D6" i="53"/>
  <c r="B22" i="72"/>
  <c r="D52" i="9"/>
  <c r="H101" i="9"/>
  <c r="D45" i="9"/>
  <c r="D53" i="9"/>
  <c r="H102" i="9"/>
  <c r="D7" i="53"/>
  <c r="B21"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CE4E360D-594E-4AC8-89A9-65EA041822A1}">
      <text>
        <r>
          <rPr>
            <b/>
            <sz val="12"/>
            <color indexed="81"/>
            <rFont val="宋体"/>
            <family val="3"/>
            <charset val="134"/>
          </rPr>
          <t>主用途</t>
        </r>
        <r>
          <rPr>
            <sz val="12"/>
            <color indexed="81"/>
            <rFont val="宋体"/>
            <family val="3"/>
            <charset val="134"/>
          </rPr>
          <t xml:space="preserve">
</t>
        </r>
      </text>
    </comment>
    <comment ref="K38" authorId="1" shapeId="0" xr:uid="{B60BEFE1-DF7A-46A8-908F-47F1D47F9032}">
      <text>
        <r>
          <rPr>
            <b/>
            <sz val="9"/>
            <color indexed="81"/>
            <rFont val="宋体"/>
            <family val="3"/>
            <charset val="134"/>
          </rPr>
          <t>权重验证</t>
        </r>
        <r>
          <rPr>
            <sz val="9"/>
            <color indexed="81"/>
            <rFont val="宋体"/>
            <family val="3"/>
            <charset val="134"/>
          </rPr>
          <t xml:space="preserve">
</t>
        </r>
      </text>
    </comment>
    <comment ref="C48" authorId="0" shapeId="0" xr:uid="{AC4EE44E-CEFF-4405-A6BD-72DDF8CDF0E2}">
      <text>
        <r>
          <rPr>
            <b/>
            <sz val="12"/>
            <color indexed="81"/>
            <rFont val="宋体"/>
            <family val="3"/>
            <charset val="134"/>
          </rPr>
          <t>价值时点所在月度</t>
        </r>
        <r>
          <rPr>
            <sz val="12"/>
            <color indexed="81"/>
            <rFont val="宋体"/>
            <family val="3"/>
            <charset val="134"/>
          </rPr>
          <t xml:space="preserve">
</t>
        </r>
      </text>
    </comment>
    <comment ref="B88" authorId="0" shapeId="0" xr:uid="{28C48139-201B-4A94-A36D-4CBFD3BCAB7F}">
      <text>
        <r>
          <rPr>
            <b/>
            <sz val="12"/>
            <color indexed="81"/>
            <rFont val="宋体"/>
            <family val="3"/>
            <charset val="134"/>
          </rPr>
          <t>所属项目品质或
物业管理</t>
        </r>
      </text>
    </comment>
    <comment ref="B90" authorId="0" shapeId="0" xr:uid="{A753B673-3104-4F1F-B75B-693C3D963687}">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<sst xmlns="http://schemas.openxmlformats.org/spreadsheetml/2006/main" count="8194" uniqueCount="3468">
  <si>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</si>
  <si>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</si>
  <si>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</si>
  <si>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</si>
  <si>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</si>
  <si>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</si>
  <si>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</si>
  <si>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</si>
  <si>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</si>
  <si>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</si>
  <si>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</si>
  <si>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</si>
  <si>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</si>
  <si>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</si>
  <si>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</si>
  <si>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</si>
  <si>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</si>
  <si>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</si>
  <si>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</si>
  <si>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</si>
  <si>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</si>
  <si>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</si>
  <si>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</si>
  <si>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</si>
  <si>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</si>
  <si>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</si>
  <si>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</si>
  <si>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</si>
  <si>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</si>
  <si>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</si>
  <si>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</si>
  <si>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</si>
  <si>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</si>
  <si>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</si>
  <si>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</si>
  <si>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</si>
  <si>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</si>
  <si>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</si>
  <si>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</si>
  <si>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</si>
  <si>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</si>
  <si>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</si>
  <si>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</si>
  <si>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</si>
  <si>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</si>
  <si>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</si>
  <si>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</si>
  <si>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</si>
  <si>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</si>
  <si>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</si>
  <si>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</si>
  <si>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</si>
  <si>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</si>
  <si>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</si>
  <si>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</si>
  <si>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</si>
  <si>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</si>
  <si>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</si>
  <si>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</si>
  <si>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</si>
  <si>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</si>
  <si>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</si>
  <si>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</si>
  <si>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</si>
  <si>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</si>
  <si>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</si>
  <si>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</si>
  <si>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</si>
  <si>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</si>
  <si>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</si>
  <si>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</si>
  <si>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</si>
  <si>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</si>
  <si>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</si>
  <si>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</si>
  <si>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</si>
  <si>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</si>
  <si>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</si>
  <si>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</si>
  <si>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</si>
  <si>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</si>
  <si>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</si>
  <si>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</si>
  <si>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</si>
  <si>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</si>
  <si>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</si>
  <si>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</si>
  <si>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</si>
  <si>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</si>
  <si>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</si>
  <si>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</si>
  <si>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</si>
  <si>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</si>
  <si>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</si>
  <si>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</si>
  <si>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</si>
  <si>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</si>
  <si>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</si>
  <si>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</si>
  <si>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</si>
  <si>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</si>
  <si>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</si>
  <si>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</si>
  <si>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</si>
  <si>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</si>
  <si>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</si>
  <si>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</si>
  <si>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</si>
  <si>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</si>
  <si>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</si>
  <si>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</si>
  <si>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</si>
  <si>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</si>
  <si>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</si>
  <si>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</si>
  <si>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</si>
  <si>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</si>
  <si>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</si>
  <si>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</si>
  <si>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</si>
  <si>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</si>
  <si>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</si>
  <si>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</si>
  <si>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</si>
  <si>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</si>
  <si>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</si>
  <si>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</si>
  <si>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</si>
  <si>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</si>
  <si>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</si>
  <si>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</si>
  <si>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</si>
  <si>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</si>
  <si>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</si>
  <si>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</si>
  <si>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</si>
  <si>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</si>
  <si>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</si>
  <si>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</si>
  <si>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</si>
  <si>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</si>
  <si>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</si>
  <si>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</si>
  <si>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</si>
  <si>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</si>
  <si>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</si>
  <si>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</si>
  <si>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</si>
  <si>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</si>
  <si>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</si>
  <si>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</si>
  <si>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</si>
  <si>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</si>
  <si>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</si>
  <si>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</si>
  <si>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</si>
  <si>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</si>
  <si>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</si>
  <si>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</si>
  <si>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</si>
  <si>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</si>
  <si>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</si>
  <si>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</si>
  <si>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</si>
  <si>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</si>
  <si>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</si>
  <si>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</si>
  <si>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</si>
  <si>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</si>
  <si>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</si>
  <si>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</si>
  <si>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</si>
  <si>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</si>
  <si>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</si>
  <si>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</si>
  <si>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</si>
  <si>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</si>
  <si>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</si>
  <si>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</si>
  <si>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</si>
  <si>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</si>
  <si>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</si>
  <si>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</si>
  <si>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</si>
  <si>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</si>
  <si>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</si>
  <si>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</si>
  <si>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</si>
  <si>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</si>
  <si>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</si>
  <si>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</si>
  <si>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</si>
  <si>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</si>
  <si>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</si>
  <si>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</si>
  <si>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</si>
  <si>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</si>
  <si>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</si>
  <si>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</si>
  <si>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</si>
  <si>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</si>
  <si>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</si>
  <si>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</si>
  <si>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</si>
  <si>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</si>
  <si>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</si>
  <si>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</si>
  <si>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</si>
  <si>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</si>
  <si>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</si>
  <si>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</si>
  <si>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</si>
  <si>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</si>
  <si>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</si>
  <si>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</si>
  <si>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</si>
  <si>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</si>
  <si>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</si>
  <si>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</si>
  <si>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</si>
  <si>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</si>
  <si>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</si>
  <si>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</si>
  <si>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</si>
  <si>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</si>
  <si>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</si>
  <si>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</si>
  <si>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</si>
  <si>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</si>
  <si>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</si>
  <si>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</si>
  <si>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</si>
  <si>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</si>
  <si>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</si>
  <si>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</si>
  <si>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</si>
  <si>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</si>
  <si>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</si>
  <si>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</si>
  <si>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</si>
  <si>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</si>
  <si>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</si>
  <si>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</si>
  <si>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</si>
  <si>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</si>
  <si>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</si>
  <si>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</si>
  <si>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</si>
  <si>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</si>
  <si>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</si>
  <si>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</si>
  <si>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</si>
  <si>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</si>
  <si>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</si>
  <si>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</si>
  <si>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</si>
  <si>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</si>
  <si>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</si>
  <si>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</si>
  <si>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</si>
  <si>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</si>
  <si>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</si>
  <si>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</si>
  <si>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</si>
  <si>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</si>
  <si>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</si>
  <si>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</si>
  <si>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</si>
  <si>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</si>
  <si>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</si>
  <si>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</si>
  <si>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</si>
  <si>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</si>
  <si>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</si>
  <si>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</si>
  <si>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</si>
  <si>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</si>
  <si>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</si>
  <si>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</si>
  <si>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</si>
  <si>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</si>
  <si>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</si>
  <si>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</si>
  <si>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</si>
  <si>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</si>
  <si>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</si>
  <si>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</si>
  <si>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</si>
  <si>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</si>
  <si>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</si>
  <si>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</si>
  <si>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</si>
  <si>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</si>
  <si>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</si>
  <si>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</si>
  <si>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</si>
  <si>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</si>
  <si>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</si>
  <si>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</si>
  <si>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</si>
  <si>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</si>
  <si>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</si>
  <si>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</si>
  <si>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</si>
  <si>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</si>
  <si>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</si>
  <si>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</si>
  <si>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</si>
  <si>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</si>
  <si>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</si>
  <si>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</si>
  <si>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</si>
  <si>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</si>
  <si>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</si>
  <si>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</si>
  <si>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</si>
  <si>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</si>
  <si>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</si>
  <si>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</si>
  <si>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</si>
  <si>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</si>
  <si>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</si>
  <si>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</si>
  <si>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</si>
  <si>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</si>
  <si>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</si>
  <si>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</si>
  <si>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</si>
  <si>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</si>
  <si>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</si>
  <si>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</si>
  <si>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</si>
  <si>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</si>
  <si>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</si>
  <si>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</si>
  <si>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</si>
  <si>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</si>
  <si>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</si>
  <si>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</si>
  <si>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</si>
  <si>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</si>
  <si>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</si>
  <si>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</si>
  <si>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</si>
  <si>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</si>
  <si>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</si>
  <si>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</si>
  <si>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</si>
  <si>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</si>
  <si>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</si>
  <si>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</si>
  <si>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</si>
  <si>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</si>
  <si>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</si>
  <si>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</si>
  <si>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</si>
  <si>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</si>
  <si>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</si>
  <si>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</si>
  <si>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</si>
  <si>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</si>
  <si>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</si>
  <si>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</si>
  <si>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</si>
  <si>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</si>
  <si>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</si>
  <si>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</si>
  <si>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</si>
  <si>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</si>
  <si>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</si>
  <si>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</si>
  <si>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</si>
  <si>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</si>
  <si>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</si>
  <si>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</si>
  <si>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</si>
  <si>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</si>
  <si>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</si>
  <si>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</si>
  <si>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</si>
  <si>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</si>
  <si>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</si>
  <si>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</si>
  <si>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</si>
  <si>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</si>
  <si>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</si>
  <si>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</si>
  <si>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</si>
  <si>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</si>
  <si>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</si>
  <si>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</si>
  <si>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</si>
  <si>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</si>
  <si>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</si>
  <si>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</si>
  <si>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</si>
  <si>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</si>
  <si>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</si>
  <si>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</si>
  <si>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</si>
  <si>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</si>
  <si>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</si>
  <si>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</si>
  <si>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</si>
  <si>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</si>
  <si>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</si>
  <si>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</si>
  <si>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</si>
  <si>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</si>
  <si>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</si>
  <si>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</si>
  <si>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</si>
  <si>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</si>
  <si>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</si>
  <si>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</si>
  <si>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</si>
  <si>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</si>
  <si>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</si>
  <si>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</si>
  <si>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</si>
  <si>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</si>
  <si>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</si>
  <si>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</si>
  <si>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</si>
  <si>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</si>
  <si>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</si>
  <si>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</si>
  <si>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</si>
  <si>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</si>
  <si>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</si>
  <si>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</si>
  <si>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</si>
  <si>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</si>
  <si>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</si>
  <si>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</si>
  <si>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</si>
  <si>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</si>
  <si>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</si>
  <si>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</si>
  <si>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</si>
  <si>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</si>
  <si>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</si>
  <si>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</si>
  <si>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</si>
  <si>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</si>
  <si>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</si>
  <si>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</si>
  <si>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</si>
  <si>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</si>
  <si>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</si>
  <si>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</si>
  <si>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</si>
  <si>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</si>
  <si>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</si>
  <si>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</si>
  <si>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</si>
  <si>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</si>
  <si>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</si>
  <si>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</si>
  <si>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</si>
  <si>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</si>
  <si>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</si>
  <si>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</si>
  <si>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</si>
  <si>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</si>
  <si>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</si>
  <si>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</si>
  <si>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</si>
  <si>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</si>
  <si>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</si>
  <si>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</si>
  <si>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</si>
  <si>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</si>
  <si>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</si>
  <si>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</si>
  <si>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</si>
  <si>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</si>
  <si>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</si>
  <si>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</si>
  <si>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</si>
  <si>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</si>
  <si>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</si>
  <si>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</si>
  <si>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</si>
  <si>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</si>
  <si>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</si>
  <si>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</si>
  <si>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</si>
  <si>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</si>
  <si>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</si>
  <si>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</si>
  <si>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</si>
  <si>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</si>
  <si>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</si>
  <si>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</si>
  <si>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</si>
  <si>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</si>
  <si>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</si>
  <si>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</si>
  <si>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</si>
  <si>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</si>
  <si>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</si>
  <si>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</si>
  <si>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</si>
  <si>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</si>
  <si>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</si>
  <si>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</si>
  <si>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</si>
  <si>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</si>
  <si>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</si>
  <si>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</si>
  <si>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</si>
  <si>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</si>
  <si>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</si>
  <si>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</si>
  <si>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</si>
  <si>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</si>
  <si>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</si>
  <si>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</si>
  <si>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</si>
  <si>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</si>
  <si>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</si>
  <si>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</si>
  <si>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</si>
  <si>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</si>
  <si>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</si>
  <si>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</si>
  <si>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</si>
  <si>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</si>
  <si>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</si>
  <si>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</si>
  <si>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</si>
  <si>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</si>
  <si>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</si>
  <si>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</si>
  <si>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</si>
  <si>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</si>
  <si>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</si>
  <si>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</si>
  <si>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</si>
  <si>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</si>
  <si>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</si>
  <si>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</si>
  <si>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</si>
  <si>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</si>
  <si>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</si>
  <si>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</si>
  <si>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</si>
  <si>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</si>
  <si>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</si>
  <si>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</si>
  <si>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</si>
  <si>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</si>
  <si>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</si>
  <si>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</si>
  <si>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</si>
  <si>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</si>
  <si>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</si>
  <si>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</si>
  <si>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</si>
  <si>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</si>
  <si>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</si>
  <si>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</si>
  <si>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</si>
  <si>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</si>
  <si>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</si>
  <si>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</si>
  <si>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</si>
  <si>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</si>
  <si>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</si>
  <si>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</si>
  <si>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</si>
  <si>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</si>
  <si>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</si>
  <si>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</si>
  <si>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</si>
  <si>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</si>
  <si>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</si>
  <si>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</si>
  <si>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</si>
  <si>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</si>
  <si>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</si>
  <si>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</si>
  <si>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</si>
  <si>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</si>
  <si>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</si>
  <si>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</si>
  <si>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</si>
  <si>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</si>
  <si>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</si>
  <si>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</si>
  <si>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</si>
  <si>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</si>
  <si>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</si>
  <si>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</si>
  <si>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</si>
  <si>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</si>
  <si>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</si>
  <si>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</si>
  <si>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</si>
  <si>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</si>
  <si>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</si>
  <si>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</si>
  <si>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</si>
  <si>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</si>
  <si>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</si>
  <si>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</si>
  <si>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</si>
  <si>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</si>
  <si>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</si>
  <si>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</si>
  <si>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</si>
  <si>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</si>
  <si>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</si>
  <si>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</si>
  <si>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</si>
  <si>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</si>
  <si>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</si>
  <si>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</si>
  <si>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</si>
  <si>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</si>
  <si>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</si>
  <si>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</si>
  <si>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</si>
  <si>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</si>
  <si>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</si>
  <si>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</si>
  <si>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</si>
  <si>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</si>
  <si>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</si>
  <si>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</si>
  <si>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</si>
  <si>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</si>
  <si>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</si>
  <si>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</si>
  <si>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</si>
  <si>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</si>
  <si>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</si>
  <si>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</si>
  <si>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</si>
  <si>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</si>
  <si>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</si>
  <si>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</si>
  <si>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</si>
  <si>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</si>
  <si>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</si>
  <si>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</si>
  <si>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</si>
  <si>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</si>
  <si>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</si>
  <si>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</si>
  <si>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</si>
  <si>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</si>
  <si>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</si>
  <si>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</si>
  <si>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</si>
  <si>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</si>
  <si>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</si>
  <si>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</si>
  <si>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</si>
  <si>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</si>
  <si>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</si>
  <si>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</si>
  <si>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</si>
  <si>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</si>
  <si>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</si>
  <si>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</si>
  <si>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</si>
  <si>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</si>
  <si>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</si>
  <si>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</si>
  <si>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</si>
  <si>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</si>
  <si>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</si>
  <si>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</si>
  <si>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</si>
  <si>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</si>
  <si>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</si>
  <si>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</si>
  <si>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</si>
  <si>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</si>
  <si>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</si>
  <si>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</si>
  <si>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</si>
  <si>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</si>
  <si>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</si>
  <si>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</si>
  <si>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</si>
  <si>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</si>
  <si>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</si>
  <si>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</si>
  <si>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</si>
  <si>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</si>
  <si>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</si>
  <si>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</si>
  <si>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</si>
  <si>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</si>
  <si>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</si>
  <si>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</si>
  <si>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</si>
  <si>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</si>
  <si>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</si>
  <si>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</si>
  <si>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</si>
  <si>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</si>
  <si>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</si>
  <si>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</si>
  <si>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</si>
  <si>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</si>
  <si>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</si>
  <si>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</si>
  <si>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</si>
  <si>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</si>
  <si>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</si>
  <si>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</si>
  <si>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</si>
  <si>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</si>
  <si>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</si>
  <si>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</si>
  <si>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</si>
  <si>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</si>
  <si>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</si>
  <si>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</si>
  <si>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</si>
  <si>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</si>
  <si>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</si>
  <si>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</si>
  <si>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</si>
  <si>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</si>
  <si>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</si>
  <si>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</si>
  <si>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</si>
  <si>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</si>
  <si>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</si>
  <si>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</si>
  <si>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</si>
  <si>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</si>
  <si>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</si>
  <si>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</si>
  <si>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</si>
  <si>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</si>
  <si>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</si>
  <si>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</si>
  <si>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</si>
  <si>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</si>
  <si>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</si>
  <si>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</si>
  <si>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</si>
  <si>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</si>
  <si>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</si>
  <si>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</si>
  <si>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</si>
  <si>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</si>
  <si>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</si>
  <si>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</si>
  <si>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</si>
  <si>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</si>
  <si>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</si>
  <si>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</si>
  <si>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</si>
  <si>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</si>
  <si>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</si>
  <si>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</si>
  <si>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</si>
  <si>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</si>
  <si>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</si>
  <si>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</si>
  <si>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</si>
  <si>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</si>
  <si>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</si>
  <si>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</si>
  <si>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</si>
  <si>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</si>
  <si>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</si>
  <si>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</si>
  <si>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</si>
  <si>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</si>
  <si>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</si>
  <si>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</si>
  <si>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</si>
  <si>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</si>
  <si>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</si>
  <si>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</si>
  <si>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</si>
  <si>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</si>
  <si>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</si>
  <si>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</si>
  <si>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</si>
  <si>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</si>
  <si>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</si>
  <si>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</si>
  <si>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</si>
  <si>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</si>
  <si>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</si>
  <si>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</si>
  <si>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</si>
  <si>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</si>
  <si>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</si>
  <si>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</si>
  <si>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</si>
  <si>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</si>
  <si>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</si>
  <si>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</si>
  <si>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</si>
  <si>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</si>
  <si>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</si>
  <si>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</si>
  <si>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</si>
  <si>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</si>
  <si>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</si>
  <si>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</si>
  <si>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</si>
  <si>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</si>
  <si>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</si>
  <si>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</si>
  <si>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</si>
  <si>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</si>
  <si>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</si>
  <si>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</si>
  <si>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</si>
  <si>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</si>
  <si>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</si>
  <si>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</si>
  <si>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</si>
  <si>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</si>
  <si>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</si>
  <si>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</si>
  <si>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</si>
  <si>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</si>
  <si>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</si>
  <si>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</si>
  <si>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</si>
  <si>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</si>
  <si>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</si>
  <si>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</si>
  <si>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</si>
  <si>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</si>
  <si>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</si>
  <si>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</si>
  <si>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</si>
  <si>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</si>
  <si>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</si>
  <si>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</si>
  <si>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</si>
  <si>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</si>
  <si>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</si>
  <si>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</si>
  <si>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</si>
  <si>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</si>
  <si>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</si>
  <si>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</si>
  <si>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</si>
  <si>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</si>
  <si>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</si>
  <si>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</si>
  <si>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</si>
  <si>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</si>
  <si>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</si>
  <si>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</si>
  <si>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</si>
  <si>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</si>
  <si>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</si>
  <si>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</si>
  <si>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</si>
  <si>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</si>
  <si>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</si>
  <si>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</si>
  <si>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</si>
  <si>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</si>
  <si>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</si>
  <si>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</si>
  <si>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</si>
  <si>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</si>
  <si>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</si>
  <si>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</si>
  <si>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</si>
  <si>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</si>
  <si>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</si>
  <si>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</si>
  <si>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</si>
  <si>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</si>
  <si>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</si>
  <si>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</si>
  <si>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</si>
  <si>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</si>
  <si>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</si>
  <si>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</si>
  <si>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</si>
  <si>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</si>
  <si>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</si>
  <si>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</si>
  <si>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</si>
  <si>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</si>
  <si>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</si>
  <si>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</si>
  <si>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</si>
  <si>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</si>
  <si>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</si>
  <si>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</si>
  <si>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</si>
  <si>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</si>
  <si>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</si>
  <si>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</si>
  <si>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</si>
  <si>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</si>
  <si>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</si>
  <si>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</si>
  <si>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</si>
  <si>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</si>
  <si>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</si>
  <si>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</si>
  <si>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</si>
  <si>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</si>
  <si>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</si>
  <si>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</si>
  <si>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</si>
  <si>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</si>
  <si>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</si>
  <si>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</si>
  <si>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</si>
  <si>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</si>
  <si>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</si>
  <si>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</si>
  <si>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</si>
  <si>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</si>
  <si>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</si>
  <si>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</si>
  <si>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</si>
  <si>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</si>
  <si>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</si>
  <si>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</si>
  <si>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</si>
  <si>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</si>
  <si>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</si>
  <si>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</si>
  <si>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</si>
  <si>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</si>
  <si>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</si>
  <si>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</si>
  <si>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</si>
  <si>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</si>
  <si>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</si>
  <si>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</si>
  <si>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</si>
  <si>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</si>
  <si>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</si>
  <si>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</si>
  <si>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</si>
  <si>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</si>
  <si>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</si>
  <si>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</si>
  <si>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</si>
  <si>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</si>
  <si>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</si>
  <si>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</si>
  <si>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</si>
  <si>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</si>
  <si>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</si>
  <si>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</si>
  <si>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</si>
  <si>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</si>
  <si>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</si>
  <si>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</si>
  <si>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</si>
  <si>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</si>
  <si>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</si>
  <si>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</si>
  <si>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</si>
  <si>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</si>
  <si>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</si>
  <si>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</si>
  <si>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</si>
  <si>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</si>
  <si>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</si>
  <si>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</si>
  <si>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</si>
  <si>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</si>
  <si>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</si>
  <si>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</si>
  <si>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</si>
  <si>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</si>
  <si>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</si>
  <si>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</si>
  <si>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</si>
  <si>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</si>
  <si>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</si>
  <si>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</si>
  <si>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</si>
  <si>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</si>
  <si>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</si>
  <si>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</si>
  <si>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</si>
  <si>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</si>
  <si>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</si>
  <si>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</si>
  <si>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</si>
  <si>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</si>
  <si>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</si>
  <si>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</si>
  <si>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</si>
  <si>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</si>
  <si>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</si>
  <si>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</si>
  <si>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</si>
  <si>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</si>
  <si>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</si>
  <si>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</si>
  <si>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</si>
  <si>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</si>
  <si>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</si>
  <si>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</si>
  <si>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</si>
  <si>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</si>
  <si>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</si>
  <si>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</si>
  <si>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</si>
  <si>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</si>
  <si>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</si>
  <si>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</si>
  <si>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</si>
  <si>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</si>
  <si>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</si>
  <si>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</si>
  <si>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</si>
  <si>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</si>
  <si>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</si>
  <si>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</si>
  <si>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</si>
  <si>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</si>
  <si>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</si>
  <si>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</si>
  <si>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</si>
  <si>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</si>
  <si>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</si>
  <si>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</si>
  <si>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</si>
  <si>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</si>
  <si>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</si>
  <si>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</si>
  <si>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</si>
  <si>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</si>
  <si>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</si>
  <si>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</si>
  <si>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</si>
  <si>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</si>
  <si>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</si>
  <si>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</si>
  <si>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</si>
  <si>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</si>
  <si>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</si>
  <si>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</si>
  <si>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</si>
  <si>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</si>
  <si>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</si>
  <si>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</si>
  <si>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</si>
  <si>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</si>
  <si>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</si>
  <si>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</si>
  <si>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</si>
  <si>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</si>
  <si>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</si>
  <si>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</si>
  <si>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</si>
  <si>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</si>
  <si>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</si>
  <si>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</si>
  <si>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</si>
  <si>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</si>
  <si>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</si>
  <si>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</si>
  <si>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</si>
  <si>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</si>
  <si>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</si>
  <si>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</si>
  <si>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</si>
  <si>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</si>
  <si>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</si>
  <si>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</si>
  <si>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</si>
  <si>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</si>
  <si>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</si>
  <si>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</si>
  <si>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</si>
  <si>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</si>
  <si>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</si>
  <si>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</si>
  <si>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</si>
  <si>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</si>
  <si>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</si>
  <si>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</si>
  <si>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</si>
  <si>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</si>
  <si>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</si>
  <si>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</si>
  <si>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</si>
  <si>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</si>
  <si>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</si>
  <si>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</si>
  <si>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</si>
  <si>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</si>
  <si>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</si>
  <si>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</si>
  <si>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</si>
  <si>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</si>
  <si>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</si>
  <si>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</si>
  <si>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</si>
  <si>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</si>
  <si>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</si>
  <si>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</si>
  <si>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</si>
  <si>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</si>
  <si>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</si>
  <si>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</si>
  <si>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</si>
  <si>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</si>
  <si>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</si>
  <si>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</si>
  <si>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</si>
  <si>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</si>
  <si>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</si>
  <si>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</si>
  <si>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</si>
  <si>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</si>
  <si>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</si>
  <si>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</si>
  <si>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</si>
  <si>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</si>
  <si>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</si>
  <si>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</si>
  <si>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</si>
  <si>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</si>
  <si>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</si>
  <si>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</si>
  <si>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</si>
  <si>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</si>
  <si>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</si>
  <si>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</si>
  <si>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</si>
  <si>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</si>
  <si>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</si>
  <si>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</si>
  <si>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</si>
  <si>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</si>
  <si>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</si>
  <si>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</si>
  <si>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</si>
  <si>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</si>
  <si>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</si>
  <si>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</si>
  <si>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</si>
  <si>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</si>
  <si>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</si>
  <si>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</si>
  <si>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</si>
  <si>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</si>
  <si>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</si>
  <si>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</si>
  <si>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</si>
  <si>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</si>
  <si>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</si>
  <si>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</si>
  <si>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</si>
  <si>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</si>
  <si>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</si>
  <si>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</si>
  <si>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</si>
  <si>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</si>
  <si>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</si>
  <si>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</si>
  <si>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</si>
  <si>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</si>
  <si>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</si>
  <si>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</si>
  <si>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</si>
  <si>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</si>
  <si>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</si>
  <si>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</si>
  <si>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</si>
  <si>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</si>
  <si>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</si>
  <si>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</si>
  <si>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</si>
  <si>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</si>
  <si>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</si>
  <si>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</si>
  <si>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</si>
  <si>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</si>
  <si>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</si>
  <si>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</si>
  <si>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</si>
  <si>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</si>
  <si>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</si>
  <si>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</si>
  <si>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</si>
  <si>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</si>
  <si>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</si>
  <si>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</si>
  <si>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</si>
  <si>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</si>
  <si>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</si>
  <si>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</si>
  <si>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</si>
  <si>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</si>
  <si>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</si>
  <si>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</si>
  <si>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</si>
  <si>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</si>
  <si>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</si>
  <si>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</si>
  <si>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</si>
  <si>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</si>
  <si>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</si>
  <si>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</si>
  <si>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</si>
  <si>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</si>
  <si>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</si>
  <si>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</si>
  <si>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</si>
  <si>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</si>
  <si>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</si>
  <si>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</si>
  <si>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</si>
  <si>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</si>
  <si>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</si>
  <si>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</si>
  <si>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</si>
  <si>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</si>
  <si>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</si>
  <si>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</si>
  <si>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</si>
  <si>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</si>
  <si>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</si>
  <si>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</si>
  <si>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</si>
  <si>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</si>
  <si>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</si>
  <si>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</si>
  <si>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</si>
  <si>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</si>
  <si>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</si>
  <si>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</si>
  <si>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</si>
  <si>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</si>
  <si>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</si>
  <si>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</si>
  <si>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</si>
  <si>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</si>
  <si>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</si>
  <si>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</si>
  <si>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</si>
  <si>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</si>
  <si>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</si>
  <si>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</si>
  <si>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</si>
  <si>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</si>
  <si>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</si>
  <si>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</si>
  <si>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</si>
  <si>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</si>
  <si>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</si>
  <si>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</si>
  <si>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</si>
  <si>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</si>
  <si>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</si>
  <si>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</si>
  <si>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</si>
  <si>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</si>
  <si>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</si>
  <si>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</si>
  <si>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</si>
  <si>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</si>
  <si>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</si>
  <si>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</si>
  <si>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</si>
  <si>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</si>
  <si>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</si>
  <si>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</si>
  <si>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</si>
  <si>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</si>
  <si>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</si>
  <si>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</si>
  <si>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</si>
  <si>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</si>
  <si>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</si>
  <si>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</si>
  <si>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</si>
  <si>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</si>
  <si>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</si>
  <si>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</si>
  <si>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</si>
  <si>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</si>
  <si>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</si>
  <si>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</si>
  <si>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</si>
  <si>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</si>
  <si>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</si>
  <si>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</si>
  <si>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</si>
  <si>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</si>
  <si>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</si>
  <si>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</si>
  <si>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</si>
  <si>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</si>
  <si>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</si>
  <si>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</si>
  <si>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</si>
  <si>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</si>
  <si>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</si>
  <si>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</si>
  <si>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</si>
  <si>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</si>
  <si>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</si>
  <si>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</si>
  <si>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</si>
  <si>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</si>
  <si>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</si>
  <si>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</si>
  <si>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</si>
  <si>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</si>
  <si>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</si>
  <si>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</si>
  <si>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</si>
  <si>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</si>
  <si>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</si>
  <si>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</si>
  <si>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</si>
  <si>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</si>
  <si>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</si>
  <si>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</si>
  <si>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</si>
  <si>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</si>
  <si>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</si>
  <si>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</si>
  <si>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</si>
  <si>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</si>
  <si>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</si>
  <si>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</si>
  <si>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</si>
  <si>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</si>
  <si>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</si>
  <si>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</si>
  <si>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</si>
  <si>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</si>
  <si>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</si>
  <si>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</si>
  <si>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</si>
  <si>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</si>
  <si>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</si>
  <si>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</si>
  <si>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</si>
  <si>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</si>
  <si>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</si>
  <si>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</si>
  <si>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</si>
  <si>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</si>
  <si>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</si>
  <si>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</si>
  <si>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</si>
  <si>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</si>
  <si>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</si>
  <si>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</si>
  <si>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</si>
  <si>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</si>
  <si>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</si>
  <si>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</si>
  <si>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</si>
  <si>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</si>
  <si>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</si>
  <si>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</si>
  <si>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</si>
  <si>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</si>
  <si>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</si>
  <si>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</si>
  <si>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</si>
  <si>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</si>
  <si>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</si>
  <si>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</si>
  <si>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</si>
  <si>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</si>
  <si>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</si>
  <si>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</si>
  <si>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</si>
  <si>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</si>
  <si>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</si>
  <si>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</si>
  <si>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</si>
  <si>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</si>
  <si>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</si>
  <si>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</si>
  <si>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</si>
  <si>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</si>
  <si>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</si>
  <si>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</si>
  <si>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</si>
  <si>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</si>
  <si>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</si>
  <si>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</si>
  <si>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</si>
  <si>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</si>
  <si>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</si>
  <si>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</si>
  <si>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</si>
  <si>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</si>
  <si>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</si>
  <si>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</si>
  <si>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</si>
  <si>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</si>
  <si>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</si>
  <si>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</si>
  <si>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</si>
  <si>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</si>
  <si>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</si>
  <si>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</si>
  <si>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</si>
  <si>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</si>
  <si>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</si>
  <si>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</si>
  <si>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</si>
  <si>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</si>
  <si>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</si>
  <si>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</si>
  <si>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</si>
  <si>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</si>
  <si>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</si>
  <si>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</si>
  <si>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</si>
  <si>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</si>
  <si>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</si>
  <si>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</si>
  <si>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</si>
  <si>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</si>
  <si>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</si>
  <si>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</si>
  <si>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</si>
  <si>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</si>
  <si>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</si>
  <si>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</si>
  <si>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</si>
  <si>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</si>
  <si>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</si>
  <si>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</si>
  <si>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</si>
  <si>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</si>
  <si>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</si>
  <si>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</si>
  <si>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</si>
  <si>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</si>
  <si>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</si>
  <si>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</si>
  <si>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</si>
  <si>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</si>
  <si>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</si>
  <si>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</si>
  <si>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</si>
  <si>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</si>
  <si>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</si>
  <si>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</si>
  <si>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</si>
  <si>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</si>
  <si>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</si>
  <si>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</si>
  <si>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</si>
  <si>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</si>
  <si>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</si>
  <si>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</si>
  <si>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</si>
  <si>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</si>
  <si>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</si>
  <si>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</si>
  <si>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</si>
  <si>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</si>
  <si>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</si>
  <si>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</si>
  <si>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</si>
  <si>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</si>
  <si>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</si>
  <si>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</si>
  <si>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</si>
  <si>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</si>
  <si>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</si>
  <si>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</si>
  <si>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</si>
  <si>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</si>
  <si>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</si>
  <si>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</si>
  <si>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</si>
  <si>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</si>
  <si>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</si>
  <si>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</si>
  <si>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</si>
  <si>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</si>
  <si>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</si>
  <si>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</si>
  <si>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</si>
  <si>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</si>
  <si>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</si>
  <si>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</si>
  <si>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</si>
  <si>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</si>
  <si>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</si>
  <si>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</si>
  <si>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</si>
  <si>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</si>
  <si>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</si>
  <si>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</si>
  <si>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</si>
  <si>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</si>
  <si>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</si>
  <si>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</si>
  <si>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</si>
  <si>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</si>
  <si>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</si>
  <si>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</si>
  <si>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</si>
  <si>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</si>
  <si>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</si>
  <si>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</si>
  <si>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</si>
  <si>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</si>
  <si>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</si>
  <si>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</si>
  <si>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</si>
  <si>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</si>
  <si>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</si>
  <si>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</si>
  <si>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</si>
  <si>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</si>
  <si>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</si>
  <si>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</si>
  <si>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</si>
  <si>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</si>
  <si>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</si>
  <si>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</si>
  <si>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</si>
  <si>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</si>
  <si>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</si>
  <si>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</si>
  <si>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</si>
  <si>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</si>
  <si>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</si>
  <si>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</si>
  <si>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</si>
  <si>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</si>
  <si>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</si>
  <si>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</si>
  <si>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</si>
  <si>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</si>
  <si>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</si>
  <si>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</si>
  <si>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</si>
  <si>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</si>
  <si>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</si>
  <si>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</si>
  <si>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</si>
  <si>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</si>
  <si>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</si>
  <si>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</si>
  <si>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</si>
  <si>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</si>
  <si>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</si>
  <si>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</si>
  <si>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</si>
  <si>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</si>
  <si>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</si>
  <si>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</si>
  <si>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</si>
  <si>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</si>
  <si>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</si>
  <si>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</si>
  <si>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</si>
  <si>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</si>
  <si>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</si>
  <si>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</si>
  <si>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</si>
  <si>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</si>
  <si>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</si>
  <si>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</si>
  <si>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</si>
  <si>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</si>
  <si>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</si>
  <si>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</si>
  <si>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</si>
  <si>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</si>
  <si>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</si>
  <si>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</si>
  <si>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</si>
  <si>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</si>
  <si>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</si>
  <si>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</si>
  <si>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</si>
  <si>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</si>
  <si>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</si>
  <si>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</si>
  <si>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</si>
  <si>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</si>
  <si>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</si>
  <si>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</si>
  <si>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</si>
  <si>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</si>
  <si>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</si>
  <si>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</si>
  <si>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</si>
  <si>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</si>
  <si>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</si>
  <si>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</si>
  <si>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</si>
  <si>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</si>
  <si>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</si>
  <si>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</si>
  <si>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</si>
  <si>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</si>
  <si>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</si>
  <si>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</si>
  <si>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</si>
  <si>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</si>
  <si>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</si>
  <si>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</si>
  <si>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</si>
  <si>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</si>
  <si>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</si>
  <si>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</si>
  <si>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</si>
  <si>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</si>
  <si>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</si>
  <si>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</si>
  <si>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</si>
  <si>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</si>
  <si>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</si>
  <si>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</si>
  <si>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</si>
  <si>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</si>
  <si>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</si>
  <si>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</si>
  <si>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</si>
  <si>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</si>
  <si>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</si>
  <si>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</si>
  <si>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</si>
  <si>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</si>
  <si>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</si>
  <si>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</si>
  <si>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</si>
  <si>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</si>
  <si>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</si>
  <si>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</si>
  <si>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</si>
  <si>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</si>
  <si>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</si>
  <si>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</si>
  <si>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</si>
  <si>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</si>
  <si>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</si>
  <si>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</si>
  <si>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</si>
  <si>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</si>
  <si>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</si>
  <si>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</si>
  <si>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</si>
  <si>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</si>
  <si>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</si>
  <si>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</si>
  <si>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</si>
  <si>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</si>
  <si>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</si>
  <si>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</si>
  <si>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</si>
  <si>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</si>
  <si>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</si>
  <si>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</si>
  <si>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</si>
  <si>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</si>
  <si>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</si>
  <si>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</si>
  <si>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</si>
  <si>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</si>
  <si>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</si>
  <si>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</si>
  <si>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</si>
  <si>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</si>
  <si>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</si>
  <si>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</si>
  <si>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</si>
  <si>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</si>
  <si>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</si>
  <si>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</si>
  <si>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</si>
  <si>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</si>
  <si>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</si>
  <si>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</si>
  <si>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</si>
  <si>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</si>
  <si>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</si>
  <si>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</si>
  <si>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</si>
  <si>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</si>
  <si>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</si>
  <si>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</si>
  <si>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</si>
  <si>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</si>
  <si>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</si>
  <si>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</si>
  <si>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</si>
  <si>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</si>
  <si>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</si>
  <si>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</si>
  <si>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</si>
  <si>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</si>
  <si>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</si>
  <si>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</si>
  <si>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</si>
  <si>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</si>
  <si>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</si>
  <si>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</si>
  <si>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</si>
  <si>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</si>
  <si>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</si>
  <si>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</si>
  <si>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</si>
  <si>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</si>
  <si>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</si>
  <si>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</si>
  <si>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</si>
  <si>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</si>
  <si>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</si>
  <si>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</si>
  <si>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</si>
  <si>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</si>
  <si>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</si>
  <si>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</si>
  <si>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</si>
  <si>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</si>
  <si>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</si>
  <si>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</si>
  <si>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</si>
  <si>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</si>
  <si>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</si>
  <si>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</si>
  <si>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</si>
  <si>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</si>
  <si>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</si>
  <si>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</si>
  <si>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</si>
  <si>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</si>
  <si>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</si>
  <si>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</si>
  <si>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</si>
  <si>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</si>
  <si>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</si>
  <si>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</si>
  <si>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</si>
  <si>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</si>
  <si>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</si>
  <si>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</si>
  <si>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</si>
  <si>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</si>
  <si>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</si>
  <si>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</si>
  <si>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</si>
  <si>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</si>
  <si>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</si>
  <si>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</si>
  <si>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</si>
  <si>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</si>
  <si>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</si>
  <si>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</si>
  <si>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</si>
  <si>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</si>
  <si>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</si>
  <si>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</si>
  <si>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</si>
  <si>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</si>
  <si>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</si>
  <si>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</si>
  <si>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</si>
  <si>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</si>
  <si>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</si>
  <si>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</si>
  <si>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</si>
  <si>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</si>
  <si>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</si>
  <si>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</si>
  <si>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</si>
  <si>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</si>
  <si>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</si>
  <si>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</si>
  <si>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</si>
  <si>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</si>
  <si>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</si>
  <si>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</si>
  <si>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</si>
  <si>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</si>
  <si>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</si>
  <si>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</si>
  <si>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</si>
  <si>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</si>
  <si>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</si>
  <si>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</si>
  <si>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</si>
  <si>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</si>
  <si>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</si>
  <si>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</si>
  <si>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</si>
  <si>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</si>
  <si>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</si>
  <si>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</si>
  <si>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</si>
  <si>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</si>
  <si>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</si>
  <si>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</si>
  <si>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</si>
  <si>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</si>
  <si>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</si>
  <si>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</si>
  <si>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</si>
  <si>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</si>
  <si>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</si>
  <si>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</si>
  <si>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</si>
  <si>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</si>
  <si>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</si>
  <si>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</si>
  <si>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</si>
  <si>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</si>
  <si>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</si>
  <si>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</si>
  <si>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</si>
  <si>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</si>
  <si>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</si>
  <si>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</si>
  <si>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</si>
  <si>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</si>
  <si>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</si>
  <si>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</si>
  <si>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</si>
  <si>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</si>
  <si>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</si>
  <si>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</si>
  <si>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</si>
  <si>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</si>
  <si>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</si>
  <si>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</si>
  <si>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</si>
  <si>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</si>
  <si>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</si>
  <si>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</si>
  <si>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</si>
  <si>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</si>
  <si>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</si>
  <si>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</si>
  <si>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</si>
  <si>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</si>
  <si>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</si>
  <si>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</si>
  <si>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</si>
  <si>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</si>
  <si>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</si>
  <si>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</si>
  <si>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</si>
  <si>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</si>
  <si>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</si>
  <si>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</si>
  <si>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</si>
  <si>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</si>
  <si>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</si>
  <si>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</si>
  <si>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</si>
  <si>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</si>
  <si>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</si>
  <si>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</si>
  <si>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</si>
  <si>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</si>
  <si>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</si>
  <si>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</si>
  <si>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</si>
  <si>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</si>
  <si>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</si>
  <si>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</si>
  <si>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</si>
  <si>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</si>
  <si>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</si>
  <si>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</si>
  <si>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</si>
  <si>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</si>
  <si>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</si>
  <si>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</si>
  <si>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</si>
  <si>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</si>
  <si>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</si>
  <si>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</si>
  <si>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</si>
  <si>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</si>
  <si>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</si>
  <si>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</si>
  <si>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</si>
  <si>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</si>
  <si>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</si>
  <si>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</si>
  <si>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</si>
  <si>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</si>
  <si>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</si>
  <si>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</si>
  <si>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</si>
  <si>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</si>
  <si>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</si>
  <si>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</si>
  <si>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</si>
  <si>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</si>
  <si>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</si>
  <si>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</si>
  <si>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</si>
  <si>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</si>
  <si>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</si>
  <si>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</si>
  <si>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</si>
  <si>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</si>
  <si>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</si>
  <si>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</si>
  <si>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</si>
  <si>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</si>
  <si>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</si>
  <si>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</si>
  <si>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</si>
  <si>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</si>
  <si>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</si>
  <si>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</si>
  <si>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</si>
  <si>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</si>
  <si>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</si>
  <si>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</si>
  <si>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</si>
  <si>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</si>
  <si>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</si>
  <si>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</si>
  <si>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</si>
  <si>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</si>
  <si>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</si>
  <si>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</si>
  <si>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</si>
  <si>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</si>
  <si>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</si>
  <si>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</si>
  <si>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</si>
  <si>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</si>
  <si>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</si>
  <si>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</si>
  <si>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</si>
  <si>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</si>
  <si>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</si>
  <si>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</si>
  <si>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</si>
  <si>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</si>
  <si>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</si>
  <si>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</si>
  <si>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</si>
  <si>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</si>
  <si>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</si>
  <si>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</si>
  <si>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</si>
  <si>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</si>
  <si>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</si>
  <si>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</si>
  <si>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</si>
  <si>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</si>
  <si>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</si>
  <si>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</si>
  <si>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</si>
  <si>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</si>
  <si>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</si>
  <si>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</si>
  <si>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</si>
  <si>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</si>
  <si>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</si>
  <si>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</si>
  <si>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</si>
  <si>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</si>
  <si>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</si>
  <si>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</si>
  <si>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</si>
  <si>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</si>
  <si>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</si>
  <si>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</si>
  <si>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</si>
  <si>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</si>
  <si>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</si>
  <si>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</si>
  <si>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</si>
  <si>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</si>
  <si>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</si>
  <si>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</si>
  <si>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</si>
  <si>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</si>
  <si>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</si>
  <si>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</si>
  <si>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</si>
  <si>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</si>
  <si>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</si>
  <si>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</si>
  <si>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</si>
  <si>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</si>
  <si>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</si>
  <si>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</si>
  <si>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</si>
  <si>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</si>
  <si>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</si>
  <si>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</si>
  <si>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</si>
  <si>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</si>
  <si>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</si>
  <si>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</si>
  <si>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</si>
  <si>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</si>
  <si>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</si>
  <si>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</si>
  <si>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</si>
  <si>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</si>
  <si>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</si>
  <si>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</si>
  <si>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</si>
  <si>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</si>
  <si>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</si>
  <si>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</si>
  <si>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</si>
  <si>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</si>
  <si>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</si>
  <si>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</si>
  <si>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</si>
  <si>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</si>
  <si>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</si>
  <si>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</si>
  <si>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</si>
  <si>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</si>
  <si>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</si>
  <si>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</si>
  <si>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</si>
  <si>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</si>
  <si>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</si>
  <si>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</si>
  <si>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</si>
  <si>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</si>
  <si>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</si>
  <si>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</si>
  <si>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</si>
  <si>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</si>
  <si>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</si>
  <si>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</si>
  <si>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</si>
  <si>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</si>
  <si>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</si>
  <si>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</si>
  <si>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</si>
  <si>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</si>
  <si>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</si>
  <si>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</si>
  <si>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</si>
  <si>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</si>
  <si>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</si>
  <si>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</si>
  <si>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</si>
  <si>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</si>
  <si>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</si>
  <si>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</si>
  <si>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</si>
  <si>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</si>
  <si>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</si>
  <si>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</si>
  <si>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</si>
  <si>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</si>
  <si>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</si>
  <si>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</si>
  <si>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</si>
  <si>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</si>
  <si>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</si>
  <si>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</si>
  <si>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</si>
  <si>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</si>
  <si>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</si>
  <si>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</si>
  <si>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</si>
  <si>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</si>
  <si>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</si>
  <si>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</si>
  <si>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</si>
  <si>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</si>
  <si>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</si>
  <si>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</si>
  <si>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</si>
  <si>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</si>
  <si>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</si>
  <si>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</si>
  <si>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</si>
  <si>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</si>
  <si>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</si>
  <si>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</si>
  <si>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</si>
  <si>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</si>
  <si>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</si>
  <si>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</si>
  <si>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</si>
  <si>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</si>
  <si>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</si>
  <si>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</si>
  <si>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</si>
  <si>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</si>
  <si>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</si>
  <si>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</si>
  <si>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</si>
  <si>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</si>
  <si>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</si>
  <si>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</si>
  <si>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</si>
  <si>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</si>
  <si>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</si>
  <si>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</si>
  <si>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</si>
  <si>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</si>
  <si>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</si>
  <si>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</si>
  <si>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</si>
  <si>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</si>
  <si>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</si>
  <si>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</si>
  <si>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</si>
  <si>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</si>
  <si>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</si>
  <si>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</si>
  <si>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</si>
  <si>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</si>
  <si>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</si>
  <si>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</si>
  <si>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</si>
  <si>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</si>
  <si>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</si>
  <si>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</si>
  <si>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</si>
  <si>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</si>
  <si>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</si>
  <si>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</si>
  <si>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</si>
  <si>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</si>
  <si>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</si>
  <si>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</si>
  <si>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</si>
  <si>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</si>
  <si>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</si>
  <si>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</si>
  <si>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</si>
  <si>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</si>
  <si>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</si>
  <si>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</si>
  <si>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</si>
  <si>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</si>
  <si>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</si>
  <si>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</si>
  <si>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</si>
  <si>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</si>
  <si>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</si>
  <si>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</si>
  <si>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</si>
  <si>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</si>
  <si>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</si>
  <si>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</si>
  <si>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</si>
  <si>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</si>
  <si>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</si>
  <si>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</si>
  <si>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</si>
  <si>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</si>
  <si>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</si>
  <si>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</si>
  <si>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</si>
  <si>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</si>
  <si>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</si>
  <si>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</si>
  <si>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</si>
  <si>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</si>
  <si>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</si>
  <si>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</si>
  <si>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</si>
  <si>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</si>
  <si>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</si>
  <si>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</si>
  <si>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</si>
  <si>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</si>
  <si>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</si>
  <si>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</si>
  <si>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</si>
  <si>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</si>
  <si>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</si>
  <si>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</si>
  <si>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</si>
  <si>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</si>
  <si>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</si>
  <si>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</si>
  <si>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</si>
  <si>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</si>
  <si>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</si>
  <si>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</si>
  <si>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</si>
  <si>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</si>
  <si>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</si>
  <si>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</si>
  <si>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</si>
  <si>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</si>
  <si>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</si>
  <si>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</si>
  <si>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</si>
  <si>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</si>
  <si>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</si>
  <si>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</si>
  <si>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</si>
  <si>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</si>
  <si>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</si>
  <si>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</si>
  <si>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</si>
  <si>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</si>
  <si>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</si>
  <si>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</si>
  <si>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</si>
  <si>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</si>
  <si>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</si>
  <si>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</si>
  <si>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</si>
  <si>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</si>
  <si>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</si>
  <si>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</si>
  <si>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</si>
  <si>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</si>
  <si>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</si>
  <si>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</si>
  <si>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</si>
  <si>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</si>
  <si>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</si>
  <si>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</si>
  <si>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</si>
  <si>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</si>
  <si>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</si>
  <si>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</si>
  <si>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</si>
  <si>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</si>
  <si>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</si>
  <si>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</si>
  <si>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</si>
  <si>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</si>
  <si>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</si>
  <si>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</si>
  <si>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</si>
  <si>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</si>
  <si>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</si>
  <si>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</si>
  <si>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</si>
  <si>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</si>
  <si>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</si>
  <si>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</si>
  <si>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</si>
  <si>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</si>
  <si>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</si>
  <si>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</si>
  <si>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</si>
  <si>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</si>
  <si>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</si>
  <si>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</si>
  <si>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</si>
  <si>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</si>
  <si>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</si>
  <si>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</si>
  <si>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</si>
  <si>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</si>
  <si>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</si>
  <si>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</si>
  <si>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</si>
  <si>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</si>
  <si>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</si>
  <si>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</si>
  <si>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</si>
  <si>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</si>
  <si>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</si>
  <si>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</si>
  <si>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</si>
  <si>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</si>
  <si>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</si>
  <si>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</si>
  <si>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</si>
  <si>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</si>
  <si>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</si>
  <si>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</si>
  <si>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</si>
  <si>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</si>
  <si>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</si>
  <si>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</si>
  <si>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</si>
  <si>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</si>
  <si>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</si>
  <si>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</si>
  <si>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</si>
  <si>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</si>
  <si>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</si>
  <si>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</si>
  <si>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</si>
  <si>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</si>
  <si>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</si>
  <si>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</si>
  <si>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</si>
  <si>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</si>
  <si>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</si>
  <si>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</si>
  <si>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</si>
  <si>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</si>
  <si>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</si>
  <si>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</si>
  <si>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</si>
  <si>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</si>
  <si>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</si>
  <si>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</si>
  <si>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</si>
  <si>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</si>
  <si>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</si>
  <si>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</si>
  <si>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</si>
  <si>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</si>
  <si>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</si>
  <si>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</si>
  <si>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</si>
  <si>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</si>
  <si>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</si>
  <si>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</si>
  <si>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</si>
  <si>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</si>
  <si>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</si>
  <si>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</si>
  <si>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</si>
  <si>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</si>
  <si>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</si>
  <si>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</si>
  <si>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</si>
  <si>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</si>
  <si>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</si>
  <si>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</si>
  <si>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</si>
  <si>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</si>
  <si>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</si>
  <si>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</si>
  <si>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</si>
  <si>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</si>
  <si>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</si>
  <si>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</si>
  <si>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</si>
  <si>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</si>
  <si>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</si>
  <si>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</si>
  <si>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</si>
  <si>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</si>
  <si>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</si>
  <si>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</si>
  <si>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</si>
  <si>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</si>
  <si>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</si>
  <si>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</si>
  <si>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</si>
  <si>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</si>
  <si>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</si>
  <si>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</si>
  <si>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</si>
  <si>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</si>
  <si>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</si>
  <si>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</si>
  <si>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</si>
  <si>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</si>
  <si>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</si>
  <si>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</si>
  <si>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</si>
  <si>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</si>
  <si>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</si>
  <si>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</si>
  <si>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</si>
  <si>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</si>
  <si>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</si>
  <si>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</si>
  <si>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</si>
  <si>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</si>
  <si>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</si>
  <si>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</si>
  <si>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</si>
  <si>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</si>
  <si>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</si>
  <si>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</si>
  <si>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</si>
  <si>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</si>
  <si>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</si>
  <si>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</si>
  <si>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</si>
  <si>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</si>
  <si>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</si>
  <si>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</si>
  <si>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</si>
  <si>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</si>
  <si>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</si>
  <si>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</si>
  <si>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</si>
  <si>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</si>
  <si>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</si>
  <si>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</si>
  <si>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</si>
  <si>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</si>
  <si>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</si>
  <si>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</si>
  <si>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</si>
  <si>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</si>
  <si>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</si>
  <si>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</si>
  <si>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</si>
  <si>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</si>
  <si>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</si>
  <si>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</si>
  <si>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</si>
  <si>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</si>
  <si>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</si>
  <si>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</si>
  <si>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</si>
  <si>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</si>
  <si>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</si>
  <si>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</si>
  <si>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</si>
  <si>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</si>
  <si>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</si>
  <si>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</si>
  <si>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</si>
  <si>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</si>
  <si>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</si>
  <si>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</si>
  <si>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</si>
  <si>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</si>
  <si>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</si>
  <si>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</si>
  <si>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</si>
  <si>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</si>
  <si>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</si>
  <si>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</si>
  <si>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</si>
  <si>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</si>
  <si>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</si>
  <si>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</si>
  <si>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</si>
  <si>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</si>
  <si>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</si>
  <si>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</si>
  <si>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</si>
  <si>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</si>
  <si>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</si>
  <si>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</si>
  <si>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</si>
  <si>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</si>
  <si>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</si>
  <si>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</si>
  <si>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</si>
  <si>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</si>
  <si>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</si>
  <si>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</si>
  <si>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</si>
  <si>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</si>
  <si>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</si>
  <si>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</si>
  <si>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</si>
  <si>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</si>
  <si>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</si>
  <si>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</si>
  <si>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</si>
  <si>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</si>
  <si>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</si>
  <si>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</si>
  <si>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</si>
  <si>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</si>
  <si>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</si>
  <si>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</si>
  <si>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</si>
  <si>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</si>
  <si>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</si>
  <si>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</si>
  <si>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</si>
  <si>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</si>
  <si>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</si>
  <si>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</si>
  <si>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</si>
  <si>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</si>
  <si>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</si>
  <si>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</si>
  <si>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</si>
  <si>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</si>
  <si>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</si>
  <si>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</si>
  <si>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</si>
  <si>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</si>
  <si>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</si>
  <si>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</si>
  <si>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</si>
  <si>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</si>
  <si>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</si>
  <si>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</si>
  <si>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</si>
  <si>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</si>
  <si>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</si>
  <si>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</si>
  <si>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</si>
  <si>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</si>
  <si>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</si>
  <si>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</si>
  <si>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</si>
  <si>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</si>
  <si>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</si>
  <si>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</si>
  <si>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</si>
  <si>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</si>
  <si>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</si>
  <si>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</si>
  <si>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</si>
  <si>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</si>
  <si>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</si>
  <si>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</si>
  <si>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</si>
  <si>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</si>
  <si>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</si>
  <si>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</si>
  <si>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</si>
  <si>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</si>
  <si>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</si>
  <si>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</si>
  <si>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</si>
  <si>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</si>
  <si>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</si>
  <si>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</si>
  <si>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</si>
  <si>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</si>
  <si>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</si>
  <si>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</si>
  <si>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</si>
  <si>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</si>
  <si>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</si>
  <si>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</si>
  <si>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</si>
  <si>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</si>
  <si>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</si>
  <si>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</si>
  <si>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</si>
  <si>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</si>
  <si>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</si>
  <si>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</si>
  <si>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</si>
  <si>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</si>
  <si>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</si>
  <si>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</si>
  <si>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</si>
  <si>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</si>
  <si>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</si>
  <si>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</si>
  <si>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</si>
  <si>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</si>
  <si>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</si>
  <si>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</si>
  <si>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</si>
  <si>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</si>
  <si>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</si>
  <si>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</si>
  <si>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</si>
  <si>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</si>
  <si>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</si>
  <si>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</si>
  <si>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</si>
  <si>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</si>
  <si>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</si>
  <si>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</si>
  <si>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</si>
  <si>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</si>
  <si>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</si>
  <si>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</si>
  <si>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</si>
  <si>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</si>
  <si>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</si>
  <si>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</si>
  <si>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</si>
  <si>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</si>
  <si>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</si>
  <si>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</si>
  <si>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</si>
  <si>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</si>
  <si>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</si>
  <si>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</si>
  <si>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</si>
  <si>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</si>
  <si>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</si>
  <si>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</si>
  <si>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</si>
  <si>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</si>
  <si>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</si>
  <si>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</si>
  <si>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</si>
  <si>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</si>
  <si>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</si>
  <si>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</si>
  <si>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</si>
  <si>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</si>
  <si>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</si>
  <si>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</si>
  <si>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</si>
  <si>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</si>
  <si>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</si>
  <si>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</si>
  <si>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</si>
  <si>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</si>
  <si>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</si>
  <si>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</si>
  <si>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</si>
  <si>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</si>
  <si>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</si>
  <si>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</si>
  <si>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</si>
  <si>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</si>
  <si>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</si>
  <si>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</si>
  <si>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</si>
  <si>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</si>
  <si>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</si>
  <si>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</si>
  <si>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</si>
  <si>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</si>
  <si>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</si>
  <si>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</si>
  <si>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</si>
  <si>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</si>
  <si>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</si>
  <si>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</si>
  <si>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</si>
  <si>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</si>
  <si>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</si>
  <si>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</si>
  <si>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</si>
  <si>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</si>
  <si>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</si>
  <si>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</si>
  <si>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</si>
  <si>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</si>
  <si>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</si>
  <si>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</si>
  <si>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</si>
  <si>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</si>
  <si>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</si>
  <si>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</si>
  <si>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</si>
  <si>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</si>
  <si>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</si>
  <si>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</si>
  <si>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</si>
  <si>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</si>
  <si>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</si>
  <si>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</si>
  <si>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</si>
  <si>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</si>
  <si>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</si>
  <si>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</si>
  <si>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</si>
  <si>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</si>
  <si>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</si>
  <si>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</si>
  <si>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</si>
  <si>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</si>
  <si>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</si>
  <si>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</si>
  <si>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</si>
  <si>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</si>
  <si>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</si>
  <si>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</si>
  <si>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</si>
  <si>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</si>
  <si>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</si>
  <si>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</si>
  <si>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</si>
  <si>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</si>
  <si>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</si>
  <si>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</si>
  <si>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</si>
  <si>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</si>
  <si>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</si>
  <si>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</si>
  <si>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</si>
  <si>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</si>
  <si>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</si>
  <si>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</si>
  <si>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</si>
  <si>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</si>
  <si>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</si>
  <si>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</si>
  <si>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</si>
  <si>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</si>
  <si>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</si>
  <si>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</si>
  <si>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</si>
  <si>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</si>
  <si>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</si>
  <si>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</si>
  <si>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</si>
  <si>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</si>
  <si>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</si>
  <si>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</si>
  <si>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</si>
  <si>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</si>
  <si>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</si>
  <si>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</si>
  <si>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</si>
  <si>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</si>
  <si>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</si>
  <si>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</si>
  <si>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</si>
  <si>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</si>
  <si>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</si>
  <si>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</si>
  <si>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</si>
  <si>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</si>
  <si>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</si>
  <si>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</si>
  <si>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</si>
  <si>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</si>
  <si>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</si>
  <si>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</si>
  <si>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</si>
  <si>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</si>
  <si>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</si>
  <si>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</si>
  <si>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</si>
  <si>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</si>
  <si>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</si>
  <si>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</si>
  <si>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</si>
  <si>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</si>
  <si>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</si>
  <si>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</si>
  <si>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</si>
  <si>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</si>
  <si>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</si>
  <si>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</si>
  <si>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</si>
  <si>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</si>
  <si>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</si>
  <si>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</si>
  <si>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</si>
  <si>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</si>
  <si>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</si>
  <si>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</si>
  <si>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</si>
  <si>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</si>
  <si>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</si>
  <si>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</si>
  <si>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</si>
  <si>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</si>
  <si>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</si>
  <si>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</si>
  <si>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</si>
  <si>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</si>
  <si>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</si>
  <si>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</si>
  <si>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</si>
  <si>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</si>
  <si>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</si>
  <si>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</si>
  <si>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</si>
  <si>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</si>
  <si>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</si>
  <si>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</si>
  <si>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</si>
  <si>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</si>
  <si>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</si>
  <si>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</si>
  <si>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</si>
  <si>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</si>
  <si>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</si>
  <si>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</si>
  <si>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</si>
  <si>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</si>
  <si>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</si>
  <si>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</si>
  <si>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</si>
  <si>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</si>
  <si>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</si>
  <si>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</si>
  <si>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</si>
  <si>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</si>
  <si>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</si>
  <si>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</si>
  <si>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</si>
  <si>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</si>
  <si>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</si>
  <si>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</si>
  <si>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</si>
  <si>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</si>
  <si>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</si>
  <si>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</si>
  <si>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</si>
  <si>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</si>
  <si>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</si>
  <si>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</si>
  <si>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</si>
  <si>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</si>
  <si>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</si>
  <si>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</si>
  <si>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</si>
  <si>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</si>
  <si>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</si>
  <si>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</si>
  <si>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</si>
  <si>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</si>
  <si>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</si>
  <si>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</si>
  <si>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</si>
  <si>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</si>
  <si>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</si>
  <si>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</si>
  <si>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</si>
  <si>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</si>
  <si>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</si>
  <si>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</si>
  <si>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</si>
  <si>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</si>
  <si>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</si>
  <si>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</si>
  <si>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</si>
  <si>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</si>
  <si>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</si>
  <si>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</si>
  <si>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</si>
  <si>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</si>
  <si>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</si>
  <si>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</si>
  <si>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</si>
  <si>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</si>
  <si>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</si>
  <si>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</si>
  <si>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</si>
  <si>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</si>
  <si>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</si>
  <si>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</si>
  <si>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</si>
  <si>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</si>
  <si>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</si>
  <si>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</si>
  <si>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</si>
  <si>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</si>
  <si>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</si>
  <si>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</si>
  <si>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</si>
  <si>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</si>
  <si>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</si>
  <si>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</si>
  <si>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</si>
  <si>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</si>
  <si>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</si>
  <si>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</si>
  <si>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</si>
  <si>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</si>
  <si>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</si>
  <si>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</si>
  <si>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</si>
  <si>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</si>
  <si>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</si>
  <si>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</si>
  <si>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</si>
  <si>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</si>
  <si>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</si>
  <si>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</si>
  <si>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</si>
  <si>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</si>
  <si>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</si>
  <si>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</si>
  <si>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</si>
  <si>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</si>
  <si>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</si>
  <si>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</si>
  <si>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</si>
  <si>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</si>
  <si>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</si>
  <si>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</si>
  <si>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</si>
  <si>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</si>
  <si>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</si>
  <si>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</si>
  <si>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</si>
  <si>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</si>
  <si>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</si>
  <si>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</si>
  <si>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</si>
  <si>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</si>
  <si>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</si>
  <si>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</si>
  <si>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</si>
  <si>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</si>
  <si>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</si>
  <si>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</si>
  <si>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</si>
  <si>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</si>
  <si>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</si>
  <si>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</si>
  <si>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</si>
  <si>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</si>
  <si>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</si>
  <si>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</si>
  <si>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</si>
  <si>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</si>
  <si>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</si>
  <si>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</si>
  <si>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</si>
  <si>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</si>
  <si>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</si>
  <si>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</si>
  <si>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</si>
  <si>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</si>
  <si>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</si>
  <si>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</si>
  <si>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</si>
  <si>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</si>
  <si>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</si>
  <si>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</si>
  <si>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</si>
  <si>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</si>
  <si>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</si>
  <si>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</si>
  <si>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</si>
  <si>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</si>
  <si>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</si>
  <si>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</si>
  <si>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</si>
  <si>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</si>
  <si>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</si>
  <si>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</si>
  <si>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</si>
  <si>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</si>
  <si>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</si>
  <si>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</si>
  <si>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</si>
  <si>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</si>
  <si>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</si>
  <si>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</si>
  <si>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</si>
  <si>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</si>
  <si>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</si>
  <si>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</si>
  <si>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</si>
  <si>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</si>
  <si>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</si>
  <si>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</si>
  <si>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</si>
  <si>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</si>
  <si>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</si>
  <si>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</si>
  <si>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</si>
  <si>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</si>
  <si>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</si>
  <si>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</si>
  <si>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</si>
  <si>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</si>
  <si>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</si>
  <si>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</si>
  <si>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</si>
  <si>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</si>
  <si>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</si>
  <si>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</si>
  <si>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</si>
  <si>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</si>
  <si>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</si>
  <si>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</si>
  <si>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</si>
  <si>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</si>
  <si>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</si>
  <si>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</si>
  <si>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</si>
  <si>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</si>
  <si>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</si>
  <si>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</si>
  <si>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</si>
  <si>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</si>
  <si>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</si>
  <si>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</si>
  <si>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</si>
  <si>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</si>
  <si>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</si>
  <si>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</si>
  <si>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</si>
  <si>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</si>
  <si>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</si>
  <si>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</si>
  <si>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</si>
  <si>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</si>
  <si>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</si>
  <si>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</si>
  <si>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</si>
  <si>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</si>
  <si>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</si>
  <si>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</si>
  <si>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</si>
  <si>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</si>
  <si>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</si>
  <si>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</si>
  <si>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</si>
  <si>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</si>
  <si>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</si>
  <si>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</si>
  <si>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</si>
  <si>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</si>
  <si>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</si>
  <si>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</si>
  <si>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</si>
  <si>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</si>
  <si>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</si>
  <si>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</si>
  <si>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</si>
  <si>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</si>
  <si>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</si>
  <si>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</si>
  <si>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</si>
  <si>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</si>
  <si>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</si>
  <si>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</si>
  <si>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</si>
  <si>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</si>
  <si>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</si>
  <si>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</si>
  <si>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</si>
  <si>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</si>
  <si>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</si>
  <si>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</si>
  <si>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</si>
  <si>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</si>
  <si>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</si>
  <si>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</si>
  <si>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</si>
  <si>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</si>
  <si>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</si>
  <si>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</si>
  <si>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</si>
  <si>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</si>
  <si>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</si>
  <si>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</si>
  <si>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</si>
  <si>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</si>
  <si>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</si>
  <si>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</si>
  <si>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</si>
  <si>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</si>
  <si>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</si>
  <si>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</si>
  <si>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</si>
  <si>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</si>
  <si>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</si>
  <si>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</si>
  <si>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</si>
  <si>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</si>
  <si>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</si>
  <si>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</si>
  <si>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</si>
  <si>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</si>
  <si>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</si>
  <si>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</si>
  <si>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</si>
  <si>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</si>
  <si>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</si>
  <si>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</si>
  <si>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</si>
  <si>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</si>
  <si>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</si>
  <si>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</si>
  <si>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</si>
  <si>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</si>
  <si>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</si>
  <si>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</si>
  <si>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</si>
  <si>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</si>
  <si>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</si>
  <si>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</si>
  <si>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</si>
  <si>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</si>
  <si>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</si>
  <si>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</si>
  <si>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</si>
  <si>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</si>
  <si>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</si>
  <si>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</si>
  <si>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</si>
  <si>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</si>
  <si>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</si>
  <si>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</si>
  <si>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</si>
  <si>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</si>
  <si>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</si>
  <si>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</si>
  <si>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</si>
  <si>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</si>
  <si>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</si>
  <si>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</si>
  <si>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</si>
  <si>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</si>
  <si>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</si>
  <si>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</si>
  <si>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</si>
  <si>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</si>
  <si>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</si>
  <si>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</si>
  <si>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</si>
  <si>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</si>
  <si>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</si>
  <si>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</si>
  <si>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</si>
  <si>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</si>
  <si>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</si>
  <si>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</si>
  <si>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</si>
  <si>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</si>
  <si>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</si>
  <si>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</si>
  <si>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</si>
  <si>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</si>
  <si>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</si>
  <si>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</si>
  <si>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</si>
  <si>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</si>
  <si>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</si>
  <si>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</si>
  <si>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</si>
  <si>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</si>
  <si>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</si>
  <si>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</si>
  <si>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</si>
  <si>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</si>
  <si>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</si>
  <si>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</si>
  <si>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</si>
  <si>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</si>
  <si>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</si>
  <si>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</si>
  <si>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</si>
  <si>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</si>
  <si>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</si>
  <si>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</si>
  <si>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</si>
  <si>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</si>
  <si>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</si>
  <si>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</si>
  <si>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</si>
  <si>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</si>
  <si>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</si>
  <si>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</si>
  <si>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</si>
  <si>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</si>
  <si>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</si>
  <si>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</si>
  <si>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</si>
  <si>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</si>
  <si>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</si>
  <si>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</si>
  <si>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</si>
  <si>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</si>
  <si>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</si>
  <si>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</si>
  <si>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</si>
  <si>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</si>
  <si>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</si>
  <si>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</si>
  <si>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</si>
  <si>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</si>
  <si>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</si>
  <si>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</si>
  <si>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</si>
  <si>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</si>
  <si>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</si>
  <si>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</si>
  <si>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</si>
  <si>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</si>
  <si>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</si>
  <si>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</si>
  <si>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</si>
  <si>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</si>
  <si>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</si>
  <si>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</si>
  <si>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</si>
  <si>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</si>
  <si>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</si>
  <si>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</si>
  <si>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</si>
  <si>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</si>
  <si>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</si>
  <si>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</si>
  <si>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</si>
  <si>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</si>
  <si>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</si>
  <si>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</si>
  <si>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</si>
  <si>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</si>
  <si>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</si>
  <si>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</si>
  <si>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</si>
  <si>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</si>
  <si>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</si>
  <si>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</si>
  <si>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</si>
  <si>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</si>
  <si>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</si>
  <si>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</si>
  <si>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</si>
  <si>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</si>
  <si>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</si>
  <si>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</si>
  <si>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</si>
  <si>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</si>
  <si>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</si>
  <si>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</si>
  <si>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</si>
  <si>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</si>
  <si>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</si>
  <si>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</si>
  <si>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</si>
  <si>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</si>
  <si>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</si>
  <si>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</si>
  <si>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</si>
  <si>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</si>
  <si>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</si>
  <si>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</si>
  <si>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</si>
  <si>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</si>
  <si>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</si>
  <si>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</si>
  <si>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</si>
  <si>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</si>
  <si>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</si>
  <si>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</si>
  <si>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</si>
  <si>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</si>
  <si>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</si>
  <si>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</si>
  <si>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</si>
  <si>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</si>
  <si>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</si>
  <si>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</si>
  <si>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</si>
  <si>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</si>
  <si>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</si>
  <si>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</si>
  <si>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</si>
  <si>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</si>
  <si>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</si>
  <si>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</si>
  <si>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</si>
  <si>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</si>
  <si>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</si>
  <si>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</si>
  <si>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</si>
  <si>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</si>
  <si>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</si>
  <si>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</si>
  <si>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</si>
  <si>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</si>
  <si>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</si>
  <si>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</si>
  <si>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</si>
  <si>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</si>
  <si>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</si>
  <si>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</si>
  <si>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</si>
  <si>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</si>
  <si>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</si>
  <si>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</si>
  <si>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</si>
  <si>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</si>
  <si>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</si>
  <si>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</si>
  <si>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</si>
  <si>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</si>
  <si>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</si>
  <si>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</si>
  <si>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</si>
  <si>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</si>
  <si>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</si>
  <si>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</si>
  <si>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</si>
  <si>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</si>
  <si>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</si>
  <si>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</si>
  <si>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</si>
  <si>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</si>
  <si>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</si>
  <si>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</si>
  <si>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</si>
  <si>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</si>
  <si>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</si>
  <si>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</si>
  <si>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</si>
  <si>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</si>
  <si>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</si>
  <si>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</si>
  <si>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</si>
  <si>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</si>
  <si>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</si>
  <si>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</si>
  <si>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</si>
  <si>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</si>
  <si>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</si>
  <si>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</si>
  <si>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</si>
  <si>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</si>
  <si>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</si>
  <si>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</si>
  <si>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</si>
  <si>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</si>
  <si>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</si>
  <si>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</si>
  <si>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</si>
  <si>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</si>
  <si>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</si>
  <si>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</si>
  <si>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</si>
  <si>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</si>
  <si>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</si>
  <si>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</si>
  <si>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</si>
  <si>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</si>
  <si>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</si>
  <si>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</si>
  <si>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</si>
  <si>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</si>
  <si>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</si>
  <si>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</si>
  <si>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</si>
  <si>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</si>
  <si>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</si>
  <si>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</si>
  <si>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</si>
  <si>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</si>
  <si>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</si>
  <si>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</si>
  <si>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</si>
  <si>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</si>
  <si>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</si>
  <si>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</si>
  <si>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</si>
  <si>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</si>
  <si>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</si>
  <si>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</si>
  <si>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</si>
  <si>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</si>
  <si>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</si>
  <si>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</si>
  <si>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</si>
  <si>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</si>
  <si>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</si>
  <si>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</si>
  <si>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</si>
  <si>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</si>
  <si>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</si>
  <si>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</si>
  <si>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</si>
  <si>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</si>
  <si>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</si>
  <si>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</si>
  <si>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</si>
  <si>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</si>
  <si>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</si>
  <si>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</si>
  <si>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</si>
  <si>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</si>
  <si>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</si>
  <si>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</si>
  <si>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</si>
  <si>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</si>
  <si>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</si>
  <si>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</si>
  <si>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</si>
  <si>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</si>
  <si>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</si>
  <si>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</si>
  <si>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</si>
  <si>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</si>
  <si>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</si>
  <si>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</si>
  <si>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</si>
  <si>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</si>
  <si>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</si>
  <si>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</si>
  <si>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</si>
  <si>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</si>
  <si>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</si>
  <si>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</si>
  <si>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</si>
  <si>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</si>
  <si>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</si>
  <si>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</si>
  <si>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</si>
  <si>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</si>
  <si>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</si>
  <si>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</si>
  <si>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</si>
  <si>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</si>
  <si>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</si>
  <si>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</si>
  <si>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</si>
  <si>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</si>
  <si>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</si>
  <si>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</si>
  <si>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</si>
  <si>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</si>
  <si>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</si>
  <si>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</si>
  <si>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</si>
  <si>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</si>
  <si>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</si>
  <si>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</si>
  <si>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</si>
  <si>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</si>
  <si>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</si>
  <si>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</si>
  <si>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</si>
  <si>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</si>
  <si>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正常</t>
  </si>
  <si>
    <t>较好</t>
  </si>
  <si>
    <t>七通</t>
  </si>
  <si>
    <t>物业公司管理</t>
  </si>
  <si>
    <t>物业公司管理</t>
    <phoneticPr fontId="31" type="noConversion"/>
  </si>
  <si>
    <t>精装修</t>
    <phoneticPr fontId="31" type="noConversion"/>
  </si>
  <si>
    <t>普通装修</t>
  </si>
  <si>
    <t>普通装修</t>
    <phoneticPr fontId="31" type="noConversion"/>
  </si>
  <si>
    <t>否</t>
  </si>
  <si>
    <t>否</t>
    <phoneticPr fontId="31" type="noConversion"/>
  </si>
  <si>
    <t>平面车位</t>
  </si>
  <si>
    <t>平面车位</t>
    <phoneticPr fontId="31" type="noConversion"/>
  </si>
  <si>
    <t>万达广场</t>
    <phoneticPr fontId="3" type="noConversion"/>
  </si>
  <si>
    <t>天时名苑</t>
    <phoneticPr fontId="3" type="noConversion"/>
  </si>
  <si>
    <t>京贸国际</t>
    <phoneticPr fontId="3" type="noConversion"/>
  </si>
  <si>
    <t>元/车位</t>
  </si>
  <si>
    <t>项目类型</t>
  </si>
  <si>
    <t>单套模式</t>
  </si>
  <si>
    <t>挂牌</t>
  </si>
  <si>
    <t>挂牌</t>
    <phoneticPr fontId="31" type="noConversion"/>
  </si>
  <si>
    <t>售价</t>
  </si>
  <si>
    <t>世界侨商中心</t>
    <phoneticPr fontId="3" type="noConversion"/>
  </si>
  <si>
    <t>充足</t>
    <phoneticPr fontId="31" type="noConversion"/>
  </si>
  <si>
    <t>较充足</t>
    <phoneticPr fontId="31" type="noConversion"/>
  </si>
  <si>
    <t>紧缺</t>
    <phoneticPr fontId="31" type="noConversion"/>
  </si>
  <si>
    <t>充足</t>
    <phoneticPr fontId="134" type="noConversion"/>
  </si>
  <si>
    <r>
      <t>《国有建设用地使用权出让合同》</t>
    </r>
    <r>
      <rPr>
        <sz val="10.5"/>
        <color rgb="FF000000"/>
        <rFont val="Arial"/>
        <family val="2"/>
      </rPr>
      <t>[</t>
    </r>
    <r>
      <rPr>
        <sz val="10.5"/>
        <color rgb="FF000000"/>
        <rFont val="宋体"/>
        <family val="3"/>
        <charset val="134"/>
        <scheme val="minor"/>
      </rPr>
      <t>电子监管号：</t>
    </r>
    <r>
      <rPr>
        <sz val="10.5"/>
        <color rgb="FF000000"/>
        <rFont val="Arial"/>
        <family val="2"/>
      </rPr>
      <t>1101002023B000116]</t>
    </r>
    <r>
      <rPr>
        <sz val="10.5"/>
        <color rgb="FF000000"/>
        <rFont val="宋体"/>
        <family val="3"/>
        <charset val="134"/>
        <scheme val="minor"/>
      </rPr>
      <t/>
    </r>
    <phoneticPr fontId="134" type="noConversion"/>
  </si>
  <si>
    <t>《不动产权证书》[京（2023）通不动产权第0021053、0021054号]</t>
    <phoneticPr fontId="134" type="noConversion"/>
  </si>
  <si>
    <t>东至西关二巷，南至玉带河西街，西至北苑南路，北至西关大街</t>
  </si>
  <si>
    <t>F3其他类多功能用地</t>
    <phoneticPr fontId="134" type="noConversion"/>
  </si>
  <si>
    <t>商业、办公、公服</t>
    <phoneticPr fontId="134" type="noConversion"/>
  </si>
  <si>
    <t>2023.7.13-2073.7.12
2023.7.13-2063.7.12</t>
    <phoneticPr fontId="134" type="noConversion"/>
  </si>
  <si>
    <t>京（2023）通不动产权第0021053号</t>
    <phoneticPr fontId="134" type="noConversion"/>
  </si>
  <si>
    <t>京（2023）通不动产权第0021054号</t>
    <phoneticPr fontId="134" type="noConversion"/>
  </si>
  <si>
    <t>《建设工程规划许可证》[2024规自（通）建字0001号]建字第110112202400012号</t>
    <phoneticPr fontId="134" type="noConversion"/>
  </si>
  <si>
    <t>室外场站及室外发车站台</t>
    <phoneticPr fontId="134" type="noConversion"/>
  </si>
  <si>
    <t>换乘大厅、公交配套办公用房</t>
    <phoneticPr fontId="134" type="noConversion"/>
  </si>
  <si>
    <t>物流配送中心</t>
    <phoneticPr fontId="134" type="noConversion"/>
  </si>
  <si>
    <t>商业</t>
    <phoneticPr fontId="134" type="noConversion"/>
  </si>
  <si>
    <t>设备用房出入口及其他</t>
    <phoneticPr fontId="134" type="noConversion"/>
  </si>
  <si>
    <t>非机动车库</t>
    <phoneticPr fontId="134" type="noConversion"/>
  </si>
  <si>
    <t>地下人防工程</t>
    <phoneticPr fontId="134" type="noConversion"/>
  </si>
  <si>
    <t>非人防车库</t>
    <phoneticPr fontId="134" type="noConversion"/>
  </si>
  <si>
    <t>设备用房及其他</t>
    <phoneticPr fontId="134" type="noConversion"/>
  </si>
  <si>
    <t>电信机房</t>
    <phoneticPr fontId="134" type="noConversion"/>
  </si>
  <si>
    <t>社区管理用房</t>
    <phoneticPr fontId="134" type="noConversion"/>
  </si>
  <si>
    <t>社区服务中心</t>
    <phoneticPr fontId="134" type="noConversion"/>
  </si>
  <si>
    <t>机构养老设施</t>
    <phoneticPr fontId="134" type="noConversion"/>
  </si>
  <si>
    <t>社区及文化设施</t>
    <phoneticPr fontId="134" type="noConversion"/>
  </si>
  <si>
    <t>便民商业设施</t>
    <phoneticPr fontId="134" type="noConversion"/>
  </si>
  <si>
    <t>《建筑工程施工许可证》[（2024）施（通）建字0010号]110112202402220101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</si>
</sst>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宋体"/>
      <family val="3"/>
      <charset val="134"/>
      <scheme val="minor"/>
    </font>
    <font>
      <sz val="10.5"/>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128" fillId="0" borderId="37" xfId="0" applyNumberFormat="1" applyFont="1" applyBorder="1" applyAlignment="1" applyProtection="1">
      <alignment horizontal="center" vertical="center" wrapText="1"/>
      <protection locked="0"/>
    </xf>
    <xf numFmtId="49" fontId="94" fillId="0" borderId="9" xfId="0" applyNumberFormat="1" applyFont="1" applyBorder="1" applyAlignment="1" applyProtection="1">
      <alignment horizontal="center" vertical="center" wrapText="1"/>
      <protection locked="0"/>
    </xf>
    <xf numFmtId="0" fontId="0" fillId="0" borderId="0" xfId="0" applyAlignment="1">
      <alignment vertical="center" wrapText="1"/>
    </xf>
    <xf numFmtId="0" fontId="95" fillId="0" borderId="0" xfId="0" applyFont="1" applyAlignment="1">
      <alignment vertical="center" wrapText="1"/>
    </xf>
    <xf numFmtId="0" fontId="271" fillId="0" borderId="0" xfId="0" applyFont="1" applyAlignment="1">
      <alignment vertical="center" wrapText="1"/>
    </xf>
    <xf numFmtId="0" fontId="95" fillId="5" borderId="0" xfId="0" applyFont="1" applyFill="1" applyAlignment="1">
      <alignment vertical="center" wrapText="1"/>
    </xf>
    <xf numFmtId="0" fontId="0" fillId="5" borderId="0" xfId="0" applyFill="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88788</xdr:colOff>
      <xdr:row>48</xdr:row>
      <xdr:rowOff>112587</xdr:rowOff>
    </xdr:to>
    <xdr:pic>
      <xdr:nvPicPr>
        <xdr:cNvPr id="2" name="图片 1">
          <a:extLst>
            <a:ext uri="{FF2B5EF4-FFF2-40B4-BE49-F238E27FC236}">
              <a16:creationId xmlns:a16="http://schemas.microsoft.com/office/drawing/2014/main" id="{FDE69765-1551-3966-19A2-3DE548764987}"/>
            </a:ext>
          </a:extLst>
        </xdr:cNvPr>
        <xdr:cNvPicPr>
          <a:picLocks noChangeAspect="1"/>
        </xdr:cNvPicPr>
      </xdr:nvPicPr>
      <xdr:blipFill>
        <a:blip xmlns:r="http://schemas.openxmlformats.org/officeDocument/2006/relationships" r:embed="rId1"/>
        <a:stretch>
          <a:fillRect/>
        </a:stretch>
      </xdr:blipFill>
      <xdr:spPr>
        <a:xfrm>
          <a:off x="0" y="0"/>
          <a:ext cx="6260988" cy="8342187"/>
        </a:xfrm>
        <a:prstGeom prst="rect">
          <a:avLst/>
        </a:prstGeom>
      </xdr:spPr>
    </xdr:pic>
    <xdr:clientData/>
  </xdr:twoCellAnchor>
  <xdr:twoCellAnchor editAs="oneCell">
    <xdr:from>
      <xdr:col>9</xdr:col>
      <xdr:colOff>266700</xdr:colOff>
      <xdr:row>0</xdr:row>
      <xdr:rowOff>0</xdr:rowOff>
    </xdr:from>
    <xdr:to>
      <xdr:col>21</xdr:col>
      <xdr:colOff>189481</xdr:colOff>
      <xdr:row>39</xdr:row>
      <xdr:rowOff>84878</xdr:rowOff>
    </xdr:to>
    <xdr:pic>
      <xdr:nvPicPr>
        <xdr:cNvPr id="3" name="图片 2">
          <a:extLst>
            <a:ext uri="{FF2B5EF4-FFF2-40B4-BE49-F238E27FC236}">
              <a16:creationId xmlns:a16="http://schemas.microsoft.com/office/drawing/2014/main" id="{98E9B438-FD2D-E215-1F85-26CD79B30DE3}"/>
            </a:ext>
          </a:extLst>
        </xdr:cNvPr>
        <xdr:cNvPicPr>
          <a:picLocks noChangeAspect="1"/>
        </xdr:cNvPicPr>
      </xdr:nvPicPr>
      <xdr:blipFill>
        <a:blip xmlns:r="http://schemas.openxmlformats.org/officeDocument/2006/relationships" r:embed="rId2"/>
        <a:stretch>
          <a:fillRect/>
        </a:stretch>
      </xdr:blipFill>
      <xdr:spPr>
        <a:xfrm>
          <a:off x="6438900" y="0"/>
          <a:ext cx="8152381" cy="6771428"/>
        </a:xfrm>
        <a:prstGeom prst="rect">
          <a:avLst/>
        </a:prstGeom>
      </xdr:spPr>
    </xdr:pic>
    <xdr:clientData/>
  </xdr:twoCellAnchor>
  <xdr:twoCellAnchor editAs="oneCell">
    <xdr:from>
      <xdr:col>21</xdr:col>
      <xdr:colOff>19050</xdr:colOff>
      <xdr:row>0</xdr:row>
      <xdr:rowOff>0</xdr:rowOff>
    </xdr:from>
    <xdr:to>
      <xdr:col>32</xdr:col>
      <xdr:colOff>360964</xdr:colOff>
      <xdr:row>47</xdr:row>
      <xdr:rowOff>65659</xdr:rowOff>
    </xdr:to>
    <xdr:pic>
      <xdr:nvPicPr>
        <xdr:cNvPr id="4" name="图片 3">
          <a:extLst>
            <a:ext uri="{FF2B5EF4-FFF2-40B4-BE49-F238E27FC236}">
              <a16:creationId xmlns:a16="http://schemas.microsoft.com/office/drawing/2014/main" id="{3004AAF6-BCB4-6C2C-F73A-0090DA4939F9}"/>
            </a:ext>
          </a:extLst>
        </xdr:cNvPr>
        <xdr:cNvPicPr>
          <a:picLocks noChangeAspect="1"/>
        </xdr:cNvPicPr>
      </xdr:nvPicPr>
      <xdr:blipFill>
        <a:blip xmlns:r="http://schemas.openxmlformats.org/officeDocument/2006/relationships" r:embed="rId3"/>
        <a:stretch>
          <a:fillRect/>
        </a:stretch>
      </xdr:blipFill>
      <xdr:spPr>
        <a:xfrm>
          <a:off x="14420850" y="0"/>
          <a:ext cx="7885714" cy="8123809"/>
        </a:xfrm>
        <a:prstGeom prst="rect">
          <a:avLst/>
        </a:prstGeom>
      </xdr:spPr>
    </xdr:pic>
    <xdr:clientData/>
  </xdr:twoCellAnchor>
  <xdr:twoCellAnchor editAs="oneCell">
    <xdr:from>
      <xdr:col>23</xdr:col>
      <xdr:colOff>133350</xdr:colOff>
      <xdr:row>10</xdr:row>
      <xdr:rowOff>95250</xdr:rowOff>
    </xdr:from>
    <xdr:to>
      <xdr:col>34</xdr:col>
      <xdr:colOff>465740</xdr:colOff>
      <xdr:row>51</xdr:row>
      <xdr:rowOff>46752</xdr:rowOff>
    </xdr:to>
    <xdr:pic>
      <xdr:nvPicPr>
        <xdr:cNvPr id="5" name="图片 4">
          <a:extLst>
            <a:ext uri="{FF2B5EF4-FFF2-40B4-BE49-F238E27FC236}">
              <a16:creationId xmlns:a16="http://schemas.microsoft.com/office/drawing/2014/main" id="{B720DA0B-FE1D-E7DB-CE48-BC5E0A02CE72}"/>
            </a:ext>
          </a:extLst>
        </xdr:cNvPr>
        <xdr:cNvPicPr>
          <a:picLocks noChangeAspect="1"/>
        </xdr:cNvPicPr>
      </xdr:nvPicPr>
      <xdr:blipFill>
        <a:blip xmlns:r="http://schemas.openxmlformats.org/officeDocument/2006/relationships" r:embed="rId4"/>
        <a:stretch>
          <a:fillRect/>
        </a:stretch>
      </xdr:blipFill>
      <xdr:spPr>
        <a:xfrm>
          <a:off x="15906750" y="1809750"/>
          <a:ext cx="7876190" cy="6980952"/>
        </a:xfrm>
        <a:prstGeom prst="rect">
          <a:avLst/>
        </a:prstGeom>
      </xdr:spPr>
    </xdr:pic>
    <xdr:clientData/>
  </xdr:twoCellAnchor>
  <xdr:twoCellAnchor editAs="oneCell">
    <xdr:from>
      <xdr:col>9</xdr:col>
      <xdr:colOff>247650</xdr:colOff>
      <xdr:row>41</xdr:row>
      <xdr:rowOff>95250</xdr:rowOff>
    </xdr:from>
    <xdr:to>
      <xdr:col>16</xdr:col>
      <xdr:colOff>361336</xdr:colOff>
      <xdr:row>49</xdr:row>
      <xdr:rowOff>37936</xdr:rowOff>
    </xdr:to>
    <xdr:pic>
      <xdr:nvPicPr>
        <xdr:cNvPr id="6" name="图片 5">
          <a:extLst>
            <a:ext uri="{FF2B5EF4-FFF2-40B4-BE49-F238E27FC236}">
              <a16:creationId xmlns:a16="http://schemas.microsoft.com/office/drawing/2014/main" id="{0D0E0B87-729E-396E-0277-B7AB884EC06F}"/>
            </a:ext>
          </a:extLst>
        </xdr:cNvPr>
        <xdr:cNvPicPr>
          <a:picLocks noChangeAspect="1"/>
        </xdr:cNvPicPr>
      </xdr:nvPicPr>
      <xdr:blipFill>
        <a:blip xmlns:r="http://schemas.openxmlformats.org/officeDocument/2006/relationships" r:embed="rId5"/>
        <a:stretch>
          <a:fillRect/>
        </a:stretch>
      </xdr:blipFill>
      <xdr:spPr>
        <a:xfrm>
          <a:off x="6419850" y="7124700"/>
          <a:ext cx="4914286" cy="1314286"/>
        </a:xfrm>
        <a:prstGeom prst="rect">
          <a:avLst/>
        </a:prstGeom>
      </xdr:spPr>
    </xdr:pic>
    <xdr:clientData/>
  </xdr:twoCellAnchor>
  <xdr:twoCellAnchor editAs="oneCell">
    <xdr:from>
      <xdr:col>10</xdr:col>
      <xdr:colOff>600075</xdr:colOff>
      <xdr:row>52</xdr:row>
      <xdr:rowOff>0</xdr:rowOff>
    </xdr:from>
    <xdr:to>
      <xdr:col>22</xdr:col>
      <xdr:colOff>494284</xdr:colOff>
      <xdr:row>91</xdr:row>
      <xdr:rowOff>84878</xdr:rowOff>
    </xdr:to>
    <xdr:pic>
      <xdr:nvPicPr>
        <xdr:cNvPr id="7" name="图片 6">
          <a:extLst>
            <a:ext uri="{FF2B5EF4-FFF2-40B4-BE49-F238E27FC236}">
              <a16:creationId xmlns:a16="http://schemas.microsoft.com/office/drawing/2014/main" id="{328A2E4C-5CB0-2FEE-8330-AD714F1F5A58}"/>
            </a:ext>
          </a:extLst>
        </xdr:cNvPr>
        <xdr:cNvPicPr>
          <a:picLocks noChangeAspect="1"/>
        </xdr:cNvPicPr>
      </xdr:nvPicPr>
      <xdr:blipFill>
        <a:blip xmlns:r="http://schemas.openxmlformats.org/officeDocument/2006/relationships" r:embed="rId6"/>
        <a:stretch>
          <a:fillRect/>
        </a:stretch>
      </xdr:blipFill>
      <xdr:spPr>
        <a:xfrm>
          <a:off x="7458075" y="8915400"/>
          <a:ext cx="8123809" cy="6771428"/>
        </a:xfrm>
        <a:prstGeom prst="rect">
          <a:avLst/>
        </a:prstGeom>
      </xdr:spPr>
    </xdr:pic>
    <xdr:clientData/>
  </xdr:twoCellAnchor>
  <xdr:twoCellAnchor editAs="oneCell">
    <xdr:from>
      <xdr:col>0</xdr:col>
      <xdr:colOff>0</xdr:colOff>
      <xdr:row>49</xdr:row>
      <xdr:rowOff>19049</xdr:rowOff>
    </xdr:from>
    <xdr:to>
      <xdr:col>10</xdr:col>
      <xdr:colOff>57354</xdr:colOff>
      <xdr:row>95</xdr:row>
      <xdr:rowOff>151136</xdr:rowOff>
    </xdr:to>
    <xdr:pic>
      <xdr:nvPicPr>
        <xdr:cNvPr id="8" name="图片 7">
          <a:extLst>
            <a:ext uri="{FF2B5EF4-FFF2-40B4-BE49-F238E27FC236}">
              <a16:creationId xmlns:a16="http://schemas.microsoft.com/office/drawing/2014/main" id="{0896222C-4B6A-DABC-D3ED-3A1EB67CA842}"/>
            </a:ext>
          </a:extLst>
        </xdr:cNvPr>
        <xdr:cNvPicPr>
          <a:picLocks noChangeAspect="1"/>
        </xdr:cNvPicPr>
      </xdr:nvPicPr>
      <xdr:blipFill>
        <a:blip xmlns:r="http://schemas.openxmlformats.org/officeDocument/2006/relationships" r:embed="rId7"/>
        <a:stretch>
          <a:fillRect/>
        </a:stretch>
      </xdr:blipFill>
      <xdr:spPr>
        <a:xfrm>
          <a:off x="0" y="8420099"/>
          <a:ext cx="6915354" cy="8018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4</xdr:row>
      <xdr:rowOff>52344</xdr:rowOff>
    </xdr:from>
    <xdr:to>
      <xdr:col>23</xdr:col>
      <xdr:colOff>132302</xdr:colOff>
      <xdr:row>20</xdr:row>
      <xdr:rowOff>142314</xdr:rowOff>
    </xdr:to>
    <xdr:pic>
      <xdr:nvPicPr>
        <xdr:cNvPr id="2" name="图片 1">
          <a:extLst>
            <a:ext uri="{FF2B5EF4-FFF2-40B4-BE49-F238E27FC236}">
              <a16:creationId xmlns:a16="http://schemas.microsoft.com/office/drawing/2014/main" id="{AE039315-D5CE-08FB-BECD-139CE3C1E967}"/>
            </a:ext>
          </a:extLst>
        </xdr:cNvPr>
        <xdr:cNvPicPr>
          <a:picLocks noChangeAspect="1"/>
        </xdr:cNvPicPr>
      </xdr:nvPicPr>
      <xdr:blipFill>
        <a:blip xmlns:r="http://schemas.openxmlformats.org/officeDocument/2006/relationships" r:embed="rId1"/>
        <a:stretch>
          <a:fillRect/>
        </a:stretch>
      </xdr:blipFill>
      <xdr:spPr>
        <a:xfrm>
          <a:off x="13068300" y="738144"/>
          <a:ext cx="6895052" cy="3690420"/>
        </a:xfrm>
        <a:prstGeom prst="rect">
          <a:avLst/>
        </a:prstGeom>
      </xdr:spPr>
    </xdr:pic>
    <xdr:clientData/>
  </xdr:twoCellAnchor>
  <xdr:twoCellAnchor editAs="oneCell">
    <xdr:from>
      <xdr:col>13</xdr:col>
      <xdr:colOff>333374</xdr:colOff>
      <xdr:row>26</xdr:row>
      <xdr:rowOff>75526</xdr:rowOff>
    </xdr:from>
    <xdr:to>
      <xdr:col>22</xdr:col>
      <xdr:colOff>275111</xdr:colOff>
      <xdr:row>49</xdr:row>
      <xdr:rowOff>132589</xdr:rowOff>
    </xdr:to>
    <xdr:pic>
      <xdr:nvPicPr>
        <xdr:cNvPr id="3" name="图片 2">
          <a:extLst>
            <a:ext uri="{FF2B5EF4-FFF2-40B4-BE49-F238E27FC236}">
              <a16:creationId xmlns:a16="http://schemas.microsoft.com/office/drawing/2014/main" id="{05B19FAA-A074-E1B9-BBE9-D131FF6536AE}"/>
            </a:ext>
          </a:extLst>
        </xdr:cNvPr>
        <xdr:cNvPicPr>
          <a:picLocks noChangeAspect="1"/>
        </xdr:cNvPicPr>
      </xdr:nvPicPr>
      <xdr:blipFill>
        <a:blip xmlns:r="http://schemas.openxmlformats.org/officeDocument/2006/relationships" r:embed="rId2"/>
        <a:stretch>
          <a:fillRect/>
        </a:stretch>
      </xdr:blipFill>
      <xdr:spPr>
        <a:xfrm>
          <a:off x="13306424" y="4533226"/>
          <a:ext cx="6113937" cy="4171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e">
        <f>'预评函-1'!A7</f>
        <v>#DIV/0!</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e">
        <f>'预评函-1'!A10</f>
        <v>#DIV/0!</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2026年3月2日（评估专业人员实地查勘之日）</v>
      </c>
    </row>
    <row r="13" spans="1:2">
      <c r="A13" s="1118" t="s">
        <v>529</v>
      </c>
      <c r="B13" s="1119"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0</v>
      </c>
    </row>
    <row r="44" spans="1:2">
      <c r="A44" s="1118" t="s">
        <v>575</v>
      </c>
      <c r="B44" s="1119" t="str">
        <f>'预评函-3'!C2</f>
        <v>(分摊)土地面积</v>
      </c>
    </row>
    <row r="45" spans="1:2">
      <c r="A45" s="1118" t="s">
        <v>547</v>
      </c>
      <c r="B45" s="1119" t="e">
        <f>'预评函-3'!C4</f>
        <v>#DIV/0!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3403</v>
      </c>
      <c r="AA1" s="1437" t="s">
        <v>3402</v>
      </c>
      <c r="AB1" s="1437" t="s">
        <v>3</v>
      </c>
    </row>
    <row r="2" spans="1:28">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3409</v>
      </c>
      <c r="Z2" s="1444" t="s">
        <v>2452</v>
      </c>
      <c r="AA2" s="1444" t="s">
        <v>3410</v>
      </c>
      <c r="AB2" s="1444" t="s">
        <v>2479</v>
      </c>
    </row>
    <row r="3" spans="1:28">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3411</v>
      </c>
    </row>
    <row r="6" spans="1:28">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3340</v>
      </c>
      <c r="X7" s="1444" t="s">
        <v>2449</v>
      </c>
      <c r="Z7" s="1444" t="s">
        <v>2462</v>
      </c>
      <c r="AB7" s="1444" t="s">
        <v>2488</v>
      </c>
    </row>
    <row r="8" spans="1:28">
      <c r="A8" s="1440" t="s">
        <v>1026</v>
      </c>
      <c r="B8" s="1440" t="s">
        <v>1027</v>
      </c>
      <c r="C8" s="1441" t="s">
        <v>319</v>
      </c>
      <c r="F8" s="1442" t="s">
        <v>1028</v>
      </c>
      <c r="H8" s="1442" t="s">
        <v>2577</v>
      </c>
      <c r="I8" s="1442" t="s">
        <v>3341</v>
      </c>
      <c r="X8" s="1444" t="s">
        <v>3412</v>
      </c>
      <c r="Z8" s="1444" t="s">
        <v>2464</v>
      </c>
      <c r="AB8" s="1444" t="s">
        <v>2490</v>
      </c>
    </row>
    <row r="9" spans="1:28">
      <c r="A9" s="1440" t="s">
        <v>1029</v>
      </c>
      <c r="B9" s="1440" t="s">
        <v>1030</v>
      </c>
      <c r="C9" s="1441" t="s">
        <v>320</v>
      </c>
      <c r="F9" s="1442" t="s">
        <v>1031</v>
      </c>
      <c r="H9" s="1442"/>
      <c r="I9" s="1444" t="s">
        <v>3342</v>
      </c>
      <c r="X9" s="1444" t="s">
        <v>3413</v>
      </c>
      <c r="Z9" s="1444" t="s">
        <v>2466</v>
      </c>
      <c r="AB9" s="1444" t="s">
        <v>2492</v>
      </c>
    </row>
    <row r="10" spans="1:28">
      <c r="A10" s="1440" t="s">
        <v>1032</v>
      </c>
      <c r="B10" s="1440" t="s">
        <v>1033</v>
      </c>
      <c r="C10" s="1441" t="s">
        <v>321</v>
      </c>
      <c r="F10" s="1442" t="s">
        <v>2578</v>
      </c>
      <c r="I10" s="1444" t="s">
        <v>3343</v>
      </c>
      <c r="Z10" s="1444" t="s">
        <v>2468</v>
      </c>
      <c r="AB10" s="1444" t="s">
        <v>2494</v>
      </c>
    </row>
    <row r="11" spans="1:28">
      <c r="A11" s="1440" t="s">
        <v>1034</v>
      </c>
      <c r="B11" s="1440" t="s">
        <v>1035</v>
      </c>
      <c r="C11" s="1441" t="s">
        <v>322</v>
      </c>
      <c r="F11" s="1442" t="s">
        <v>13</v>
      </c>
      <c r="I11" s="1444" t="s">
        <v>3344</v>
      </c>
      <c r="Z11" s="1444" t="s">
        <v>2470</v>
      </c>
      <c r="AB11" s="1444" t="s">
        <v>2496</v>
      </c>
    </row>
    <row r="12" spans="1:28">
      <c r="A12" s="1440" t="s">
        <v>1036</v>
      </c>
      <c r="B12" s="1440" t="s">
        <v>1037</v>
      </c>
      <c r="C12" s="1441" t="s">
        <v>323</v>
      </c>
      <c r="I12" s="1444" t="s">
        <v>3345</v>
      </c>
      <c r="Z12" s="1444" t="s">
        <v>2472</v>
      </c>
      <c r="AB12" s="1444" t="s">
        <v>2498</v>
      </c>
    </row>
    <row r="13" spans="1:28">
      <c r="A13" s="1440" t="s">
        <v>1038</v>
      </c>
      <c r="B13" s="1440" t="s">
        <v>1039</v>
      </c>
      <c r="C13" s="1441" t="s">
        <v>324</v>
      </c>
      <c r="I13" s="1444" t="s">
        <v>3346</v>
      </c>
      <c r="Z13" s="1444" t="s">
        <v>2474</v>
      </c>
    </row>
    <row r="14" spans="1:28">
      <c r="A14" s="1440" t="s">
        <v>1040</v>
      </c>
      <c r="B14" s="1440" t="s">
        <v>1041</v>
      </c>
      <c r="C14" s="1442" t="s">
        <v>13</v>
      </c>
      <c r="I14" s="1444" t="s">
        <v>3347</v>
      </c>
      <c r="Z14" s="1444" t="s">
        <v>2476</v>
      </c>
    </row>
    <row r="15" spans="1:28">
      <c r="A15" s="1440" t="s">
        <v>1042</v>
      </c>
      <c r="B15" s="1440" t="s">
        <v>1043</v>
      </c>
      <c r="C15" s="1441"/>
      <c r="I15" s="1444" t="s">
        <v>3348</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46083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0.8</v>
      </c>
      <c r="D5" s="2767">
        <f>IF(ISERROR(ROUND(POWER(1+E5,A5-C5)*(POWER(1+E5,C5)-1)/(POWER(1+E5,A5)-1),3)),0,ROUND(POWER(1+E5,A5-C5)*(POWER(1+E5,C5)-1)/(POWER(1+E5,A5)-1),4))</f>
        <v>3.9E-2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10.8</v>
      </c>
      <c r="D6" s="2767">
        <f>IF(ISERROR(ROUND(POWER(1+E6,A6-C6)*(POWER(1+E6,C6)-1)/(POWER(1+E6,A6)-1),3)),0,ROUND(POWER(1+E6,A6-C6)*(POWER(1+E6,C6)-1)/(POWER(1+E6,A6)-1),4))</f>
        <v>0.40179999999999999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30.82</v>
      </c>
      <c r="D7" s="2767">
        <f>IF(ISERROR(ROUND(POWER(1+E7,A7-C7)*(POWER(1+E7,C7)-1)/(POWER(1+E7,A7)-1),3)),0,ROUND(POWER(1+E7,A7-C7)*(POWER(1+E7,C7)-1)/(POWER(1+E7,A7)-1),4))</f>
        <v>0.74960000000000004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6" sqref="E1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1" t="str">
        <f>IF(B10="北京市","北京市",C10)&amp;F10&amp;IF(结果表!G1="在建","出让国有建设用地使用权及在建建筑物",IF(结果表!G1="土地","出让国有建设用地使用权",))&amp;B9&amp;"预评估"</f>
        <v>预评估</v>
      </c>
      <c r="C1" s="3222"/>
      <c r="D1" s="3222"/>
      <c r="E1" s="3222"/>
      <c r="F1" s="3222"/>
      <c r="G1" s="3222"/>
      <c r="H1" s="3222"/>
      <c r="I1" s="322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4">
        <v>46083</v>
      </c>
      <c r="C3" s="2185" t="s">
        <v>2171</v>
      </c>
      <c r="D3" s="2184">
        <f>B3</f>
        <v>46083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24" t="s">
        <v>2177</v>
      </c>
      <c r="E8" s="2201"/>
      <c r="F8" s="2202"/>
      <c r="G8" s="2441"/>
      <c r="H8" s="2441"/>
      <c r="I8" s="2441"/>
      <c r="J8" s="2244"/>
      <c r="K8" s="2399"/>
      <c r="L8" s="2398"/>
      <c r="M8" s="2398"/>
      <c r="N8" s="2244"/>
      <c r="O8" s="1669"/>
      <c r="P8" s="2244"/>
      <c r="Q8" s="2244"/>
      <c r="R8" s="2244"/>
    </row>
    <row r="9" spans="1:30" ht="13.5" thickBot="1">
      <c r="A9" s="2203" t="s">
        <v>2178</v>
      </c>
      <c r="B9" s="2204"/>
      <c r="C9" s="2205"/>
      <c r="D9" s="3225"/>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3330</v>
      </c>
      <c r="B13" s="2217" t="s">
        <v>2190</v>
      </c>
      <c r="C13" s="802"/>
      <c r="D13" s="802"/>
      <c r="E13" s="802">
        <v>59729</v>
      </c>
      <c r="F13" s="802"/>
      <c r="G13" s="802"/>
      <c r="H13" s="802"/>
      <c r="I13" s="802"/>
      <c r="J13" s="2802"/>
      <c r="K13" s="2398"/>
      <c r="L13" s="2398"/>
      <c r="M13" s="2244"/>
      <c r="N13" s="1669"/>
      <c r="O13" s="2244"/>
      <c r="P13" s="2244"/>
      <c r="Q13" s="2244"/>
      <c r="AD13" s="1617"/>
    </row>
    <row r="14" spans="1:30">
      <c r="A14" s="1017"/>
      <c r="B14" s="2217" t="s">
        <v>2191</v>
      </c>
      <c r="C14" s="2218"/>
      <c r="D14" s="2218"/>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YEARFRAC(D3,E13,)</f>
        <v>37.361111111111114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1"/>
      <c r="C16" s="3232"/>
      <c r="D16" s="3233"/>
      <c r="E16" s="2221" t="s">
        <v>2194</v>
      </c>
      <c r="F16" s="3234"/>
      <c r="G16" s="3235"/>
      <c r="H16" s="3235"/>
      <c r="I16" s="3236"/>
      <c r="J16" s="2244"/>
      <c r="K16" s="2402"/>
      <c r="L16" s="1669"/>
      <c r="M16" s="1669"/>
      <c r="N16" s="2244"/>
      <c r="O16" s="1669"/>
      <c r="P16" s="2244"/>
      <c r="Q16" s="2244"/>
      <c r="R16" s="2244"/>
    </row>
    <row r="17" spans="1:28">
      <c r="A17" s="305" t="s">
        <v>2195</v>
      </c>
      <c r="B17" s="294" t="s">
        <v>2196</v>
      </c>
      <c r="C17" s="8">
        <f>'数据-汇总表'!E3</f>
        <v>0</v>
      </c>
      <c r="D17" s="1255" t="s">
        <v>2197</v>
      </c>
      <c r="E17" s="3237" t="s">
        <v>2198</v>
      </c>
      <c r="F17" s="3238"/>
      <c r="G17" s="3238"/>
      <c r="H17" s="3238"/>
      <c r="I17" s="3239"/>
      <c r="J17" s="2244"/>
      <c r="K17" s="2403"/>
      <c r="L17" s="1669"/>
      <c r="M17" s="1669"/>
      <c r="N17" s="2244"/>
      <c r="O17" s="1669"/>
      <c r="P17" s="2244"/>
      <c r="Q17" s="2244"/>
      <c r="R17" s="2244"/>
      <c r="S17" s="2244"/>
      <c r="T17" s="2244"/>
      <c r="U17" s="2244"/>
      <c r="V17" s="2244"/>
    </row>
    <row r="18" spans="1:28" ht="24.75" thickBot="1">
      <c r="A18" s="2222" t="s">
        <v>2199</v>
      </c>
      <c r="B18" s="1026" t="s">
        <v>2200</v>
      </c>
      <c r="C18" s="2223" t="e">
        <f>'数据-汇总表'!D3</f>
        <v>#DIV/0!</v>
      </c>
      <c r="D18" s="1028" t="s">
        <v>2201</v>
      </c>
      <c r="E18" s="3240" t="s">
        <v>2202</v>
      </c>
      <c r="F18" s="3241"/>
      <c r="G18" s="3241"/>
      <c r="H18" s="3241"/>
      <c r="I18" s="3242"/>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7" t="s">
        <v>2206</v>
      </c>
      <c r="C20" s="3228"/>
      <c r="D20" s="3229" t="s">
        <v>2207</v>
      </c>
      <c r="E20" s="3230"/>
      <c r="F20" s="2429" t="s">
        <v>1056</v>
      </c>
      <c r="G20" s="2441"/>
      <c r="H20" s="2441"/>
      <c r="I20" s="2441"/>
      <c r="J20" s="2244"/>
      <c r="K20" s="3226"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4"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4"/>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4"/>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5"/>
      <c r="B30" s="294" t="s">
        <v>2218</v>
      </c>
      <c r="C30" s="3246"/>
      <c r="D30" s="3247"/>
      <c r="E30" s="2441"/>
      <c r="F30" s="2441"/>
      <c r="G30" s="2441"/>
      <c r="H30" s="2441"/>
      <c r="I30" s="2441"/>
      <c r="J30" s="2244"/>
      <c r="K30" s="2401"/>
      <c r="L30" s="2398"/>
      <c r="M30" s="2398"/>
      <c r="N30" s="2244"/>
      <c r="O30" s="1669"/>
      <c r="P30" s="2244"/>
      <c r="Q30" s="2244"/>
      <c r="R30" s="2244"/>
      <c r="S30" s="2244"/>
      <c r="T30" s="2244"/>
      <c r="U30" s="2244"/>
      <c r="V30" s="2244"/>
    </row>
    <row r="31" spans="1:28">
      <c r="A31" s="3248"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0</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5"/>
      <c r="AV6" s="12" t="s">
        <v>1072</v>
      </c>
      <c r="AW6" s="1473"/>
      <c r="AX6" s="147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f>I9</f>
        <v>0</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c r="E13" s="13" t="e">
        <f>IF($C$3="是",ROUND($A$3*G13/$B$3,2),ROUND($A$3*(G13-AT13)/$B$3,2))</f>
        <v>#DIV/0!</v>
      </c>
      <c r="F13" s="29"/>
      <c r="G13" s="30">
        <f>H13+AC13+AT13</f>
        <v>0</v>
      </c>
      <c r="H13" s="17">
        <f>SUMIF(I$12:AB$12,"总值",I13:AB13)</f>
        <v>0</v>
      </c>
      <c r="I13" s="1513"/>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t="e">
        <f>IF($C$3="是",ROUND($A$3*G14/$B$3,2),ROUND($A$3*(G14-AT14)/$B$3,2))</f>
        <v>#DIV/0!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t="e">
        <f>IF($C$3="是",ROUND($A$3*G15/$B$3,2),ROUND($A$3*(G15-AT15)/$B$3,2))</f>
        <v>#DIV/0!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t="e">
        <f>IF($C$3="是",ROUND($A$3*G16/$B$3,2),ROUND($A$3*(G16-AT16)/$B$3,2))</f>
        <v>#DIV/0!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t="e">
        <f>IF($C$3="是",ROUND($A$3*G17/$B$3,2),ROUND($A$3*(G17-AT17)/$B$3,2))</f>
        <v>#DIV/0!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9" t="s">
        <v>1131</v>
      </c>
      <c r="B2" s="3259"/>
      <c r="C2" s="3259"/>
      <c r="D2" s="747" t="s">
        <v>1107</v>
      </c>
      <c r="E2" s="1522" t="s">
        <v>1108</v>
      </c>
      <c r="F2" s="2438"/>
      <c r="G2" s="2431"/>
      <c r="H2" s="2432"/>
      <c r="I2" s="2145" t="s">
        <v>1132</v>
      </c>
      <c r="J2" s="2438"/>
      <c r="K2" s="2438"/>
      <c r="L2" s="2438"/>
      <c r="M2" s="2438"/>
      <c r="N2" s="2439"/>
      <c r="O2" s="2438"/>
      <c r="P2" s="2438"/>
    </row>
    <row r="3" spans="1:16" ht="15.75" thickBot="1">
      <c r="A3" s="3260" t="s">
        <v>1105</v>
      </c>
      <c r="B3" s="3260"/>
      <c r="C3" s="3260"/>
      <c r="D3" s="41" t="e">
        <f>'数据-基础表'!AY6</f>
        <v>#DIV/0!</v>
      </c>
      <c r="E3" s="41">
        <f>'数据-基础表'!AZ5</f>
        <v>0</v>
      </c>
      <c r="F3" s="2438"/>
      <c r="G3" s="42"/>
      <c r="H3" s="43" t="s">
        <v>1106</v>
      </c>
      <c r="I3" s="801" t="e">
        <f>ROUND('数据-基础表'!B3/'数据-基础表'!A3,2)</f>
        <v>#DIV/0!</v>
      </c>
      <c r="J3" s="2438"/>
      <c r="K3" s="2438"/>
      <c r="L3" s="2438"/>
      <c r="M3" s="2438"/>
      <c r="N3" s="2439"/>
      <c r="O3" s="2438"/>
      <c r="P3" s="2438"/>
    </row>
    <row r="4" spans="1:16" ht="15">
      <c r="A4" s="3261"/>
      <c r="B4" s="3262"/>
      <c r="C4" s="3263"/>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4" t="s">
        <v>1110</v>
      </c>
      <c r="C5" s="3264"/>
      <c r="D5" s="43" t="e">
        <f>ROUND($D$3*E5/$E$3,2)</f>
        <v>#DIV/0!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4" t="s">
        <v>1111</v>
      </c>
      <c r="C6" s="3264"/>
      <c r="D6" s="43" t="e">
        <f>ROUND($D$3*E6/$E$3,2)</f>
        <v>#DIV/0!</v>
      </c>
      <c r="E6" s="44">
        <f>E3-E5</f>
        <v>0</v>
      </c>
      <c r="F6" s="2438"/>
      <c r="G6" s="1528" t="s">
        <v>1112</v>
      </c>
      <c r="H6" s="45" t="s">
        <v>1113</v>
      </c>
      <c r="I6" s="2434" t="e">
        <f>ROUND(F31/D31,2)</f>
        <v>#DIV/0!</v>
      </c>
      <c r="J6" s="2438"/>
      <c r="K6" s="2438"/>
      <c r="L6" s="2438"/>
      <c r="M6" s="2438"/>
      <c r="N6" s="2438"/>
      <c r="O6" s="2438"/>
      <c r="P6" s="2438"/>
    </row>
    <row r="7" spans="1:16" ht="15.75" thickBot="1">
      <c r="A7" s="3256"/>
      <c r="B7" s="3257"/>
      <c r="C7" s="3258"/>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c r="A9" s="1528"/>
      <c r="B9" s="1529"/>
      <c r="C9" s="43" t="s">
        <v>1119</v>
      </c>
      <c r="D9" s="43" t="e">
        <f t="shared" si="0"/>
        <v>#DIV/0!</v>
      </c>
      <c r="E9" s="47">
        <v>0</v>
      </c>
      <c r="F9" s="2438"/>
      <c r="G9" s="2438"/>
      <c r="H9" s="2438"/>
      <c r="I9" s="2438"/>
      <c r="J9" s="2438"/>
      <c r="K9" s="2438"/>
      <c r="L9" s="2438"/>
      <c r="M9" s="2438"/>
      <c r="N9" s="2438"/>
      <c r="O9" s="2438"/>
      <c r="P9" s="2438"/>
    </row>
    <row r="10" spans="1:16">
      <c r="A10" s="1528"/>
      <c r="B10" s="1529"/>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t="e">
        <f>SUM(D8:D15)</f>
        <v>#DIV/0!</v>
      </c>
      <c r="E16" s="48">
        <f>SUM(E8:E15)</f>
        <v>0</v>
      </c>
      <c r="F16" s="2438"/>
      <c r="G16" s="2438"/>
      <c r="H16" s="1530" t="s">
        <v>1135</v>
      </c>
      <c r="I16" s="1531"/>
      <c r="J16" s="1070"/>
      <c r="K16" s="3253" t="s">
        <v>1135</v>
      </c>
      <c r="L16" s="3254"/>
      <c r="M16" s="3254"/>
      <c r="N16" s="3254"/>
      <c r="O16" s="3254"/>
      <c r="P16" s="3255"/>
    </row>
    <row r="17" spans="1:19" ht="15">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c r="D19" s="43" t="e">
        <f>ROUND($D$3*E19/$E$3,2)</f>
        <v>#DIV/0!</v>
      </c>
      <c r="E19" s="51">
        <f t="shared" ref="E19:E26" si="1">SUM(F19:G19)</f>
        <v>0</v>
      </c>
      <c r="F19" s="2557"/>
      <c r="G19" s="1242"/>
      <c r="H19" s="636" t="e">
        <f>ROUND($D$3*I19/$E$3,2)</f>
        <v>#DIV/0!</v>
      </c>
      <c r="I19" s="46" t="e">
        <f t="shared" ref="I19:I26" si="2">IF($I$17="自定义",P19,M19)</f>
        <v>#DIV/0!</v>
      </c>
      <c r="J19" s="1070"/>
      <c r="K19" s="636" t="e">
        <f t="shared" ref="K19:K26" si="3">ROUND(E$28*E19/E$27,2)</f>
        <v>#DIV/0!</v>
      </c>
      <c r="L19" s="43">
        <f t="shared" ref="L19:L26" si="4">ROUND(IF(COUNTIF(C19,"*住宅*")&gt;0,E$29*E19/E$32,0),2)</f>
        <v>0</v>
      </c>
      <c r="M19" s="46" t="e">
        <f>K19+L19</f>
        <v>#DIV/0!</v>
      </c>
      <c r="N19" s="1549"/>
      <c r="O19" s="1550"/>
      <c r="P19" s="46">
        <f>N19+O19</f>
        <v>0</v>
      </c>
      <c r="R19" s="43" t="e">
        <f t="shared" ref="R19:S26" si="5">D19+H19</f>
        <v>#DIV/0!</v>
      </c>
      <c r="S19" s="51" t="e">
        <f t="shared" si="5"/>
        <v>#DIV/0!</v>
      </c>
    </row>
    <row r="20" spans="1:19">
      <c r="A20" s="1548"/>
      <c r="B20" s="45" t="s">
        <v>1153</v>
      </c>
      <c r="C20" s="3115"/>
      <c r="D20" s="43" t="e">
        <f t="shared" ref="D20:D26" si="6">ROUND($D$3*E20/$E$3,2)</f>
        <v>#DIV/0!</v>
      </c>
      <c r="E20" s="51">
        <f t="shared" si="1"/>
        <v>0</v>
      </c>
      <c r="F20" s="2557"/>
      <c r="G20" s="1242"/>
      <c r="H20" s="636" t="e">
        <f t="shared" ref="H20:H26" si="7">ROUND($D$3*I20/$E$3,2)</f>
        <v>#DIV/0!</v>
      </c>
      <c r="I20" s="46" t="e">
        <f t="shared" si="2"/>
        <v>#DIV/0!</v>
      </c>
      <c r="J20" s="1070"/>
      <c r="K20" s="636" t="e">
        <f t="shared" si="3"/>
        <v>#DIV/0!</v>
      </c>
      <c r="L20" s="43">
        <f t="shared" si="4"/>
        <v>0</v>
      </c>
      <c r="M20" s="46" t="e">
        <f t="shared" ref="M20:M26" si="8">K20+L20</f>
        <v>#DIV/0!</v>
      </c>
      <c r="N20" s="1549"/>
      <c r="O20" s="1550"/>
      <c r="P20" s="46">
        <f t="shared" ref="P20:P26" si="9">N20+O20</f>
        <v>0</v>
      </c>
      <c r="R20" s="43" t="e">
        <f t="shared" si="5"/>
        <v>#DIV/0!</v>
      </c>
      <c r="S20" s="51" t="e">
        <f t="shared" si="5"/>
        <v>#DIV/0!</v>
      </c>
    </row>
    <row r="21" spans="1:19">
      <c r="A21" s="1548"/>
      <c r="B21" s="45" t="s">
        <v>1153</v>
      </c>
      <c r="C21" s="3115"/>
      <c r="D21" s="43" t="e">
        <f t="shared" si="6"/>
        <v>#DIV/0!</v>
      </c>
      <c r="E21" s="51">
        <f t="shared" si="1"/>
        <v>0</v>
      </c>
      <c r="F21" s="2557"/>
      <c r="G21" s="1242"/>
      <c r="H21" s="636" t="e">
        <f t="shared" si="7"/>
        <v>#DIV/0!</v>
      </c>
      <c r="I21" s="46" t="e">
        <f t="shared" si="2"/>
        <v>#DIV/0!</v>
      </c>
      <c r="J21" s="1070"/>
      <c r="K21" s="636" t="e">
        <f t="shared" si="3"/>
        <v>#DIV/0!</v>
      </c>
      <c r="L21" s="43">
        <f t="shared" si="4"/>
        <v>0</v>
      </c>
      <c r="M21" s="46" t="e">
        <f t="shared" si="8"/>
        <v>#DIV/0!</v>
      </c>
      <c r="N21" s="1549"/>
      <c r="O21" s="1550"/>
      <c r="P21" s="46">
        <f t="shared" si="9"/>
        <v>0</v>
      </c>
      <c r="R21" s="43" t="e">
        <f t="shared" si="5"/>
        <v>#DIV/0!</v>
      </c>
      <c r="S21" s="51" t="e">
        <f t="shared" si="5"/>
        <v>#DIV/0!</v>
      </c>
    </row>
    <row r="22" spans="1:19">
      <c r="A22" s="1548"/>
      <c r="B22" s="45" t="s">
        <v>1153</v>
      </c>
      <c r="C22" s="3116"/>
      <c r="D22" s="43" t="e">
        <f t="shared" si="6"/>
        <v>#DIV/0!</v>
      </c>
      <c r="E22" s="51">
        <f t="shared" si="1"/>
        <v>0</v>
      </c>
      <c r="F22" s="2558"/>
      <c r="G22" s="2559"/>
      <c r="H22" s="636" t="e">
        <f t="shared" si="7"/>
        <v>#DIV/0!</v>
      </c>
      <c r="I22" s="46" t="e">
        <f t="shared" si="2"/>
        <v>#DIV/0!</v>
      </c>
      <c r="J22" s="1070"/>
      <c r="K22" s="636" t="e">
        <f t="shared" si="3"/>
        <v>#DIV/0!</v>
      </c>
      <c r="L22" s="43">
        <f t="shared" si="4"/>
        <v>0</v>
      </c>
      <c r="M22" s="46" t="e">
        <f t="shared" si="8"/>
        <v>#DIV/0!</v>
      </c>
      <c r="N22" s="1549"/>
      <c r="O22" s="1550"/>
      <c r="P22" s="46">
        <f t="shared" si="9"/>
        <v>0</v>
      </c>
      <c r="R22" s="43" t="e">
        <f t="shared" si="5"/>
        <v>#DIV/0!</v>
      </c>
      <c r="S22" s="51" t="e">
        <f t="shared" si="5"/>
        <v>#DIV/0!</v>
      </c>
    </row>
    <row r="23" spans="1:19">
      <c r="A23" s="1548"/>
      <c r="B23" s="45" t="s">
        <v>1153</v>
      </c>
      <c r="C23" s="3116"/>
      <c r="D23" s="43" t="e">
        <f>ROUND($D$3*E23/$E$3,2)</f>
        <v>#DIV/0!</v>
      </c>
      <c r="E23" s="51">
        <f>SUM(F23:G23)</f>
        <v>0</v>
      </c>
      <c r="F23" s="2558"/>
      <c r="G23" s="2559"/>
      <c r="H23" s="636" t="e">
        <f>ROUND($D$3*I23/$E$3,2)</f>
        <v>#DIV/0!</v>
      </c>
      <c r="I23" s="46" t="e">
        <f t="shared" si="2"/>
        <v>#DIV/0!</v>
      </c>
      <c r="J23" s="1070"/>
      <c r="K23" s="636" t="e">
        <f t="shared" si="3"/>
        <v>#DIV/0!</v>
      </c>
      <c r="L23" s="43">
        <f t="shared" si="4"/>
        <v>0</v>
      </c>
      <c r="M23" s="46" t="e">
        <f t="shared" si="8"/>
        <v>#DIV/0!</v>
      </c>
      <c r="N23" s="1549"/>
      <c r="O23" s="1550"/>
      <c r="P23" s="46">
        <f t="shared" si="9"/>
        <v>0</v>
      </c>
      <c r="R23" s="43" t="e">
        <f t="shared" si="5"/>
        <v>#DIV/0!</v>
      </c>
      <c r="S23" s="51" t="e">
        <f t="shared" si="5"/>
        <v>#DIV/0!</v>
      </c>
    </row>
    <row r="24" spans="1:19">
      <c r="A24" s="1548"/>
      <c r="B24" s="45" t="s">
        <v>1153</v>
      </c>
      <c r="C24" s="3116"/>
      <c r="D24" s="43" t="e">
        <f>ROUND($D$3*E24/$E$3,2)</f>
        <v>#DIV/0!</v>
      </c>
      <c r="E24" s="51">
        <f>SUM(F24:G24)</f>
        <v>0</v>
      </c>
      <c r="F24" s="2558"/>
      <c r="G24" s="2559"/>
      <c r="H24" s="636" t="e">
        <f>ROUND($D$3*I24/$E$3,2)</f>
        <v>#DIV/0!</v>
      </c>
      <c r="I24" s="46" t="e">
        <f t="shared" si="2"/>
        <v>#DIV/0!</v>
      </c>
      <c r="J24" s="1070"/>
      <c r="K24" s="636" t="e">
        <f t="shared" si="3"/>
        <v>#DIV/0!</v>
      </c>
      <c r="L24" s="43">
        <f t="shared" si="4"/>
        <v>0</v>
      </c>
      <c r="M24" s="46" t="e">
        <f t="shared" si="8"/>
        <v>#DIV/0!</v>
      </c>
      <c r="N24" s="1549"/>
      <c r="O24" s="1550"/>
      <c r="P24" s="46">
        <f t="shared" si="9"/>
        <v>0</v>
      </c>
      <c r="R24" s="43" t="e">
        <f t="shared" si="5"/>
        <v>#DIV/0!</v>
      </c>
      <c r="S24" s="51" t="e">
        <f t="shared" si="5"/>
        <v>#DIV/0!</v>
      </c>
    </row>
    <row r="25" spans="1:19">
      <c r="A25" s="1548"/>
      <c r="B25" s="45" t="s">
        <v>1153</v>
      </c>
      <c r="C25" s="3116"/>
      <c r="D25" s="43" t="e">
        <f t="shared" si="6"/>
        <v>#DIV/0!</v>
      </c>
      <c r="E25" s="51">
        <f t="shared" si="1"/>
        <v>0</v>
      </c>
      <c r="F25" s="2558"/>
      <c r="G25" s="2559"/>
      <c r="H25" s="42" t="e">
        <f t="shared" si="7"/>
        <v>#DIV/0!</v>
      </c>
      <c r="I25" s="46" t="e">
        <f t="shared" si="2"/>
        <v>#DIV/0!</v>
      </c>
      <c r="J25" s="1070"/>
      <c r="K25" s="636" t="e">
        <f t="shared" si="3"/>
        <v>#DIV/0!</v>
      </c>
      <c r="L25" s="43">
        <f t="shared" si="4"/>
        <v>0</v>
      </c>
      <c r="M25" s="46" t="e">
        <f t="shared" si="8"/>
        <v>#DIV/0!</v>
      </c>
      <c r="N25" s="1549"/>
      <c r="O25" s="1550"/>
      <c r="P25" s="46">
        <f t="shared" si="9"/>
        <v>0</v>
      </c>
      <c r="R25" s="43" t="e">
        <f t="shared" si="5"/>
        <v>#DIV/0!</v>
      </c>
      <c r="S25" s="51" t="e">
        <f t="shared" si="5"/>
        <v>#DIV/0!</v>
      </c>
    </row>
    <row r="26" spans="1:19">
      <c r="A26" s="1548"/>
      <c r="B26" s="45" t="s">
        <v>1153</v>
      </c>
      <c r="C26" s="53"/>
      <c r="D26" s="43" t="e">
        <f t="shared" si="6"/>
        <v>#DIV/0!</v>
      </c>
      <c r="E26" s="51">
        <f t="shared" si="1"/>
        <v>0</v>
      </c>
      <c r="F26" s="2558"/>
      <c r="G26" s="2559"/>
      <c r="H26" s="42" t="e">
        <f t="shared" si="7"/>
        <v>#DIV/0!</v>
      </c>
      <c r="I26" s="46" t="e">
        <f t="shared" si="2"/>
        <v>#DIV/0!</v>
      </c>
      <c r="J26" s="1070"/>
      <c r="K26" s="42" t="e">
        <f t="shared" si="3"/>
        <v>#DIV/0!</v>
      </c>
      <c r="L26" s="45">
        <f t="shared" si="4"/>
        <v>0</v>
      </c>
      <c r="M26" s="48" t="e">
        <f t="shared" si="8"/>
        <v>#DIV/0!</v>
      </c>
      <c r="N26" s="1551"/>
      <c r="O26" s="1552"/>
      <c r="P26" s="48">
        <f t="shared" si="9"/>
        <v>0</v>
      </c>
      <c r="R26" s="43" t="e">
        <f t="shared" si="5"/>
        <v>#DIV/0!</v>
      </c>
      <c r="S26" s="51" t="e">
        <f t="shared" si="5"/>
        <v>#DIV/0!</v>
      </c>
    </row>
    <row r="27" spans="1:19" ht="15.75" thickBot="1">
      <c r="A27" s="1548"/>
      <c r="B27" s="43"/>
      <c r="C27" s="1553" t="s">
        <v>1154</v>
      </c>
      <c r="D27" s="1071" t="e">
        <f>SUM(D19:D26)</f>
        <v>#DIV/0!</v>
      </c>
      <c r="E27" s="1072">
        <f>IF(SUM(E19:E26)='数据-基础表'!BA5,SUM(E19:E26),IF(F27="地上面积有误","面积有误","地下面积有误"))</f>
        <v>0</v>
      </c>
      <c r="F27" s="1071">
        <f>IF(SUM(F19:F26)=E8,SUM(F19:F26),"地上面积有误")</f>
        <v>0</v>
      </c>
      <c r="G27" s="1073">
        <f>SUM(G19:G26)</f>
        <v>0</v>
      </c>
      <c r="H27" s="1074" t="e">
        <f>SUM(H19:H26)</f>
        <v>#DIV/0!</v>
      </c>
      <c r="I27" s="1075" t="e">
        <f>SUM(I19:I26)</f>
        <v>#DIV/0!</v>
      </c>
      <c r="J27" s="1070"/>
      <c r="K27" s="1076" t="e">
        <f>SUM(K19:K26)</f>
        <v>#DIV/0!</v>
      </c>
      <c r="L27" s="784">
        <f>SUM(L19:L26)</f>
        <v>0</v>
      </c>
      <c r="M27" s="1077" t="e">
        <f>SUM(M19:M26)</f>
        <v>#DIV/0!</v>
      </c>
      <c r="N27" s="1076">
        <f t="shared" ref="N27:O27" si="10">SUM(N19:N26)</f>
        <v>0</v>
      </c>
      <c r="O27" s="784">
        <f t="shared" si="10"/>
        <v>0</v>
      </c>
      <c r="P27" s="94">
        <f>SUM(P19:P26)</f>
        <v>0</v>
      </c>
      <c r="R27" s="967" t="e">
        <f>IF(SUM(R19:R26)=$D$3,SUM(R19:R26),SUM(R19:R26)&amp;"误差"&amp;ROUND(SUM(R19:R26)-$D$3,2))</f>
        <v>#DIV/0!</v>
      </c>
      <c r="S27" s="43" t="e">
        <f>IF(SUM(S19:S26)=$E$3,SUM(S19:S26),SUM(S19:S26)&amp;"误差"&amp;ROUND(SUM(S19:S26)-E3,2))</f>
        <v>#DIV/0!</v>
      </c>
    </row>
    <row r="28" spans="1:19">
      <c r="A28" s="1548"/>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t="e">
        <f>SUM(D28:D29)</f>
        <v>#DIV/0!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t="e">
        <f>D27+D30</f>
        <v>#DIV/0!</v>
      </c>
      <c r="E31" s="642">
        <f>E27+E30</f>
        <v>0</v>
      </c>
      <c r="F31" s="643">
        <f>F27+F30</f>
        <v>0</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46083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0</v>
      </c>
      <c r="B6" s="1586" t="str">
        <f>IF(A6=0,"","经营性")</f>
        <v/>
      </c>
      <c r="C6" s="1587"/>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0</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0</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t="e">
        <f ca="1">IF(A40="利息：取LPR",存贷款利率!G1,存贷款利率!G1+C40)</f>
        <v>#VALUE!</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0</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0</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46083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34" t="str">
        <f>项目基本情况!S2</f>
        <v>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3" t="s">
        <v>1265</v>
      </c>
      <c r="B4" s="1624" t="s">
        <v>1266</v>
      </c>
      <c r="C4" s="1625"/>
      <c r="D4" s="1625"/>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2" t="s">
        <v>1268</v>
      </c>
      <c r="B5" s="3337">
        <v>25</v>
      </c>
      <c r="C5" s="3340"/>
      <c r="D5" s="3328"/>
      <c r="E5" s="123" t="s">
        <v>1269</v>
      </c>
      <c r="F5" s="1626"/>
      <c r="G5" s="1626"/>
      <c r="H5" s="1626"/>
      <c r="I5" s="1280"/>
    </row>
    <row r="6" spans="1:12" ht="12.75">
      <c r="A6" s="3282"/>
      <c r="B6" s="3337"/>
      <c r="C6" s="3342"/>
      <c r="D6" s="3328"/>
      <c r="E6" s="123" t="s">
        <v>1270</v>
      </c>
      <c r="F6" s="1626"/>
      <c r="G6" s="1626"/>
      <c r="H6" s="1626"/>
      <c r="I6" s="1280"/>
    </row>
    <row r="7" spans="1:12" ht="12.75">
      <c r="A7" s="3282"/>
      <c r="B7" s="3337"/>
      <c r="C7" s="3341"/>
      <c r="D7" s="3328"/>
      <c r="E7" s="123" t="s">
        <v>1271</v>
      </c>
      <c r="F7" s="1626"/>
      <c r="G7" s="1626"/>
      <c r="H7" s="1626"/>
      <c r="I7" s="1280"/>
    </row>
    <row r="8" spans="1:12" ht="12.75">
      <c r="A8" s="3282" t="s">
        <v>1272</v>
      </c>
      <c r="B8" s="3337">
        <v>15</v>
      </c>
      <c r="C8" s="3340"/>
      <c r="D8" s="3328"/>
      <c r="E8" s="123" t="s">
        <v>1273</v>
      </c>
      <c r="F8" s="1626"/>
      <c r="G8" s="1626"/>
      <c r="H8" s="1626"/>
      <c r="I8" s="1280"/>
    </row>
    <row r="9" spans="1:12" ht="12.75">
      <c r="A9" s="3282"/>
      <c r="B9" s="3337"/>
      <c r="C9" s="3341"/>
      <c r="D9" s="3328"/>
      <c r="E9" s="123" t="s">
        <v>1274</v>
      </c>
      <c r="F9" s="1626"/>
      <c r="G9" s="1626"/>
      <c r="H9" s="1626"/>
      <c r="I9" s="1280"/>
    </row>
    <row r="10" spans="1:12" ht="12.75">
      <c r="A10" s="3282" t="s">
        <v>1275</v>
      </c>
      <c r="B10" s="3337">
        <v>15</v>
      </c>
      <c r="C10" s="3340"/>
      <c r="D10" s="3328"/>
      <c r="E10" s="123" t="s">
        <v>1276</v>
      </c>
      <c r="F10" s="1626"/>
      <c r="G10" s="1626"/>
      <c r="H10" s="1626"/>
      <c r="I10" s="1280"/>
    </row>
    <row r="11" spans="1:12" ht="12.75">
      <c r="A11" s="3282"/>
      <c r="B11" s="3337"/>
      <c r="C11" s="3341"/>
      <c r="D11" s="3328"/>
      <c r="E11" s="123" t="s">
        <v>1277</v>
      </c>
      <c r="F11" s="1626"/>
      <c r="G11" s="1626"/>
      <c r="H11" s="1626"/>
      <c r="I11" s="1280"/>
    </row>
    <row r="12" spans="1:12" ht="12.75">
      <c r="A12" s="3282" t="s">
        <v>1278</v>
      </c>
      <c r="B12" s="3337">
        <v>15</v>
      </c>
      <c r="C12" s="3340"/>
      <c r="D12" s="3328"/>
      <c r="E12" s="123" t="s">
        <v>1279</v>
      </c>
      <c r="F12" s="1626"/>
      <c r="G12" s="1626"/>
      <c r="H12" s="1626"/>
      <c r="I12" s="1280"/>
    </row>
    <row r="13" spans="1:12" ht="12.75">
      <c r="A13" s="3282"/>
      <c r="B13" s="3337"/>
      <c r="C13" s="3341"/>
      <c r="D13" s="3328"/>
      <c r="E13" s="123" t="s">
        <v>1280</v>
      </c>
      <c r="F13" s="1626"/>
      <c r="G13" s="1626"/>
      <c r="H13" s="1626"/>
      <c r="I13" s="1280"/>
    </row>
    <row r="14" spans="1:12" ht="12.75">
      <c r="A14" s="3282" t="s">
        <v>1281</v>
      </c>
      <c r="B14" s="3337">
        <v>30</v>
      </c>
      <c r="C14" s="3340"/>
      <c r="D14" s="3328"/>
      <c r="E14" s="123" t="s">
        <v>1282</v>
      </c>
      <c r="F14" s="1626"/>
      <c r="G14" s="1626"/>
      <c r="H14" s="1626"/>
      <c r="I14" s="1280"/>
    </row>
    <row r="15" spans="1:12" ht="12.75">
      <c r="A15" s="3282"/>
      <c r="B15" s="3337"/>
      <c r="C15" s="3342"/>
      <c r="D15" s="3328"/>
      <c r="E15" s="123" t="s">
        <v>1283</v>
      </c>
      <c r="F15" s="1626"/>
      <c r="G15" s="1626"/>
      <c r="H15" s="1626"/>
      <c r="I15" s="1280"/>
    </row>
    <row r="16" spans="1:12" ht="12.75">
      <c r="A16" s="3282"/>
      <c r="B16" s="3337"/>
      <c r="C16" s="3341"/>
      <c r="D16" s="3328"/>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359" t="s">
        <v>2131</v>
      </c>
      <c r="F18" s="3360"/>
      <c r="G18" s="3360"/>
      <c r="H18" s="3360"/>
      <c r="I18" s="3360"/>
      <c r="K18" s="294" t="s">
        <v>1289</v>
      </c>
      <c r="L18" s="294">
        <f>IF(C1="",'数据-汇总表'!E3,SUMIF(项目类型,C1,'数据-汇总表'!E17:E26)+SUMIF(项目类型,C1,'数据-汇总表'!I17:I26))</f>
        <v>0</v>
      </c>
      <c r="M18" s="294">
        <f>IF(C1="",'数据-汇总表'!E3,SUMIF(项目类型,C1,'数据-汇总表'!E17:E26))</f>
        <v>0</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52" t="s">
        <v>1299</v>
      </c>
      <c r="B24" s="1630" t="s">
        <v>1291</v>
      </c>
      <c r="C24" s="128">
        <f>IF(B30=0,0,D30)</f>
        <v>0</v>
      </c>
      <c r="D24" s="1636"/>
      <c r="E24" s="121"/>
      <c r="F24" s="121"/>
      <c r="G24" s="121"/>
      <c r="H24" s="121"/>
      <c r="I24" s="121"/>
    </row>
    <row r="25" spans="1:36" ht="14.25">
      <c r="A25" s="335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29" t="s">
        <v>1312</v>
      </c>
      <c r="B36" s="1651" t="s">
        <v>1313</v>
      </c>
      <c r="C36" s="137"/>
      <c r="D36" s="1652"/>
      <c r="E36" s="1566"/>
      <c r="F36" s="1653"/>
      <c r="G36" s="121"/>
      <c r="H36" s="121"/>
      <c r="I36" s="121"/>
    </row>
    <row r="37" spans="1:15" ht="15.75" thickBot="1">
      <c r="A37" s="3330"/>
      <c r="B37" s="1554" t="s">
        <v>1314</v>
      </c>
      <c r="C37" s="139"/>
      <c r="D37" s="1070"/>
      <c r="E37" s="1070"/>
      <c r="F37" s="1653"/>
      <c r="G37" s="121"/>
      <c r="H37" s="121"/>
      <c r="I37" s="121"/>
    </row>
    <row r="38" spans="1:15" ht="15.75" thickBot="1">
      <c r="A38" s="3331"/>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7"/>
      <c r="I46" s="151"/>
      <c r="J46" s="2309">
        <v>1</v>
      </c>
      <c r="K46" s="3270" t="s">
        <v>1331</v>
      </c>
      <c r="L46" s="3270"/>
      <c r="M46" s="3271"/>
      <c r="N46" s="3271"/>
      <c r="O46" s="3271"/>
    </row>
    <row r="47" spans="1:15" ht="12" customHeight="1">
      <c r="A47" s="152" t="s">
        <v>1332</v>
      </c>
      <c r="B47" s="153"/>
      <c r="C47" s="154"/>
      <c r="D47" s="1023" t="s">
        <v>1333</v>
      </c>
      <c r="E47" s="294" t="s">
        <v>1334</v>
      </c>
      <c r="F47" s="155" t="s">
        <v>1335</v>
      </c>
      <c r="G47" s="2332" t="s">
        <v>1336</v>
      </c>
      <c r="H47" s="2333"/>
      <c r="I47" s="151"/>
      <c r="J47" s="2309">
        <v>2</v>
      </c>
      <c r="K47" s="3270" t="s">
        <v>1337</v>
      </c>
      <c r="L47" s="3270"/>
      <c r="M47" s="3272">
        <f>'数据-取费表'!B2</f>
        <v>46083</v>
      </c>
      <c r="N47" s="3272"/>
      <c r="O47" s="3272"/>
    </row>
    <row r="48" spans="1:15" ht="25.5">
      <c r="A48" s="3332" t="s">
        <v>1338</v>
      </c>
      <c r="B48" s="3333"/>
      <c r="C48" s="3333"/>
      <c r="D48" s="12" t="b">
        <f>IF(H48="情况1",0,IF(H48="情况2",D52,IF(H48="情况3",D53,IF(H48="情况4",D54))))</f>
        <v>0</v>
      </c>
      <c r="E48" s="1255" t="str">
        <f>IF(H48="情况4","(销售额-原购置价)×税（费）率","销售额×税（费）率")</f>
        <v>销售额×税（费）率</v>
      </c>
      <c r="F48" s="2334">
        <f>IF(H48="情况1","免征",'数据-取费表'!B41)</f>
        <v>0</v>
      </c>
      <c r="G48" s="2335" t="s">
        <v>1339</v>
      </c>
      <c r="H48" s="2336"/>
      <c r="I48" s="1667"/>
      <c r="J48" s="2309">
        <v>3</v>
      </c>
      <c r="K48" s="3270" t="s">
        <v>1340</v>
      </c>
      <c r="L48" s="3270"/>
      <c r="M48" s="3273" t="e">
        <f ca="1">H101</f>
        <v>#REF!</v>
      </c>
      <c r="N48" s="3273"/>
      <c r="O48" s="3273"/>
    </row>
    <row r="49" spans="1:35" ht="25.5" customHeight="1">
      <c r="A49" s="2151" t="s">
        <v>1341</v>
      </c>
      <c r="B49" s="3318" t="s">
        <v>1342</v>
      </c>
      <c r="C49" s="3318"/>
      <c r="D49" s="1477">
        <v>0</v>
      </c>
      <c r="E49" s="316" t="s">
        <v>1343</v>
      </c>
      <c r="F49" s="2232" t="s">
        <v>28</v>
      </c>
      <c r="G49" s="3301"/>
      <c r="H49" s="2133" t="s">
        <v>2134</v>
      </c>
      <c r="I49" s="2134"/>
      <c r="J49" s="2309">
        <v>4</v>
      </c>
      <c r="K49" s="3270" t="str">
        <f>IF(项目基本情况!E8="房地产抵押价值","房地产抵押价值","抵押担保权已注销时的房地产抵押价值")</f>
        <v>抵押担保权已注销时的房地产抵押价值</v>
      </c>
      <c r="L49" s="3270"/>
      <c r="M49" s="3273" t="str">
        <f>IF(项目基本情况!E8="房地产抵押价值",H107,H109)</f>
        <v>——</v>
      </c>
      <c r="N49" s="3273"/>
      <c r="O49" s="3273"/>
    </row>
    <row r="50" spans="1:35" ht="25.5" customHeight="1">
      <c r="A50" s="2337"/>
      <c r="B50" s="3318" t="s">
        <v>1344</v>
      </c>
      <c r="C50" s="3318"/>
      <c r="D50" s="2188"/>
      <c r="E50" s="323"/>
      <c r="F50" s="2232"/>
      <c r="G50" s="3302"/>
      <c r="H50" s="2135" t="s">
        <v>2135</v>
      </c>
      <c r="I50" s="2134"/>
      <c r="J50" s="3269" t="s">
        <v>1345</v>
      </c>
      <c r="K50" s="3269"/>
      <c r="L50" s="3269"/>
      <c r="M50" s="3269"/>
      <c r="N50" s="3269"/>
      <c r="O50" s="3269"/>
    </row>
    <row r="51" spans="1:35" ht="20.45" customHeight="1">
      <c r="A51" s="2338"/>
      <c r="B51" s="3318" t="s">
        <v>1346</v>
      </c>
      <c r="C51" s="3318"/>
      <c r="D51" s="1023"/>
      <c r="E51" s="319"/>
      <c r="F51" s="2232"/>
      <c r="G51" s="3303"/>
      <c r="H51" s="2135" t="s">
        <v>2136</v>
      </c>
      <c r="I51" s="2134"/>
      <c r="J51" s="2310" t="s">
        <v>1347</v>
      </c>
      <c r="K51" s="3270" t="s">
        <v>1348</v>
      </c>
      <c r="L51" s="3270"/>
      <c r="M51" s="2310" t="s">
        <v>1349</v>
      </c>
      <c r="N51" s="2310" t="s">
        <v>1350</v>
      </c>
      <c r="O51" s="2310" t="s">
        <v>1351</v>
      </c>
    </row>
    <row r="52" spans="1:35" ht="24" customHeight="1">
      <c r="A52" s="2152" t="s">
        <v>1352</v>
      </c>
      <c r="B52" s="3318" t="s">
        <v>1353</v>
      </c>
      <c r="C52" s="3318"/>
      <c r="D52" s="1023" t="e">
        <f ca="1">ROUND(D45*'数据-取费表'!B41/(1+'数据-取费表'!C42),0)</f>
        <v>#REF!</v>
      </c>
      <c r="E52" s="1255" t="s">
        <v>1354</v>
      </c>
      <c r="F52" s="2339">
        <f>'数据-取费表'!B41</f>
        <v>0</v>
      </c>
      <c r="G52" s="2340"/>
      <c r="H52" s="2330"/>
      <c r="I52" s="1668"/>
      <c r="J52" s="2309">
        <v>1</v>
      </c>
      <c r="K52" s="3295" t="s">
        <v>1355</v>
      </c>
      <c r="L52" s="3295"/>
      <c r="M52" s="2311" t="b">
        <f>D48</f>
        <v>0</v>
      </c>
      <c r="N52" s="2309" t="str">
        <f>E48</f>
        <v>销售额×税（费）率</v>
      </c>
      <c r="O52" s="2312">
        <f>F48</f>
        <v>0</v>
      </c>
    </row>
    <row r="53" spans="1:35" ht="12" customHeight="1">
      <c r="A53" s="2152" t="s">
        <v>1356</v>
      </c>
      <c r="B53" s="3319" t="s">
        <v>2291</v>
      </c>
      <c r="C53" s="3320"/>
      <c r="D53" s="1023" t="e">
        <f ca="1">ROUND(D45*'数据-取费表'!B41/(1+'数据-取费表'!C42),0)</f>
        <v>#REF!</v>
      </c>
      <c r="E53" s="1255" t="s">
        <v>1354</v>
      </c>
      <c r="F53" s="2339">
        <f>'数据-取费表'!B41</f>
        <v>0</v>
      </c>
      <c r="G53" s="2340"/>
      <c r="H53" s="2330"/>
      <c r="I53" s="1668"/>
      <c r="J53" s="2309">
        <v>2</v>
      </c>
      <c r="K53" s="3295" t="s">
        <v>1357</v>
      </c>
      <c r="L53" s="3295"/>
      <c r="M53" s="2311" t="e">
        <f t="shared" ref="M53:O54" ca="1" si="0">D55</f>
        <v>#REF!</v>
      </c>
      <c r="N53" s="2309" t="str">
        <f t="shared" si="0"/>
        <v>销售额×税（费）率</v>
      </c>
      <c r="O53" s="2312" t="str">
        <f t="shared" si="0"/>
        <v>免征</v>
      </c>
    </row>
    <row r="54" spans="1:35" ht="12" customHeight="1">
      <c r="A54" s="2152" t="s">
        <v>1358</v>
      </c>
      <c r="B54" s="3319" t="s">
        <v>2292</v>
      </c>
      <c r="C54" s="3320"/>
      <c r="D54" s="1023" t="e">
        <f ca="1">C68</f>
        <v>#REF!</v>
      </c>
      <c r="E54" s="319" t="s">
        <v>1359</v>
      </c>
      <c r="F54" s="2339">
        <f>'数据-取费表'!B41</f>
        <v>0</v>
      </c>
      <c r="G54" s="2340"/>
      <c r="H54" s="2341"/>
      <c r="I54" s="1668"/>
      <c r="J54" s="2309">
        <v>3</v>
      </c>
      <c r="K54" s="3295" t="s">
        <v>1360</v>
      </c>
      <c r="L54" s="3295"/>
      <c r="M54" s="2311" t="e">
        <f t="shared" ca="1" si="0"/>
        <v>#REF!</v>
      </c>
      <c r="N54" s="2309" t="str">
        <f t="shared" si="0"/>
        <v>增值额×税（费）率</v>
      </c>
      <c r="O54" s="2313" t="str">
        <f t="shared" si="0"/>
        <v>免征</v>
      </c>
    </row>
    <row r="55" spans="1:35" ht="24" customHeight="1">
      <c r="A55" s="3355" t="s">
        <v>1361</v>
      </c>
      <c r="B55" s="3333"/>
      <c r="C55" s="3333"/>
      <c r="D55" s="12" t="e">
        <f ca="1">IF(H55="个人住宅",0,ROUND(D45*I55,0))</f>
        <v>#REF!</v>
      </c>
      <c r="E55" s="1255" t="s">
        <v>1362</v>
      </c>
      <c r="F55" s="2339" t="str">
        <f>IF(H55="正常",I55,"免征")</f>
        <v>免征</v>
      </c>
      <c r="G55" s="2340"/>
      <c r="H55" s="2336"/>
      <c r="I55" s="157">
        <f>'数据-取费表'!B49</f>
        <v>0</v>
      </c>
      <c r="J55" s="2309">
        <f>IF(H59="非个人房产","",4)</f>
        <v>4</v>
      </c>
      <c r="K55" s="3295" t="str">
        <f>IF(H59="非个人房产","——","个人所得税")</f>
        <v>个人所得税</v>
      </c>
      <c r="L55" s="3295"/>
      <c r="M55" s="2314" t="e">
        <f ca="1">D59</f>
        <v>#REF!</v>
      </c>
      <c r="N55" s="1882" t="str">
        <f>E59</f>
        <v>差额计税</v>
      </c>
      <c r="O55" s="2315">
        <f>F59</f>
        <v>0.01</v>
      </c>
    </row>
    <row r="56" spans="1:35" ht="24.75">
      <c r="A56" s="3355" t="s">
        <v>1363</v>
      </c>
      <c r="B56" s="3333"/>
      <c r="C56" s="3333"/>
      <c r="D56" s="12" t="e">
        <f ca="1">IF(H56="个人住宅",D57,D58)</f>
        <v>#REF!</v>
      </c>
      <c r="E56" s="1255" t="s">
        <v>1364</v>
      </c>
      <c r="F56" s="2339" t="str">
        <f>IF(H56="正常",F58,"免征")</f>
        <v>免征</v>
      </c>
      <c r="G56" s="2342" t="s">
        <v>1365</v>
      </c>
      <c r="H56" s="2343"/>
      <c r="I56" s="1669"/>
      <c r="J56" s="2309" t="str">
        <f>IF(项目基本情况!K6="上海银行",IF(J55="",4,J55+1),"")</f>
        <v/>
      </c>
      <c r="K56" s="3276" t="str">
        <f>IF(项目基本情况!K6="上海银行","其他处置费用","")</f>
        <v/>
      </c>
      <c r="L56" s="3277"/>
      <c r="M56" s="2311" t="str">
        <f>IF(项目基本情况!K6="上海银行",M69,"")</f>
        <v/>
      </c>
      <c r="N56" s="3276" t="str">
        <f>IF(项目基本情况!K6="上海银行","包含处置中涉及的律师、诉讼、拍卖、评估等费用","")</f>
        <v/>
      </c>
      <c r="O56" s="3279"/>
    </row>
    <row r="57" spans="1:35" ht="12.75">
      <c r="A57" s="2152" t="s">
        <v>1341</v>
      </c>
      <c r="B57" s="3319" t="s">
        <v>1366</v>
      </c>
      <c r="C57" s="3320"/>
      <c r="D57" s="1477">
        <v>0</v>
      </c>
      <c r="E57" s="316" t="s">
        <v>1343</v>
      </c>
      <c r="F57" s="294"/>
      <c r="G57" s="2340"/>
      <c r="H57" s="2344"/>
      <c r="I57" s="1669"/>
      <c r="J57" s="3295">
        <f>IF(AND(J55="",J56=""),4,IF(项目基本情况!K6="上海银行",结果表!J56+1,结果表!J55+1))</f>
        <v>5</v>
      </c>
      <c r="K57" s="3295" t="s">
        <v>1367</v>
      </c>
      <c r="L57" s="2316" t="s">
        <v>1368</v>
      </c>
      <c r="M57" s="2317"/>
      <c r="N57" s="2318">
        <f ca="1">SUMIF(M52:M56,"&lt;9e307")</f>
        <v>0</v>
      </c>
      <c r="O57" s="2319"/>
      <c r="P57" s="2464" t="e">
        <f ca="1">N57/M49</f>
        <v>#VALUE!</v>
      </c>
    </row>
    <row r="58" spans="1:35" ht="24.75">
      <c r="A58" s="2152" t="s">
        <v>1352</v>
      </c>
      <c r="B58" s="3319" t="s">
        <v>1369</v>
      </c>
      <c r="C58" s="3318"/>
      <c r="D58" s="12" t="e">
        <f ca="1">IF(H58="转让取得",C81,C97)</f>
        <v>#REF!</v>
      </c>
      <c r="E58" s="1255" t="s">
        <v>1364</v>
      </c>
      <c r="F58" s="294" t="s">
        <v>28</v>
      </c>
      <c r="G58" s="2340"/>
      <c r="H58" s="2343"/>
      <c r="I58" s="1669"/>
      <c r="J58" s="3295"/>
      <c r="K58" s="3295"/>
      <c r="L58" s="2316" t="s">
        <v>1370</v>
      </c>
      <c r="M58" s="2320"/>
      <c r="N58" s="2321" t="str">
        <f ca="1">NUMBERSTRING(INT(N57*10000),2)&amp;"元整"</f>
        <v>零元整</v>
      </c>
      <c r="O58" s="2322"/>
    </row>
    <row r="59" spans="1:35" ht="24.75" thickBot="1">
      <c r="A59" s="3299" t="s">
        <v>1371</v>
      </c>
      <c r="B59" s="3300"/>
      <c r="C59" s="3300"/>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7">
        <f>J57+1</f>
        <v>6</v>
      </c>
      <c r="K59" s="3295" t="s">
        <v>1372</v>
      </c>
      <c r="L59" s="2309" t="s">
        <v>1368</v>
      </c>
      <c r="M59" s="2323"/>
      <c r="N59" s="2324" t="e">
        <f ca="1">M49-N57</f>
        <v>#VALUE!</v>
      </c>
      <c r="O59" s="2325"/>
    </row>
    <row r="60" spans="1:35" ht="12" customHeight="1">
      <c r="A60" s="1670"/>
      <c r="B60" s="645"/>
      <c r="C60" s="645"/>
      <c r="D60" s="645"/>
      <c r="E60" s="1465"/>
      <c r="F60" s="1669"/>
      <c r="G60" s="1669"/>
      <c r="H60" s="151"/>
      <c r="I60" s="121"/>
      <c r="J60" s="3298"/>
      <c r="K60" s="3295"/>
      <c r="L60" s="2316" t="s">
        <v>1370</v>
      </c>
      <c r="M60" s="2320"/>
      <c r="N60" s="2321" t="e">
        <f ca="1">NUMBERSTRING(INT(N59*10000),2)&amp;"元整"</f>
        <v>#VALUE!</v>
      </c>
      <c r="O60" s="2322"/>
    </row>
    <row r="61" spans="1:35" ht="13.5" thickBot="1">
      <c r="A61" s="3354" t="s">
        <v>1373</v>
      </c>
      <c r="B61" s="3354"/>
      <c r="C61" s="3354"/>
      <c r="D61" s="3354"/>
      <c r="E61" s="3354"/>
      <c r="F61" s="1669"/>
      <c r="G61" s="1669"/>
      <c r="H61" s="151"/>
      <c r="I61" s="121"/>
      <c r="J61" s="2309">
        <f>J59+1</f>
        <v>7</v>
      </c>
      <c r="K61" s="3295" t="s">
        <v>1374</v>
      </c>
      <c r="L61" s="3295"/>
      <c r="M61" s="2326"/>
      <c r="N61" s="2327" t="e">
        <f ca="1">ROUND(N59*10000/'数据-汇总表'!E3,0)</f>
        <v>#VALUE!</v>
      </c>
      <c r="O61" s="2328"/>
    </row>
    <row r="62" spans="1:35" ht="12.75">
      <c r="A62" s="3314" t="s">
        <v>1375</v>
      </c>
      <c r="B62" s="3315"/>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78"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278"/>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278"/>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278"/>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78"/>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0</v>
      </c>
      <c r="E68" s="170"/>
      <c r="F68" s="1669"/>
      <c r="G68" s="1669"/>
      <c r="H68" s="151"/>
      <c r="I68" s="121"/>
      <c r="J68" s="3278"/>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278"/>
      <c r="K69" s="1244" t="s">
        <v>1393</v>
      </c>
      <c r="L69" s="1244"/>
      <c r="M69" s="294" t="e">
        <f>ROUND(SUM(M63:M68),0)</f>
        <v>#VALUE!</v>
      </c>
      <c r="N69" s="2331" t="e">
        <f>M69/M49</f>
        <v>#VALUE!</v>
      </c>
      <c r="Z69" s="1622"/>
      <c r="AI69" s="1560"/>
    </row>
    <row r="70" spans="1:35" s="641" customFormat="1" ht="15" thickBot="1">
      <c r="A70" s="3322" t="s">
        <v>1394</v>
      </c>
      <c r="B70" s="3323"/>
      <c r="C70" s="3323"/>
      <c r="D70" s="3323"/>
      <c r="E70" s="3323"/>
      <c r="F70" s="3323"/>
      <c r="G70" s="3323"/>
      <c r="H70" s="332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4" t="s">
        <v>1375</v>
      </c>
      <c r="B71" s="331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19" t="s">
        <v>1402</v>
      </c>
      <c r="F76" s="3318"/>
      <c r="G76" s="3318"/>
      <c r="H76" s="332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0</v>
      </c>
      <c r="E78" s="3311" t="s">
        <v>1406</v>
      </c>
      <c r="F78" s="3312"/>
      <c r="G78" s="3312"/>
      <c r="H78" s="331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2" t="s">
        <v>1410</v>
      </c>
      <c r="B83" s="3323"/>
      <c r="C83" s="3323"/>
      <c r="D83" s="3323"/>
      <c r="E83" s="3323"/>
      <c r="F83" s="3323"/>
      <c r="G83" s="3323"/>
      <c r="H83" s="332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4" t="s">
        <v>1375</v>
      </c>
      <c r="B84" s="331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0</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80" t="s">
        <v>2129</v>
      </c>
      <c r="H90" s="3281"/>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11" t="s">
        <v>1419</v>
      </c>
      <c r="F91" s="3312"/>
      <c r="G91" s="331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11" t="s">
        <v>1422</v>
      </c>
      <c r="F92" s="3312"/>
      <c r="G92" s="3312"/>
      <c r="H92" s="3313"/>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0</v>
      </c>
      <c r="E93" s="3311" t="s">
        <v>1406</v>
      </c>
      <c r="F93" s="3312"/>
      <c r="G93" s="3312"/>
      <c r="H93" s="331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56" t="s">
        <v>1426</v>
      </c>
      <c r="F94" s="3357"/>
      <c r="G94" s="3357"/>
      <c r="H94" s="335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0">
        <f>C4</f>
        <v>0</v>
      </c>
      <c r="D101" s="2371">
        <f>D4</f>
        <v>0</v>
      </c>
      <c r="E101" s="3274" t="s">
        <v>1431</v>
      </c>
      <c r="F101" s="3275"/>
      <c r="G101" s="1686" t="s">
        <v>1432</v>
      </c>
      <c r="H101" s="2380" t="e">
        <f ca="1">H118</f>
        <v>#REF!</v>
      </c>
      <c r="I101" s="121"/>
    </row>
    <row r="102" spans="1:35" ht="18.75" customHeight="1">
      <c r="A102" s="3306" t="s">
        <v>1433</v>
      </c>
      <c r="B102" s="2369" t="s">
        <v>1432</v>
      </c>
      <c r="C102" s="2370" t="e">
        <f ca="1">IF(D32="楼面单价",ROUND(C19,0),C19)</f>
        <v>#REF!</v>
      </c>
      <c r="D102" s="2371" t="e">
        <f ca="1">IF(D32="楼面单价",ROUND(D19,0),D19)</f>
        <v>#REF!</v>
      </c>
      <c r="E102" s="3274"/>
      <c r="F102" s="3275"/>
      <c r="G102" s="1686" t="s">
        <v>1434</v>
      </c>
      <c r="H102" s="2340" t="e">
        <f ca="1">I118</f>
        <v>#REF!</v>
      </c>
      <c r="I102" s="121"/>
    </row>
    <row r="103" spans="1:35" ht="42.75" customHeight="1">
      <c r="A103" s="3306"/>
      <c r="B103" s="2369" t="s">
        <v>1434</v>
      </c>
      <c r="C103" s="2372" t="e">
        <f ca="1">C20</f>
        <v>#REF!</v>
      </c>
      <c r="D103" s="2373" t="e">
        <f ca="1">D20</f>
        <v>#REF!</v>
      </c>
      <c r="E103" s="3267" t="s">
        <v>1435</v>
      </c>
      <c r="F103" s="3268"/>
      <c r="G103" s="1687" t="s">
        <v>1436</v>
      </c>
      <c r="H103" s="2380">
        <f>IF(D36="正常操作",H104+H105+H106,H105+H106)</f>
        <v>0</v>
      </c>
      <c r="I103" s="121"/>
    </row>
    <row r="104" spans="1:35" ht="18.75" customHeight="1">
      <c r="A104" s="3306"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6"/>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07" t="str">
        <f>IF(项目基本情况!E8="已注销","——","3.房地产抵押价值")</f>
        <v>3.房地产抵押价值</v>
      </c>
      <c r="F107" s="3275"/>
      <c r="G107" s="1686" t="s">
        <v>1432</v>
      </c>
      <c r="H107" s="2380" t="e">
        <f ca="1">IF(E107="——","——",H101-H103)</f>
        <v>#REF!</v>
      </c>
      <c r="I107" s="121"/>
    </row>
    <row r="108" spans="1:35" ht="18.75" customHeight="1">
      <c r="A108" s="121"/>
      <c r="B108" s="121"/>
      <c r="C108" s="121"/>
      <c r="D108" s="121"/>
      <c r="E108" s="3307"/>
      <c r="F108" s="3275"/>
      <c r="G108" s="1686" t="s">
        <v>1434</v>
      </c>
      <c r="H108" s="2340">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6" t="s">
        <v>1432</v>
      </c>
      <c r="H109" s="2383" t="str">
        <f>IF(E109="——","——",H101-H105-H106)</f>
        <v>——</v>
      </c>
      <c r="I109" s="121"/>
    </row>
    <row r="110" spans="1:35" ht="18.75" customHeight="1">
      <c r="A110" s="121"/>
      <c r="B110" s="121"/>
      <c r="C110" s="121"/>
      <c r="D110" s="121"/>
      <c r="E110" s="3307"/>
      <c r="F110" s="3275"/>
      <c r="G110" s="1686" t="s">
        <v>1434</v>
      </c>
      <c r="H110" s="2340"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6" t="s">
        <v>1432</v>
      </c>
      <c r="H111" s="2380" t="str">
        <f>IF(E111="——","——",N59)</f>
        <v>——</v>
      </c>
      <c r="I111" s="121"/>
    </row>
    <row r="112" spans="1:35" ht="18.75" customHeight="1" thickBot="1">
      <c r="A112" s="121"/>
      <c r="B112" s="121"/>
      <c r="C112" s="121"/>
      <c r="D112" s="121"/>
      <c r="E112" s="3309"/>
      <c r="F112" s="3310"/>
      <c r="G112" s="1689" t="s">
        <v>1434</v>
      </c>
      <c r="H112" s="2384" t="str">
        <f>IF(E111="——","——",N61)</f>
        <v>——</v>
      </c>
      <c r="I112" s="121"/>
    </row>
    <row r="113" spans="1:27" ht="18.75" customHeight="1">
      <c r="A113" s="121"/>
      <c r="B113" s="121"/>
      <c r="C113" s="121"/>
      <c r="D113" s="121"/>
      <c r="E113" s="3317" t="s">
        <v>1440</v>
      </c>
      <c r="F113" s="3317"/>
      <c r="G113" s="3317"/>
      <c r="H113" s="3317"/>
      <c r="I113" s="121"/>
    </row>
    <row r="114" spans="1:27" ht="3.75" customHeight="1">
      <c r="A114" s="645"/>
      <c r="B114" s="645"/>
      <c r="C114" s="645"/>
      <c r="D114" s="645"/>
      <c r="E114" s="1670"/>
      <c r="F114" s="1670"/>
      <c r="G114" s="1670"/>
      <c r="H114" s="1670"/>
      <c r="I114" s="645"/>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49" t="s">
        <v>1449</v>
      </c>
      <c r="E117" s="2149" t="s">
        <v>1450</v>
      </c>
      <c r="F117" s="2149" t="s">
        <v>1449</v>
      </c>
      <c r="G117" s="2149" t="s">
        <v>1451</v>
      </c>
      <c r="H117" s="2149" t="s">
        <v>1449</v>
      </c>
      <c r="I117" s="2149" t="s">
        <v>1451</v>
      </c>
    </row>
    <row r="118" spans="1:27" ht="24.75" customHeight="1">
      <c r="A118" s="2385" t="str">
        <f>项目基本情况!S2</f>
        <v>房地产</v>
      </c>
      <c r="B118" s="2149">
        <f>M18</f>
        <v>0</v>
      </c>
      <c r="C118" s="2149" t="e">
        <f>M19</f>
        <v>#DIV/0!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2" t="s">
        <v>1452</v>
      </c>
      <c r="B119" s="3282"/>
      <c r="C119" s="3282"/>
      <c r="D119" s="3288" t="e">
        <f ca="1">NUMBERSTRING(INT(D118*10000),2)&amp;"元整"</f>
        <v>#REF!</v>
      </c>
      <c r="E119" s="3289"/>
      <c r="F119" s="3288" t="e">
        <f ca="1">NUMBERSTRING(INT(F118*10000),2)&amp;"元整"</f>
        <v>#REF!</v>
      </c>
      <c r="G119" s="3289"/>
      <c r="H119" s="3288" t="e">
        <f ca="1">NUMBERSTRING(INT(H118*10000),2)&amp;"元整"</f>
        <v>#REF!</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8" t="s">
        <v>1452</v>
      </c>
      <c r="B121" s="3290"/>
      <c r="C121" s="3289"/>
      <c r="D121" s="3288" t="str">
        <f>IF(D120=0,"零元整",NUMBERSTRING(INT(D120*10000),2)&amp;"元整")</f>
        <v>零元整</v>
      </c>
      <c r="E121" s="3290"/>
      <c r="F121" s="3290"/>
      <c r="G121" s="3290"/>
      <c r="H121" s="3290"/>
      <c r="I121" s="3289"/>
      <c r="AA121" s="683"/>
    </row>
    <row r="122" spans="1:27" ht="18.75" customHeight="1">
      <c r="A122" s="3294" t="str">
        <f>IF(项目基本情况!B9="房地产市场价值","",MID(E107,3,LEN(E107)-2))</f>
        <v>房地产抵押价值</v>
      </c>
      <c r="B122" s="3294"/>
      <c r="C122" s="3294"/>
      <c r="D122" s="3283" t="e">
        <f ca="1">H107</f>
        <v>#REF!</v>
      </c>
      <c r="E122" s="3284"/>
      <c r="F122" s="3284"/>
      <c r="G122" s="3284"/>
      <c r="H122" s="3284"/>
      <c r="I122" s="3285"/>
      <c r="AA122" s="683"/>
    </row>
    <row r="123" spans="1:27" ht="18.75" customHeight="1">
      <c r="A123" s="3282" t="s">
        <v>1452</v>
      </c>
      <c r="B123" s="3282"/>
      <c r="C123" s="3282"/>
      <c r="D123" s="3288" t="e">
        <f ca="1">NUMBERSTRING(INT(D122*10000),2)&amp;"元整"</f>
        <v>#REF!</v>
      </c>
      <c r="E123" s="3290"/>
      <c r="F123" s="3290"/>
      <c r="G123" s="3290"/>
      <c r="H123" s="3290"/>
      <c r="I123" s="3289"/>
      <c r="AA123" s="683"/>
    </row>
    <row r="124" spans="1:27" ht="18.75" customHeight="1">
      <c r="A124" s="3294" t="str">
        <f>IF(项目基本情况!B9="房地产市场价值","",MID(E109,3,LEN(E109)-2))</f>
        <v/>
      </c>
      <c r="B124" s="3294"/>
      <c r="C124" s="3294"/>
      <c r="D124" s="3283" t="str">
        <f>H109</f>
        <v>——</v>
      </c>
      <c r="E124" s="3284"/>
      <c r="F124" s="3284"/>
      <c r="G124" s="3284"/>
      <c r="H124" s="3284"/>
      <c r="I124" s="3285"/>
      <c r="AA124" s="683"/>
    </row>
    <row r="125" spans="1:27" ht="18.75" customHeight="1">
      <c r="A125" s="3282" t="s">
        <v>1452</v>
      </c>
      <c r="B125" s="3282"/>
      <c r="C125" s="3282"/>
      <c r="D125" s="3288" t="e">
        <f>NUMBERSTRING(INT(D124*10000),2)&amp;"元整"</f>
        <v>#VALUE!</v>
      </c>
      <c r="E125" s="3290"/>
      <c r="F125" s="3290"/>
      <c r="G125" s="3290"/>
      <c r="H125" s="3290"/>
      <c r="I125" s="3289"/>
      <c r="AA125" s="683"/>
    </row>
    <row r="126" spans="1:27" ht="18.75" customHeight="1">
      <c r="A126" s="3294" t="str">
        <f>IF(项目基本情况!B9="房地产市场价值","",MID(E111,3,LEN(E111)-2))</f>
        <v/>
      </c>
      <c r="B126" s="3294"/>
      <c r="C126" s="3294"/>
      <c r="D126" s="3283" t="str">
        <f>H111</f>
        <v>——</v>
      </c>
      <c r="E126" s="3284"/>
      <c r="F126" s="3284"/>
      <c r="G126" s="3284"/>
      <c r="H126" s="3284"/>
      <c r="I126" s="3285"/>
      <c r="AA126" s="683"/>
    </row>
    <row r="127" spans="1:27" ht="18.75" customHeight="1">
      <c r="A127" s="3282" t="s">
        <v>1452</v>
      </c>
      <c r="B127" s="3282"/>
      <c r="C127" s="3282"/>
      <c r="D127" s="3288" t="e">
        <f>NUMBERSTRING(INT(D126*10000),2)&amp;"元整"</f>
        <v>#VALUE!</v>
      </c>
      <c r="E127" s="3290"/>
      <c r="F127" s="3290"/>
      <c r="G127" s="3290"/>
      <c r="H127" s="3290"/>
      <c r="I127" s="3289"/>
      <c r="AA127" s="683"/>
    </row>
    <row r="128" spans="1:27" ht="21.75" customHeight="1">
      <c r="A128" s="3291" t="s">
        <v>1453</v>
      </c>
      <c r="B128" s="3291"/>
      <c r="C128" s="3291"/>
      <c r="D128" s="3291"/>
      <c r="E128" s="3291"/>
      <c r="F128" s="3291"/>
      <c r="G128" s="3291"/>
      <c r="H128" s="3291"/>
      <c r="I128" s="329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6</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1"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61" t="s">
        <v>1544</v>
      </c>
    </row>
    <row r="43" spans="1:7" ht="13.5" customHeight="1">
      <c r="A43" s="733" t="s">
        <v>347</v>
      </c>
      <c r="B43" s="207" t="s">
        <v>1545</v>
      </c>
      <c r="C43" s="230" t="e">
        <f ca="1">ROUND(IF('数据-取费表'!B22&lt;=1,C39*F22*'数据-取费表'!B21/2,C39*(POWER((1+F22),'数据-取费表'!B21/2)-1)),0)</f>
        <v>#VALUE!</v>
      </c>
      <c r="D43" s="230"/>
      <c r="E43" s="230"/>
      <c r="F43" s="231"/>
      <c r="G43" s="3362"/>
    </row>
    <row r="44" spans="1:7" ht="13.5" customHeight="1">
      <c r="A44" s="733" t="s">
        <v>348</v>
      </c>
      <c r="B44" s="207" t="s">
        <v>1546</v>
      </c>
      <c r="C44" s="230" t="e">
        <f ca="1">ROUND(IF('数据-取费表'!B22&lt;=1,C40*F22*'数据-取费表'!B21/2,C40*(POWER((1+F22),'数据-取费表'!B21/2)-1)),4)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9" t="str">
        <f>项目基本情况!B1</f>
        <v>预评估</v>
      </c>
      <c r="C37" s="3179"/>
      <c r="D37" s="3179"/>
      <c r="E37" s="3179"/>
      <c r="F37" s="3179"/>
      <c r="G37" s="3179"/>
      <c r="H37" s="3179"/>
      <c r="I37" s="317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6</v>
      </c>
      <c r="H1" s="997" t="str">
        <f>IF(ISERROR(FIND("住宅",B1)),"非住宅","住宅")</f>
        <v>非住宅</v>
      </c>
    </row>
    <row r="2" spans="1:8" s="192" customFormat="1" ht="18" customHeight="1">
      <c r="A2" s="193" t="s">
        <v>1462</v>
      </c>
      <c r="B2" s="3122"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61" t="s">
        <v>1591</v>
      </c>
    </row>
    <row r="43" spans="1:7" ht="13.5" customHeight="1">
      <c r="A43" s="733" t="s">
        <v>347</v>
      </c>
      <c r="B43" s="207" t="s">
        <v>1545</v>
      </c>
      <c r="C43" s="230" t="e">
        <f ca="1">ROUND(IF('数据-取费表'!B22&lt;=1,C39*F22*'数据-取费表'!B20/2,C39*(POWER((1+F22),'数据-取费表'!B20/2)-1)),0)</f>
        <v>#VALUE!</v>
      </c>
      <c r="D43" s="230"/>
      <c r="E43" s="230"/>
      <c r="F43" s="231"/>
      <c r="G43" s="3362"/>
    </row>
    <row r="44" spans="1:7" ht="13.5" customHeight="1">
      <c r="A44" s="733" t="s">
        <v>348</v>
      </c>
      <c r="B44" s="207" t="s">
        <v>1546</v>
      </c>
      <c r="C44" s="230" t="e">
        <f ca="1">ROUND(IF('数据-取费表'!B22&lt;=1,C40*F22*'数据-取费表'!B20/2,C40*(POWER((1+F22),'数据-取费表'!B20/2)-1)),4)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6" t="s">
        <v>694</v>
      </c>
      <c r="C6" s="1010">
        <f ca="1">ROUND(F6*F8*F7*(1-F9)/10000,0)</f>
        <v>0</v>
      </c>
      <c r="D6" s="147" t="s">
        <v>2109</v>
      </c>
      <c r="E6" s="294" t="s">
        <v>696</v>
      </c>
      <c r="F6" s="295">
        <f ca="1">INDIRECT("'数据-取费表'!u"&amp;$G$1)</f>
        <v>0</v>
      </c>
      <c r="G6" s="1291"/>
      <c r="H6" s="1005" t="s">
        <v>398</v>
      </c>
      <c r="I6" s="3366" t="s">
        <v>694</v>
      </c>
      <c r="J6" s="293">
        <f ca="1">ROUND(M6*M8*M7*(1-M9)/10000,0)</f>
        <v>0</v>
      </c>
      <c r="K6" s="147" t="s">
        <v>2108</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ROUND(C29*F36,2)</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ROUND(C13*F37,2)</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#VALUE!</v>
      </c>
      <c r="C2" s="1288" t="s">
        <v>879</v>
      </c>
      <c r="D2" s="1374" t="e">
        <f ca="1">C40+J29+L46</f>
        <v>#VALUE!</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66" t="s">
        <v>694</v>
      </c>
      <c r="C6" s="1010">
        <f ca="1">ROUND(F6*F8*F7*(1-F9),0)</f>
        <v>0</v>
      </c>
      <c r="D6" s="147" t="s">
        <v>2106</v>
      </c>
      <c r="E6" s="294" t="s">
        <v>696</v>
      </c>
      <c r="F6" s="295">
        <f ca="1">INDIRECT("'数据-取费表'!u"&amp;$G$1)</f>
        <v>0</v>
      </c>
      <c r="G6" s="1291"/>
      <c r="H6" s="1005" t="s">
        <v>398</v>
      </c>
      <c r="I6" s="3366" t="s">
        <v>694</v>
      </c>
      <c r="J6" s="293">
        <f ca="1">ROUND(M6*M8*M7*(1-M9),0)</f>
        <v>0</v>
      </c>
      <c r="K6" s="1283" t="s">
        <v>2107</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ROUND(C29*F36,0)</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ROUND(C13*F37,0)</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#VALUE!</v>
      </c>
      <c r="D45" s="3130" t="s">
        <v>3351</v>
      </c>
      <c r="E45" s="1306"/>
      <c r="F45" s="1306"/>
      <c r="O45" s="1309" t="s">
        <v>808</v>
      </c>
      <c r="P45" s="1365"/>
      <c r="Q45" s="1365"/>
      <c r="R45" s="1365"/>
    </row>
    <row r="46" spans="1:18" s="1291" customFormat="1" ht="13.5"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3357</v>
      </c>
      <c r="E2" s="3139"/>
      <c r="F2" s="2597"/>
      <c r="G2" s="2598"/>
      <c r="H2" s="2599"/>
      <c r="I2" s="2600"/>
      <c r="J2" s="3369" t="s">
        <v>2317</v>
      </c>
      <c r="K2" s="337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1" t="s">
        <v>2327</v>
      </c>
      <c r="K3" s="337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1" t="s">
        <v>2329</v>
      </c>
      <c r="K4" s="337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3" t="s">
        <v>2333</v>
      </c>
      <c r="B6" s="3374"/>
      <c r="C6" s="3375"/>
      <c r="D6" s="2621"/>
      <c r="E6" s="2622"/>
      <c r="F6" s="2623"/>
      <c r="G6" s="2624"/>
      <c r="H6" s="2599"/>
      <c r="I6" s="2600"/>
      <c r="J6" s="3376">
        <v>1</v>
      </c>
      <c r="K6" s="337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6"/>
      <c r="K7" s="3378"/>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0" t="s">
        <v>2347</v>
      </c>
      <c r="C8" s="3381"/>
      <c r="D8" s="2640" t="s">
        <v>2348</v>
      </c>
      <c r="E8" s="2641" t="s">
        <v>2349</v>
      </c>
      <c r="F8" s="2642" t="s">
        <v>2350</v>
      </c>
      <c r="G8" s="2643"/>
      <c r="H8" s="2599"/>
      <c r="I8" s="2600"/>
      <c r="J8" s="3376"/>
      <c r="K8" s="3378"/>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0" t="s">
        <v>2353</v>
      </c>
      <c r="C9" s="3381"/>
      <c r="D9" s="2640">
        <f>ROUND(D6*E9,0)</f>
        <v>0</v>
      </c>
      <c r="E9" s="2644"/>
      <c r="F9" s="2645" t="s">
        <v>2354</v>
      </c>
      <c r="G9" s="2624"/>
      <c r="H9" s="2599"/>
      <c r="I9" s="2600"/>
      <c r="J9" s="3376"/>
      <c r="K9" s="3378"/>
      <c r="L9" s="2634" t="s">
        <v>2355</v>
      </c>
      <c r="M9" s="2635"/>
      <c r="N9" s="2611"/>
      <c r="O9" s="2636"/>
      <c r="P9" s="2636"/>
      <c r="Q9" s="2637">
        <v>365</v>
      </c>
      <c r="R9" s="2638">
        <f t="shared" si="0"/>
        <v>0</v>
      </c>
      <c r="S9" s="2592"/>
      <c r="T9" s="2592"/>
      <c r="U9" s="2592"/>
      <c r="V9" s="2600"/>
    </row>
    <row r="10" spans="1:22" s="2604" customFormat="1" ht="13.15" customHeight="1">
      <c r="A10" s="2639">
        <v>2</v>
      </c>
      <c r="B10" s="3380" t="s">
        <v>2356</v>
      </c>
      <c r="C10" s="3381"/>
      <c r="D10" s="2640">
        <f>ROUND(D6*E10,0)</f>
        <v>0</v>
      </c>
      <c r="E10" s="2644"/>
      <c r="F10" s="2645" t="s">
        <v>2357</v>
      </c>
      <c r="G10" s="2624"/>
      <c r="H10" s="2599"/>
      <c r="I10" s="2600"/>
      <c r="J10" s="3376"/>
      <c r="K10" s="3378"/>
      <c r="L10" s="2634" t="s">
        <v>2358</v>
      </c>
      <c r="M10" s="2635"/>
      <c r="N10" s="2611"/>
      <c r="O10" s="2636"/>
      <c r="P10" s="2636"/>
      <c r="Q10" s="2637">
        <v>365</v>
      </c>
      <c r="R10" s="2638">
        <f t="shared" si="0"/>
        <v>0</v>
      </c>
      <c r="S10" s="2592"/>
      <c r="T10" s="2592"/>
      <c r="U10" s="2592"/>
      <c r="V10" s="2600"/>
    </row>
    <row r="11" spans="1:22" s="2604" customFormat="1" ht="13.15" customHeight="1">
      <c r="A11" s="2639">
        <v>3</v>
      </c>
      <c r="B11" s="3380" t="s">
        <v>2359</v>
      </c>
      <c r="C11" s="3381"/>
      <c r="D11" s="2640">
        <f>D12+D14+D15+D16</f>
        <v>0</v>
      </c>
      <c r="E11" s="2646" t="e">
        <f>D11/D6</f>
        <v>#DIV/0!</v>
      </c>
      <c r="F11" s="2642"/>
      <c r="G11" s="2643"/>
      <c r="H11" s="2599"/>
      <c r="I11" s="2600"/>
      <c r="J11" s="3376"/>
      <c r="K11" s="3378"/>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2" t="s">
        <v>2362</v>
      </c>
      <c r="C12" s="3383"/>
      <c r="D12" s="2648">
        <f>ROUND(D13*1.2%*(1-30%),0)</f>
        <v>0</v>
      </c>
      <c r="E12" s="2649">
        <v>1.2E-2</v>
      </c>
      <c r="F12" s="2642" t="s">
        <v>2363</v>
      </c>
      <c r="G12" s="2643"/>
      <c r="H12" s="2599"/>
      <c r="I12" s="2600"/>
      <c r="J12" s="3376"/>
      <c r="K12" s="3378"/>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6"/>
      <c r="K13" s="3378"/>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2" t="s">
        <v>2368</v>
      </c>
      <c r="C14" s="3383"/>
      <c r="D14" s="2648">
        <f>ROUND(E14*B5/10000,0)</f>
        <v>0</v>
      </c>
      <c r="E14" s="2637"/>
      <c r="F14" s="2642" t="s">
        <v>2369</v>
      </c>
      <c r="G14" s="2643"/>
      <c r="H14" s="2599"/>
      <c r="I14" s="2600"/>
      <c r="J14" s="3376"/>
      <c r="K14" s="337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2" t="s">
        <v>2372</v>
      </c>
      <c r="C15" s="3383"/>
      <c r="D15" s="2648">
        <f>ROUND(D6*E15,0)</f>
        <v>0</v>
      </c>
      <c r="E15" s="2649">
        <v>5.5E-2</v>
      </c>
      <c r="F15" s="2642" t="s">
        <v>2373</v>
      </c>
      <c r="G15" s="2624"/>
      <c r="H15" s="2599"/>
      <c r="I15" s="2600"/>
      <c r="J15" s="3376">
        <v>2</v>
      </c>
      <c r="K15" s="337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2" t="s">
        <v>2381</v>
      </c>
      <c r="C16" s="3383"/>
      <c r="D16" s="2659">
        <f>D6*E16</f>
        <v>0</v>
      </c>
      <c r="E16" s="2660"/>
      <c r="F16" s="2645" t="s">
        <v>2382</v>
      </c>
      <c r="G16" s="2624"/>
      <c r="H16" s="2599"/>
      <c r="I16" s="2600"/>
      <c r="J16" s="3376"/>
      <c r="K16" s="3378"/>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4" t="s">
        <v>2384</v>
      </c>
      <c r="C17" s="3385"/>
      <c r="D17" s="2662">
        <f>ROUND(D6*E17,0)</f>
        <v>0</v>
      </c>
      <c r="E17" s="2663"/>
      <c r="F17" s="2664" t="s">
        <v>2385</v>
      </c>
      <c r="G17" s="2624"/>
      <c r="H17" s="2599"/>
      <c r="I17" s="2600"/>
      <c r="J17" s="3376"/>
      <c r="K17" s="3378"/>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6"/>
      <c r="K18" s="3378"/>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6"/>
      <c r="K19" s="337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6">
        <v>3</v>
      </c>
      <c r="K20" s="337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6"/>
      <c r="K21" s="3378"/>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6"/>
      <c r="K22" s="3378"/>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6"/>
      <c r="K23" s="3378"/>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6"/>
      <c r="K24" s="337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9" t="s">
        <v>2317</v>
      </c>
      <c r="K32" s="337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1" t="s">
        <v>2327</v>
      </c>
      <c r="K33" s="337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1" t="s">
        <v>2329</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6">
        <v>1</v>
      </c>
      <c r="K36" s="3377"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6"/>
      <c r="K37" s="3378"/>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6"/>
      <c r="K38" s="3378"/>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6"/>
      <c r="K39" s="3378"/>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6"/>
      <c r="K40" s="3379"/>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6">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8" t="s">
        <v>1654</v>
      </c>
      <c r="C5" s="3389"/>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408" t="s">
        <v>1667</v>
      </c>
      <c r="D4" s="3409"/>
      <c r="E4" s="3410" t="s">
        <v>1668</v>
      </c>
      <c r="F4" s="3411"/>
      <c r="G4" s="3408" t="s">
        <v>1669</v>
      </c>
      <c r="H4" s="3409"/>
      <c r="I4" s="3408" t="s">
        <v>1670</v>
      </c>
      <c r="J4" s="3409"/>
      <c r="K4" s="1743" t="s">
        <v>1671</v>
      </c>
      <c r="L4" s="2486"/>
      <c r="M4" s="2487"/>
      <c r="N4" s="2487"/>
      <c r="O4" s="2487"/>
      <c r="P4" s="3412" t="s">
        <v>1672</v>
      </c>
      <c r="Q4" s="3413"/>
      <c r="R4" s="3395" t="s">
        <v>1668</v>
      </c>
      <c r="S4" s="3396"/>
      <c r="T4" s="3395" t="s">
        <v>1669</v>
      </c>
      <c r="U4" s="3396"/>
      <c r="V4" s="3420" t="s">
        <v>1670</v>
      </c>
      <c r="W4" s="3420"/>
      <c r="X4" s="1264"/>
      <c r="Y4" s="3395" t="s">
        <v>1672</v>
      </c>
      <c r="Z4" s="3396"/>
      <c r="AA4" s="3390" t="s">
        <v>1668</v>
      </c>
      <c r="AB4" s="3390" t="s">
        <v>1669</v>
      </c>
      <c r="AC4" s="3390" t="s">
        <v>1670</v>
      </c>
    </row>
    <row r="5" spans="1:29" ht="15">
      <c r="A5" s="348"/>
      <c r="B5" s="349"/>
      <c r="C5" s="3401" t="s">
        <v>1673</v>
      </c>
      <c r="D5" s="3402"/>
      <c r="E5" s="3399" t="s">
        <v>1674</v>
      </c>
      <c r="F5" s="3400"/>
      <c r="G5" s="3401" t="s">
        <v>1675</v>
      </c>
      <c r="H5" s="3402"/>
      <c r="I5" s="3401" t="s">
        <v>1676</v>
      </c>
      <c r="J5" s="3402"/>
      <c r="K5" s="1744"/>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1744"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93" t="s">
        <v>1680</v>
      </c>
      <c r="Q7" s="3421"/>
      <c r="R7" s="663" t="s">
        <v>20</v>
      </c>
      <c r="S7" s="664">
        <f t="shared" ref="S7:S15" si="0">F7</f>
        <v>0</v>
      </c>
      <c r="T7" s="663" t="s">
        <v>20</v>
      </c>
      <c r="U7" s="664">
        <f t="shared" ref="U7:U15" si="1">H7</f>
        <v>0</v>
      </c>
      <c r="V7" s="663" t="s">
        <v>20</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93" t="s">
        <v>1683</v>
      </c>
      <c r="Q8" s="3394"/>
      <c r="R8" s="663" t="s">
        <v>20</v>
      </c>
      <c r="S8" s="664">
        <f t="shared" si="0"/>
        <v>100</v>
      </c>
      <c r="T8" s="663" t="s">
        <v>20</v>
      </c>
      <c r="U8" s="664">
        <f t="shared" si="1"/>
        <v>100</v>
      </c>
      <c r="V8" s="663" t="s">
        <v>20</v>
      </c>
      <c r="W8" s="664">
        <f t="shared" si="2"/>
        <v>100</v>
      </c>
      <c r="X8" s="665"/>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7"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7"/>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7"/>
      <c r="Q11" s="530" t="str">
        <f t="shared" si="6"/>
        <v>容积率</v>
      </c>
      <c r="R11" s="663" t="s">
        <v>18</v>
      </c>
      <c r="S11" s="664" t="e">
        <f t="shared" si="0"/>
        <v>#N/A</v>
      </c>
      <c r="T11" s="663" t="s">
        <v>18</v>
      </c>
      <c r="U11" s="664" t="e">
        <f t="shared" si="1"/>
        <v>#N/A</v>
      </c>
      <c r="V11" s="663" t="s">
        <v>18</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7"/>
      <c r="Q12" s="530">
        <f t="shared" si="6"/>
        <v>111</v>
      </c>
      <c r="R12" s="663" t="s">
        <v>18</v>
      </c>
      <c r="S12" s="664">
        <f t="shared" si="0"/>
        <v>100</v>
      </c>
      <c r="T12" s="663" t="s">
        <v>18</v>
      </c>
      <c r="U12" s="664">
        <f t="shared" si="1"/>
        <v>100</v>
      </c>
      <c r="V12" s="663" t="s">
        <v>18</v>
      </c>
      <c r="W12" s="664">
        <f t="shared" si="2"/>
        <v>100</v>
      </c>
      <c r="X12" s="665"/>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7"/>
      <c r="Q13" s="530">
        <f t="shared" si="6"/>
        <v>111</v>
      </c>
      <c r="R13" s="663" t="s">
        <v>18</v>
      </c>
      <c r="S13" s="664">
        <f t="shared" si="0"/>
        <v>100</v>
      </c>
      <c r="T13" s="663" t="s">
        <v>18</v>
      </c>
      <c r="U13" s="664">
        <f t="shared" si="1"/>
        <v>100</v>
      </c>
      <c r="V13" s="663" t="s">
        <v>18</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7"/>
      <c r="Q14" s="530">
        <f t="shared" si="6"/>
        <v>111</v>
      </c>
      <c r="R14" s="663" t="s">
        <v>18</v>
      </c>
      <c r="S14" s="664">
        <f t="shared" si="0"/>
        <v>100</v>
      </c>
      <c r="T14" s="663" t="s">
        <v>18</v>
      </c>
      <c r="U14" s="664">
        <f t="shared" si="1"/>
        <v>100</v>
      </c>
      <c r="V14" s="663" t="s">
        <v>18</v>
      </c>
      <c r="W14" s="664">
        <f t="shared" si="2"/>
        <v>100</v>
      </c>
      <c r="X14" s="665"/>
      <c r="Y14" s="3337"/>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3" t="s">
        <v>1691</v>
      </c>
      <c r="Q15" s="1262" t="str">
        <f t="shared" si="6"/>
        <v>居住社区成熟度</v>
      </c>
      <c r="R15" s="666" t="s">
        <v>18</v>
      </c>
      <c r="S15" s="667">
        <f t="shared" si="0"/>
        <v>100</v>
      </c>
      <c r="T15" s="666" t="s">
        <v>18</v>
      </c>
      <c r="U15" s="667">
        <f t="shared" si="1"/>
        <v>100</v>
      </c>
      <c r="V15" s="666" t="s">
        <v>18</v>
      </c>
      <c r="W15" s="667">
        <f t="shared" si="2"/>
        <v>100</v>
      </c>
      <c r="X15" s="1264"/>
      <c r="Y15" s="342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34"/>
      <c r="Q16" s="1262"/>
      <c r="R16" s="666"/>
      <c r="S16" s="667"/>
      <c r="T16" s="666"/>
      <c r="U16" s="667"/>
      <c r="V16" s="666"/>
      <c r="W16" s="667"/>
      <c r="X16" s="1264"/>
      <c r="Y16" s="3427"/>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4"/>
      <c r="Q17" s="1262" t="str">
        <f>B17</f>
        <v>交通便捷度</v>
      </c>
      <c r="R17" s="666" t="s">
        <v>18</v>
      </c>
      <c r="S17" s="667">
        <f>F17</f>
        <v>100</v>
      </c>
      <c r="T17" s="666" t="s">
        <v>18</v>
      </c>
      <c r="U17" s="667">
        <f>H17</f>
        <v>100</v>
      </c>
      <c r="V17" s="666" t="s">
        <v>18</v>
      </c>
      <c r="W17" s="667">
        <f>J17</f>
        <v>100</v>
      </c>
      <c r="X17" s="1264"/>
      <c r="Y17" s="342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34"/>
      <c r="Q18" s="1262"/>
      <c r="R18" s="666"/>
      <c r="S18" s="667"/>
      <c r="T18" s="666"/>
      <c r="U18" s="667"/>
      <c r="V18" s="666"/>
      <c r="W18" s="667"/>
      <c r="X18" s="1264"/>
      <c r="Y18" s="3427"/>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4"/>
      <c r="Q19" s="1262" t="str">
        <f>B19</f>
        <v>公共配套设施</v>
      </c>
      <c r="R19" s="666" t="s">
        <v>18</v>
      </c>
      <c r="S19" s="667">
        <f>F19</f>
        <v>100</v>
      </c>
      <c r="T19" s="666" t="s">
        <v>18</v>
      </c>
      <c r="U19" s="667">
        <f>H19</f>
        <v>100</v>
      </c>
      <c r="V19" s="666" t="s">
        <v>18</v>
      </c>
      <c r="W19" s="667">
        <f>J19</f>
        <v>100</v>
      </c>
      <c r="X19" s="1264"/>
      <c r="Y19" s="342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34"/>
      <c r="Q20" s="1262"/>
      <c r="R20" s="666"/>
      <c r="S20" s="667"/>
      <c r="T20" s="666"/>
      <c r="U20" s="667"/>
      <c r="V20" s="666"/>
      <c r="W20" s="667"/>
      <c r="X20" s="1264"/>
      <c r="Y20" s="3427"/>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34"/>
      <c r="Q22" s="1262"/>
      <c r="R22" s="666"/>
      <c r="S22" s="667"/>
      <c r="T22" s="666"/>
      <c r="U22" s="667"/>
      <c r="V22" s="666"/>
      <c r="W22" s="667"/>
      <c r="X22" s="1264"/>
      <c r="Y22" s="342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4"/>
      <c r="Q23" s="1262" t="str">
        <f>B23</f>
        <v>自然及人文环境</v>
      </c>
      <c r="R23" s="666" t="s">
        <v>18</v>
      </c>
      <c r="S23" s="667">
        <f>F23</f>
        <v>100</v>
      </c>
      <c r="T23" s="666" t="s">
        <v>18</v>
      </c>
      <c r="U23" s="667">
        <f>H23</f>
        <v>100</v>
      </c>
      <c r="V23" s="666" t="s">
        <v>18</v>
      </c>
      <c r="W23" s="667">
        <f>J23</f>
        <v>100</v>
      </c>
      <c r="X23" s="1264"/>
      <c r="Y23" s="342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34"/>
      <c r="Q24" s="1262"/>
      <c r="R24" s="666"/>
      <c r="S24" s="667"/>
      <c r="T24" s="666"/>
      <c r="U24" s="667"/>
      <c r="V24" s="666"/>
      <c r="W24" s="667"/>
      <c r="X24" s="1264"/>
      <c r="Y24" s="342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34"/>
      <c r="Q26" s="1262" t="str">
        <f t="shared" si="11"/>
        <v>朝向</v>
      </c>
      <c r="R26" s="666" t="s">
        <v>18</v>
      </c>
      <c r="S26" s="667">
        <f t="shared" si="12"/>
        <v>100</v>
      </c>
      <c r="T26" s="666" t="s">
        <v>18</v>
      </c>
      <c r="U26" s="667">
        <f t="shared" si="13"/>
        <v>100</v>
      </c>
      <c r="V26" s="666" t="s">
        <v>18</v>
      </c>
      <c r="W26" s="667">
        <f t="shared" si="14"/>
        <v>100</v>
      </c>
      <c r="X26" s="1264"/>
      <c r="Y26" s="342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34"/>
      <c r="Q27" s="530">
        <f t="shared" si="11"/>
        <v>111</v>
      </c>
      <c r="R27" s="663" t="s">
        <v>18</v>
      </c>
      <c r="S27" s="664">
        <f t="shared" si="12"/>
        <v>100</v>
      </c>
      <c r="T27" s="663" t="s">
        <v>18</v>
      </c>
      <c r="U27" s="664">
        <f t="shared" si="13"/>
        <v>100</v>
      </c>
      <c r="V27" s="663" t="s">
        <v>18</v>
      </c>
      <c r="W27" s="664">
        <f t="shared" si="14"/>
        <v>100</v>
      </c>
      <c r="X27" s="665"/>
      <c r="Y27" s="342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4"/>
      <c r="Q28" s="1262">
        <f t="shared" si="11"/>
        <v>111</v>
      </c>
      <c r="R28" s="666" t="s">
        <v>18</v>
      </c>
      <c r="S28" s="667">
        <f t="shared" si="12"/>
        <v>100</v>
      </c>
      <c r="T28" s="666" t="s">
        <v>18</v>
      </c>
      <c r="U28" s="667">
        <f t="shared" si="13"/>
        <v>100</v>
      </c>
      <c r="V28" s="666" t="s">
        <v>18</v>
      </c>
      <c r="W28" s="667">
        <f t="shared" si="14"/>
        <v>100</v>
      </c>
      <c r="X28" s="1264"/>
      <c r="Y28" s="342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4"/>
      <c r="Q29" s="1262">
        <f t="shared" si="11"/>
        <v>111</v>
      </c>
      <c r="R29" s="666" t="s">
        <v>18</v>
      </c>
      <c r="S29" s="667">
        <f t="shared" si="12"/>
        <v>100</v>
      </c>
      <c r="T29" s="666" t="s">
        <v>18</v>
      </c>
      <c r="U29" s="667">
        <f t="shared" si="13"/>
        <v>100</v>
      </c>
      <c r="V29" s="666" t="s">
        <v>18</v>
      </c>
      <c r="W29" s="667">
        <f t="shared" si="14"/>
        <v>100</v>
      </c>
      <c r="X29" s="1264"/>
      <c r="Y29" s="342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4"/>
      <c r="Q30" s="1262">
        <f t="shared" si="11"/>
        <v>111</v>
      </c>
      <c r="R30" s="666" t="s">
        <v>18</v>
      </c>
      <c r="S30" s="667">
        <f t="shared" si="12"/>
        <v>100</v>
      </c>
      <c r="T30" s="666" t="s">
        <v>18</v>
      </c>
      <c r="U30" s="667">
        <f t="shared" si="13"/>
        <v>100</v>
      </c>
      <c r="V30" s="666" t="s">
        <v>18</v>
      </c>
      <c r="W30" s="667">
        <f t="shared" si="14"/>
        <v>100</v>
      </c>
      <c r="X30" s="1264"/>
      <c r="Y30" s="342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4"/>
      <c r="Q31" s="1262">
        <f t="shared" si="11"/>
        <v>111</v>
      </c>
      <c r="R31" s="666" t="s">
        <v>18</v>
      </c>
      <c r="S31" s="667">
        <f t="shared" si="12"/>
        <v>100</v>
      </c>
      <c r="T31" s="666" t="s">
        <v>18</v>
      </c>
      <c r="U31" s="667">
        <f t="shared" si="13"/>
        <v>100</v>
      </c>
      <c r="V31" s="666" t="s">
        <v>18</v>
      </c>
      <c r="W31" s="667">
        <f t="shared" si="14"/>
        <v>100</v>
      </c>
      <c r="X31" s="1264"/>
      <c r="Y31" s="342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8" t="s">
        <v>1696</v>
      </c>
      <c r="Q32" s="1262" t="str">
        <f t="shared" si="11"/>
        <v>建筑类型</v>
      </c>
      <c r="R32" s="666" t="s">
        <v>18</v>
      </c>
      <c r="S32" s="667">
        <f t="shared" si="12"/>
        <v>100</v>
      </c>
      <c r="T32" s="666" t="s">
        <v>18</v>
      </c>
      <c r="U32" s="667">
        <f t="shared" si="13"/>
        <v>100</v>
      </c>
      <c r="V32" s="666" t="s">
        <v>18</v>
      </c>
      <c r="W32" s="667">
        <f t="shared" si="14"/>
        <v>100</v>
      </c>
      <c r="X32" s="1264"/>
      <c r="Y32" s="343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9"/>
      <c r="Q33" s="531" t="str">
        <f t="shared" si="11"/>
        <v>项目建筑规模</v>
      </c>
      <c r="R33" s="668" t="s">
        <v>18</v>
      </c>
      <c r="S33" s="669" t="e">
        <f t="shared" si="12"/>
        <v>#N/A</v>
      </c>
      <c r="T33" s="668" t="s">
        <v>18</v>
      </c>
      <c r="U33" s="669" t="e">
        <f t="shared" si="13"/>
        <v>#N/A</v>
      </c>
      <c r="V33" s="668" t="s">
        <v>18</v>
      </c>
      <c r="W33" s="669" t="e">
        <f t="shared" si="14"/>
        <v>#N/A</v>
      </c>
      <c r="X33" s="670"/>
      <c r="Y33" s="343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9"/>
      <c r="Q34" s="1262" t="str">
        <f t="shared" si="11"/>
        <v>建筑结构</v>
      </c>
      <c r="R34" s="666" t="s">
        <v>18</v>
      </c>
      <c r="S34" s="667">
        <f t="shared" si="12"/>
        <v>100</v>
      </c>
      <c r="T34" s="666" t="s">
        <v>18</v>
      </c>
      <c r="U34" s="667">
        <f t="shared" si="13"/>
        <v>100</v>
      </c>
      <c r="V34" s="666" t="s">
        <v>18</v>
      </c>
      <c r="W34" s="667">
        <f t="shared" si="14"/>
        <v>100</v>
      </c>
      <c r="X34" s="1264"/>
      <c r="Y34" s="343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9"/>
      <c r="Q35" s="1262" t="str">
        <f t="shared" si="11"/>
        <v>建筑品质</v>
      </c>
      <c r="R35" s="666" t="s">
        <v>18</v>
      </c>
      <c r="S35" s="667">
        <f t="shared" si="12"/>
        <v>100</v>
      </c>
      <c r="T35" s="666" t="s">
        <v>18</v>
      </c>
      <c r="U35" s="667">
        <f t="shared" si="13"/>
        <v>100</v>
      </c>
      <c r="V35" s="666" t="s">
        <v>18</v>
      </c>
      <c r="W35" s="667">
        <f t="shared" si="14"/>
        <v>100</v>
      </c>
      <c r="X35" s="1264"/>
      <c r="Y35" s="343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9"/>
      <c r="Q36" s="1262" t="str">
        <f t="shared" si="11"/>
        <v>公共部分装修</v>
      </c>
      <c r="R36" s="666" t="s">
        <v>18</v>
      </c>
      <c r="S36" s="667">
        <f t="shared" si="12"/>
        <v>100</v>
      </c>
      <c r="T36" s="666" t="s">
        <v>18</v>
      </c>
      <c r="U36" s="667">
        <f t="shared" si="13"/>
        <v>100</v>
      </c>
      <c r="V36" s="666" t="s">
        <v>18</v>
      </c>
      <c r="W36" s="667">
        <f t="shared" si="14"/>
        <v>100</v>
      </c>
      <c r="X36" s="1264"/>
      <c r="Y36" s="343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9"/>
      <c r="Q37" s="530" t="str">
        <f t="shared" si="11"/>
        <v>成新度</v>
      </c>
      <c r="R37" s="663" t="s">
        <v>18</v>
      </c>
      <c r="S37" s="664" t="e">
        <f t="shared" si="12"/>
        <v>#N/A</v>
      </c>
      <c r="T37" s="663" t="s">
        <v>18</v>
      </c>
      <c r="U37" s="664" t="e">
        <f t="shared" si="13"/>
        <v>#N/A</v>
      </c>
      <c r="V37" s="663" t="s">
        <v>18</v>
      </c>
      <c r="W37" s="664" t="e">
        <f t="shared" si="14"/>
        <v>#N/A</v>
      </c>
      <c r="X37" s="665"/>
      <c r="Y37" s="343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9" t="s">
        <v>1696</v>
      </c>
      <c r="Q38" s="1262" t="str">
        <f t="shared" si="11"/>
        <v>物业管理</v>
      </c>
      <c r="R38" s="666" t="s">
        <v>18</v>
      </c>
      <c r="S38" s="667">
        <f t="shared" si="12"/>
        <v>100</v>
      </c>
      <c r="T38" s="666" t="s">
        <v>18</v>
      </c>
      <c r="U38" s="667">
        <f t="shared" si="13"/>
        <v>100</v>
      </c>
      <c r="V38" s="666" t="s">
        <v>18</v>
      </c>
      <c r="W38" s="667">
        <f t="shared" si="14"/>
        <v>100</v>
      </c>
      <c r="X38" s="1264"/>
      <c r="Y38" s="343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9"/>
      <c r="Q39" s="1262" t="str">
        <f t="shared" si="11"/>
        <v>市政基础设施</v>
      </c>
      <c r="R39" s="666" t="s">
        <v>18</v>
      </c>
      <c r="S39" s="667">
        <f t="shared" si="12"/>
        <v>100</v>
      </c>
      <c r="T39" s="666" t="s">
        <v>18</v>
      </c>
      <c r="U39" s="667">
        <f t="shared" si="13"/>
        <v>100</v>
      </c>
      <c r="V39" s="666" t="s">
        <v>18</v>
      </c>
      <c r="W39" s="667">
        <f t="shared" si="14"/>
        <v>100</v>
      </c>
      <c r="X39" s="1264"/>
      <c r="Y39" s="343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9"/>
      <c r="Q40" s="1262" t="str">
        <f t="shared" si="11"/>
        <v>房型</v>
      </c>
      <c r="R40" s="666" t="s">
        <v>18</v>
      </c>
      <c r="S40" s="667">
        <f t="shared" si="12"/>
        <v>100</v>
      </c>
      <c r="T40" s="666" t="s">
        <v>18</v>
      </c>
      <c r="U40" s="667">
        <f t="shared" si="13"/>
        <v>100</v>
      </c>
      <c r="V40" s="666" t="s">
        <v>18</v>
      </c>
      <c r="W40" s="667">
        <f t="shared" si="14"/>
        <v>100</v>
      </c>
      <c r="X40" s="1264"/>
      <c r="Y40" s="343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9"/>
      <c r="Q41" s="531" t="str">
        <f t="shared" si="11"/>
        <v>单套/主力户型建筑面积</v>
      </c>
      <c r="R41" s="668" t="s">
        <v>18</v>
      </c>
      <c r="S41" s="669">
        <f t="shared" si="12"/>
        <v>100</v>
      </c>
      <c r="T41" s="668" t="s">
        <v>18</v>
      </c>
      <c r="U41" s="669">
        <f t="shared" si="13"/>
        <v>100</v>
      </c>
      <c r="V41" s="668" t="s">
        <v>18</v>
      </c>
      <c r="W41" s="669">
        <f t="shared" si="14"/>
        <v>100</v>
      </c>
      <c r="X41" s="670"/>
      <c r="Y41" s="343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9"/>
      <c r="Q42" s="1262" t="str">
        <f t="shared" si="11"/>
        <v>内部装修</v>
      </c>
      <c r="R42" s="666" t="s">
        <v>18</v>
      </c>
      <c r="S42" s="667">
        <f t="shared" si="12"/>
        <v>100</v>
      </c>
      <c r="T42" s="666" t="s">
        <v>18</v>
      </c>
      <c r="U42" s="667">
        <f t="shared" si="13"/>
        <v>100</v>
      </c>
      <c r="V42" s="666" t="s">
        <v>18</v>
      </c>
      <c r="W42" s="667">
        <f t="shared" si="14"/>
        <v>100</v>
      </c>
      <c r="X42" s="1264"/>
      <c r="Y42" s="343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9"/>
      <c r="Q43" s="1262" t="str">
        <f t="shared" si="11"/>
        <v>内部装修维护情况</v>
      </c>
      <c r="R43" s="666" t="s">
        <v>18</v>
      </c>
      <c r="S43" s="667">
        <f t="shared" si="12"/>
        <v>100</v>
      </c>
      <c r="T43" s="666" t="s">
        <v>18</v>
      </c>
      <c r="U43" s="667">
        <f t="shared" si="13"/>
        <v>100</v>
      </c>
      <c r="V43" s="666" t="s">
        <v>18</v>
      </c>
      <c r="W43" s="667">
        <f t="shared" si="14"/>
        <v>100</v>
      </c>
      <c r="X43" s="1264"/>
      <c r="Y43" s="343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9"/>
      <c r="Q44" s="530">
        <f t="shared" si="11"/>
        <v>111</v>
      </c>
      <c r="R44" s="663" t="s">
        <v>18</v>
      </c>
      <c r="S44" s="664">
        <f t="shared" si="12"/>
        <v>100</v>
      </c>
      <c r="T44" s="663" t="s">
        <v>18</v>
      </c>
      <c r="U44" s="664">
        <f t="shared" si="13"/>
        <v>100</v>
      </c>
      <c r="V44" s="663" t="s">
        <v>18</v>
      </c>
      <c r="W44" s="664">
        <f t="shared" si="14"/>
        <v>100</v>
      </c>
      <c r="X44" s="665"/>
      <c r="Y44" s="343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9"/>
      <c r="Q45" s="1262">
        <f t="shared" si="11"/>
        <v>111</v>
      </c>
      <c r="R45" s="666" t="s">
        <v>18</v>
      </c>
      <c r="S45" s="667">
        <f t="shared" si="12"/>
        <v>100</v>
      </c>
      <c r="T45" s="666" t="s">
        <v>18</v>
      </c>
      <c r="U45" s="667">
        <f t="shared" si="13"/>
        <v>100</v>
      </c>
      <c r="V45" s="666" t="s">
        <v>18</v>
      </c>
      <c r="W45" s="667">
        <f t="shared" si="14"/>
        <v>100</v>
      </c>
      <c r="X45" s="1264"/>
      <c r="Y45" s="343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0"/>
      <c r="Q46" s="1262">
        <f t="shared" si="11"/>
        <v>111</v>
      </c>
      <c r="R46" s="666" t="s">
        <v>17</v>
      </c>
      <c r="S46" s="667">
        <f t="shared" si="12"/>
        <v>100</v>
      </c>
      <c r="T46" s="666" t="s">
        <v>17</v>
      </c>
      <c r="U46" s="667">
        <f t="shared" si="13"/>
        <v>100</v>
      </c>
      <c r="V46" s="666" t="s">
        <v>17</v>
      </c>
      <c r="W46" s="667">
        <f t="shared" si="14"/>
        <v>100</v>
      </c>
      <c r="X46" s="1264"/>
      <c r="Y46" s="343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25" t="str">
        <f>A47</f>
        <v>成交单价（元/平方米）</v>
      </c>
      <c r="Q47" s="3425"/>
      <c r="R47" s="3420">
        <f>E47</f>
        <v>0</v>
      </c>
      <c r="S47" s="3420"/>
      <c r="T47" s="3420">
        <f>G47</f>
        <v>0</v>
      </c>
      <c r="U47" s="3420"/>
      <c r="V47" s="3420">
        <f>I47</f>
        <v>0</v>
      </c>
      <c r="W47" s="3420"/>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2026-3</v>
      </c>
      <c r="D58" s="1103">
        <f>EDATE(C58,-1)</f>
        <v>46054</v>
      </c>
      <c r="E58" s="1103">
        <f>EDATE(D58,-1)</f>
        <v>46023</v>
      </c>
      <c r="F58" s="1103">
        <f t="shared" ref="F58:O58" si="19">EDATE(E58,-1)</f>
        <v>45992</v>
      </c>
      <c r="G58" s="1103">
        <f t="shared" si="19"/>
        <v>45962</v>
      </c>
      <c r="H58" s="1103">
        <f t="shared" si="19"/>
        <v>45931</v>
      </c>
      <c r="I58" s="1103">
        <f t="shared" si="19"/>
        <v>45901</v>
      </c>
      <c r="J58" s="1103">
        <f t="shared" si="19"/>
        <v>45870</v>
      </c>
      <c r="K58" s="1103">
        <f t="shared" si="19"/>
        <v>45839</v>
      </c>
      <c r="L58" s="1103">
        <f t="shared" si="19"/>
        <v>45809</v>
      </c>
      <c r="M58" s="1103">
        <f t="shared" si="19"/>
        <v>45778</v>
      </c>
      <c r="N58" s="1103">
        <f t="shared" si="19"/>
        <v>45748</v>
      </c>
      <c r="O58" s="1103">
        <f t="shared" si="19"/>
        <v>45717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t="e">
        <f>IF(C2="——",C49,ROUND(B2*10000/D3,0))</f>
        <v>#DIV/0!</v>
      </c>
      <c r="C3" s="344" t="s">
        <v>1768</v>
      </c>
      <c r="D3" s="343">
        <f>IF(D1="",'数据-汇总表'!E3,SUMIF('数据-汇总表'!$C19:$C33,D1,'数据-汇总表'!$E19:$E33))</f>
        <v>0</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420"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420"/>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420"/>
      <c r="AC6" s="3392"/>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7"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7"/>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7"/>
      <c r="Q11" s="530" t="str">
        <f t="shared" si="6"/>
        <v>容积率</v>
      </c>
      <c r="R11" s="663" t="s">
        <v>14</v>
      </c>
      <c r="S11" s="664" t="e">
        <f t="shared" si="0"/>
        <v>#N/A</v>
      </c>
      <c r="T11" s="663" t="s">
        <v>14</v>
      </c>
      <c r="U11" s="664" t="e">
        <f t="shared" si="1"/>
        <v>#N/A</v>
      </c>
      <c r="V11" s="663" t="s">
        <v>14</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7"/>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7"/>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7"/>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3" t="s">
        <v>1691</v>
      </c>
      <c r="Q15" s="1262" t="str">
        <f t="shared" si="6"/>
        <v>商业繁华度</v>
      </c>
      <c r="R15" s="666" t="s">
        <v>14</v>
      </c>
      <c r="S15" s="667">
        <f t="shared" si="0"/>
        <v>100</v>
      </c>
      <c r="T15" s="666" t="s">
        <v>14</v>
      </c>
      <c r="U15" s="667">
        <f t="shared" si="1"/>
        <v>100</v>
      </c>
      <c r="V15" s="666" t="s">
        <v>14</v>
      </c>
      <c r="W15" s="667">
        <f t="shared" si="2"/>
        <v>100</v>
      </c>
      <c r="X15" s="1264"/>
      <c r="Y15" s="342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34"/>
      <c r="Q16" s="1262"/>
      <c r="R16" s="666"/>
      <c r="S16" s="667"/>
      <c r="T16" s="666"/>
      <c r="U16" s="667"/>
      <c r="V16" s="666"/>
      <c r="W16" s="667"/>
      <c r="X16" s="1264"/>
      <c r="Y16" s="342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4"/>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34"/>
      <c r="Q18" s="1262"/>
      <c r="R18" s="666"/>
      <c r="S18" s="667"/>
      <c r="T18" s="666"/>
      <c r="U18" s="667"/>
      <c r="V18" s="666"/>
      <c r="W18" s="667"/>
      <c r="X18" s="1264"/>
      <c r="Y18" s="342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4"/>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34"/>
      <c r="Q20" s="1262"/>
      <c r="R20" s="666"/>
      <c r="S20" s="667"/>
      <c r="T20" s="666"/>
      <c r="U20" s="667"/>
      <c r="V20" s="666"/>
      <c r="W20" s="667"/>
      <c r="X20" s="1264"/>
      <c r="Y20" s="3427"/>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2492"/>
      <c r="M22" s="2487"/>
      <c r="N22" s="2487"/>
      <c r="O22" s="2487"/>
      <c r="P22" s="3434"/>
      <c r="Q22" s="1262"/>
      <c r="R22" s="666"/>
      <c r="S22" s="667"/>
      <c r="T22" s="666"/>
      <c r="U22" s="667"/>
      <c r="V22" s="666"/>
      <c r="W22" s="667"/>
      <c r="X22" s="1264"/>
      <c r="Y22" s="342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4"/>
      <c r="Q23" s="1262" t="str">
        <f>B23</f>
        <v>自然及人文环境</v>
      </c>
      <c r="R23" s="666" t="s">
        <v>14</v>
      </c>
      <c r="S23" s="667">
        <f>F23</f>
        <v>100</v>
      </c>
      <c r="T23" s="666" t="s">
        <v>14</v>
      </c>
      <c r="U23" s="667">
        <f>H23</f>
        <v>100</v>
      </c>
      <c r="V23" s="666" t="s">
        <v>14</v>
      </c>
      <c r="W23" s="667">
        <f>J23</f>
        <v>100</v>
      </c>
      <c r="X23" s="1264"/>
      <c r="Y23" s="342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34"/>
      <c r="Q24" s="1262"/>
      <c r="R24" s="666"/>
      <c r="S24" s="667"/>
      <c r="T24" s="666"/>
      <c r="U24" s="667"/>
      <c r="V24" s="666"/>
      <c r="W24" s="667"/>
      <c r="X24" s="1264"/>
      <c r="Y24" s="342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4"/>
      <c r="Q25" s="1262" t="str">
        <f t="shared" ref="Q25:Q46" si="11">B25</f>
        <v>临街状况</v>
      </c>
      <c r="R25" s="666" t="s">
        <v>14</v>
      </c>
      <c r="S25" s="667">
        <f>F25</f>
        <v>100</v>
      </c>
      <c r="T25" s="666" t="s">
        <v>14</v>
      </c>
      <c r="U25" s="667">
        <f>H25</f>
        <v>100</v>
      </c>
      <c r="V25" s="666" t="s">
        <v>14</v>
      </c>
      <c r="W25" s="667">
        <f>J25</f>
        <v>100</v>
      </c>
      <c r="X25" s="1264"/>
      <c r="Y25" s="342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4"/>
      <c r="Q26" s="1262" t="str">
        <f t="shared" si="11"/>
        <v>平面位置/可视性</v>
      </c>
      <c r="R26" s="666" t="s">
        <v>14</v>
      </c>
      <c r="S26" s="667">
        <f>F26</f>
        <v>100</v>
      </c>
      <c r="T26" s="666" t="s">
        <v>14</v>
      </c>
      <c r="U26" s="667">
        <f>H26</f>
        <v>100</v>
      </c>
      <c r="V26" s="666" t="s">
        <v>14</v>
      </c>
      <c r="W26" s="667">
        <f>J26</f>
        <v>100</v>
      </c>
      <c r="X26" s="1264"/>
      <c r="Y26" s="342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4"/>
      <c r="Q27" s="530" t="str">
        <f t="shared" si="11"/>
        <v>人流量</v>
      </c>
      <c r="R27" s="663" t="s">
        <v>14</v>
      </c>
      <c r="S27" s="664">
        <f>F27</f>
        <v>100</v>
      </c>
      <c r="T27" s="663" t="s">
        <v>14</v>
      </c>
      <c r="U27" s="664">
        <f>H27</f>
        <v>100</v>
      </c>
      <c r="V27" s="663" t="s">
        <v>14</v>
      </c>
      <c r="W27" s="664">
        <f>J27</f>
        <v>100</v>
      </c>
      <c r="X27" s="665"/>
      <c r="Y27" s="342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4"/>
      <c r="Q29" s="1262">
        <f t="shared" si="11"/>
        <v>111</v>
      </c>
      <c r="R29" s="666" t="s">
        <v>14</v>
      </c>
      <c r="S29" s="667">
        <f t="shared" si="12"/>
        <v>100</v>
      </c>
      <c r="T29" s="666" t="s">
        <v>14</v>
      </c>
      <c r="U29" s="667">
        <f t="shared" si="13"/>
        <v>100</v>
      </c>
      <c r="V29" s="666" t="s">
        <v>14</v>
      </c>
      <c r="W29" s="667">
        <f t="shared" si="14"/>
        <v>100</v>
      </c>
      <c r="X29" s="1264"/>
      <c r="Y29" s="342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4"/>
      <c r="Q30" s="1262">
        <f t="shared" si="11"/>
        <v>111</v>
      </c>
      <c r="R30" s="666" t="s">
        <v>14</v>
      </c>
      <c r="S30" s="667">
        <f t="shared" si="12"/>
        <v>100</v>
      </c>
      <c r="T30" s="666" t="s">
        <v>14</v>
      </c>
      <c r="U30" s="667">
        <f t="shared" si="13"/>
        <v>100</v>
      </c>
      <c r="V30" s="666" t="s">
        <v>14</v>
      </c>
      <c r="W30" s="667">
        <f t="shared" si="14"/>
        <v>100</v>
      </c>
      <c r="X30" s="1264"/>
      <c r="Y30" s="342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4"/>
      <c r="Q31" s="1262">
        <f t="shared" si="11"/>
        <v>111</v>
      </c>
      <c r="R31" s="666" t="s">
        <v>14</v>
      </c>
      <c r="S31" s="667">
        <f t="shared" si="12"/>
        <v>100</v>
      </c>
      <c r="T31" s="666" t="s">
        <v>14</v>
      </c>
      <c r="U31" s="667">
        <f t="shared" si="13"/>
        <v>100</v>
      </c>
      <c r="V31" s="666" t="s">
        <v>14</v>
      </c>
      <c r="W31" s="667">
        <f t="shared" si="14"/>
        <v>100</v>
      </c>
      <c r="X31" s="1264"/>
      <c r="Y31" s="342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8" t="s">
        <v>1696</v>
      </c>
      <c r="Q32" s="1262" t="str">
        <f t="shared" si="11"/>
        <v>商业类型</v>
      </c>
      <c r="R32" s="666" t="s">
        <v>14</v>
      </c>
      <c r="S32" s="667">
        <f t="shared" si="12"/>
        <v>100</v>
      </c>
      <c r="T32" s="666" t="s">
        <v>14</v>
      </c>
      <c r="U32" s="667">
        <f t="shared" si="13"/>
        <v>100</v>
      </c>
      <c r="V32" s="666" t="s">
        <v>14</v>
      </c>
      <c r="W32" s="667">
        <f t="shared" si="14"/>
        <v>100</v>
      </c>
      <c r="X32" s="1264"/>
      <c r="Y32" s="343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9"/>
      <c r="Q33" s="531" t="str">
        <f t="shared" si="11"/>
        <v>项目建筑规模</v>
      </c>
      <c r="R33" s="668" t="s">
        <v>14</v>
      </c>
      <c r="S33" s="669" t="e">
        <f t="shared" si="12"/>
        <v>#N/A</v>
      </c>
      <c r="T33" s="668" t="s">
        <v>14</v>
      </c>
      <c r="U33" s="669" t="e">
        <f t="shared" si="13"/>
        <v>#N/A</v>
      </c>
      <c r="V33" s="668" t="s">
        <v>14</v>
      </c>
      <c r="W33" s="669" t="e">
        <f t="shared" si="14"/>
        <v>#N/A</v>
      </c>
      <c r="X33" s="670"/>
      <c r="Y33" s="3431"/>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9"/>
      <c r="Q34" s="1262" t="str">
        <f t="shared" si="11"/>
        <v>建筑结构</v>
      </c>
      <c r="R34" s="666" t="s">
        <v>14</v>
      </c>
      <c r="S34" s="667">
        <f t="shared" si="12"/>
        <v>100</v>
      </c>
      <c r="T34" s="666" t="s">
        <v>14</v>
      </c>
      <c r="U34" s="667">
        <f t="shared" si="13"/>
        <v>100</v>
      </c>
      <c r="V34" s="666" t="s">
        <v>14</v>
      </c>
      <c r="W34" s="667">
        <f t="shared" si="14"/>
        <v>100</v>
      </c>
      <c r="X34" s="1264"/>
      <c r="Y34" s="343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9"/>
      <c r="Q35" s="1262" t="str">
        <f t="shared" si="11"/>
        <v>公共部分装修</v>
      </c>
      <c r="R35" s="666" t="s">
        <v>14</v>
      </c>
      <c r="S35" s="667">
        <f t="shared" si="12"/>
        <v>100</v>
      </c>
      <c r="T35" s="666" t="s">
        <v>14</v>
      </c>
      <c r="U35" s="667">
        <f t="shared" si="13"/>
        <v>100</v>
      </c>
      <c r="V35" s="666" t="s">
        <v>14</v>
      </c>
      <c r="W35" s="667">
        <f t="shared" si="14"/>
        <v>100</v>
      </c>
      <c r="X35" s="1264"/>
      <c r="Y35" s="343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9"/>
      <c r="Q36" s="1262" t="str">
        <f t="shared" si="11"/>
        <v>成新度</v>
      </c>
      <c r="R36" s="666" t="s">
        <v>14</v>
      </c>
      <c r="S36" s="667" t="e">
        <f t="shared" si="12"/>
        <v>#N/A</v>
      </c>
      <c r="T36" s="666" t="s">
        <v>14</v>
      </c>
      <c r="U36" s="667" t="e">
        <f t="shared" si="13"/>
        <v>#N/A</v>
      </c>
      <c r="V36" s="666" t="s">
        <v>14</v>
      </c>
      <c r="W36" s="667" t="e">
        <f t="shared" si="14"/>
        <v>#N/A</v>
      </c>
      <c r="X36" s="1264"/>
      <c r="Y36" s="343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9"/>
      <c r="Q37" s="530" t="str">
        <f t="shared" si="11"/>
        <v>市政基础设施</v>
      </c>
      <c r="R37" s="663" t="s">
        <v>14</v>
      </c>
      <c r="S37" s="664">
        <f t="shared" si="12"/>
        <v>100</v>
      </c>
      <c r="T37" s="663" t="s">
        <v>14</v>
      </c>
      <c r="U37" s="664">
        <f t="shared" si="13"/>
        <v>100</v>
      </c>
      <c r="V37" s="663" t="s">
        <v>14</v>
      </c>
      <c r="W37" s="664">
        <f t="shared" si="14"/>
        <v>100</v>
      </c>
      <c r="X37" s="665"/>
      <c r="Y37" s="343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9" t="s">
        <v>1696</v>
      </c>
      <c r="Q38" s="1262" t="str">
        <f t="shared" si="11"/>
        <v>业态</v>
      </c>
      <c r="R38" s="666" t="s">
        <v>14</v>
      </c>
      <c r="S38" s="667">
        <f t="shared" si="12"/>
        <v>100</v>
      </c>
      <c r="T38" s="666" t="s">
        <v>14</v>
      </c>
      <c r="U38" s="667">
        <f t="shared" si="13"/>
        <v>100</v>
      </c>
      <c r="V38" s="666" t="s">
        <v>14</v>
      </c>
      <c r="W38" s="667">
        <f t="shared" si="14"/>
        <v>100</v>
      </c>
      <c r="X38" s="1264"/>
      <c r="Y38" s="343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9"/>
      <c r="Q39" s="1262" t="str">
        <f t="shared" si="11"/>
        <v>层高</v>
      </c>
      <c r="R39" s="666" t="s">
        <v>14</v>
      </c>
      <c r="S39" s="667">
        <f t="shared" si="12"/>
        <v>100</v>
      </c>
      <c r="T39" s="666" t="s">
        <v>14</v>
      </c>
      <c r="U39" s="667">
        <f t="shared" si="13"/>
        <v>100</v>
      </c>
      <c r="V39" s="666" t="s">
        <v>14</v>
      </c>
      <c r="W39" s="667">
        <f t="shared" si="14"/>
        <v>100</v>
      </c>
      <c r="X39" s="1264"/>
      <c r="Y39" s="343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9"/>
      <c r="Q40" s="1262" t="str">
        <f t="shared" si="11"/>
        <v>单套建筑面积</v>
      </c>
      <c r="R40" s="666" t="s">
        <v>14</v>
      </c>
      <c r="S40" s="667">
        <f t="shared" si="12"/>
        <v>100</v>
      </c>
      <c r="T40" s="666" t="s">
        <v>14</v>
      </c>
      <c r="U40" s="667">
        <f t="shared" si="13"/>
        <v>100</v>
      </c>
      <c r="V40" s="666" t="s">
        <v>14</v>
      </c>
      <c r="W40" s="667">
        <f t="shared" si="14"/>
        <v>100</v>
      </c>
      <c r="X40" s="1264"/>
      <c r="Y40" s="343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9"/>
      <c r="Q41" s="531" t="str">
        <f t="shared" si="11"/>
        <v>进深比</v>
      </c>
      <c r="R41" s="668" t="s">
        <v>14</v>
      </c>
      <c r="S41" s="669">
        <f t="shared" si="12"/>
        <v>100</v>
      </c>
      <c r="T41" s="668" t="s">
        <v>14</v>
      </c>
      <c r="U41" s="669">
        <f t="shared" si="13"/>
        <v>100</v>
      </c>
      <c r="V41" s="668" t="s">
        <v>14</v>
      </c>
      <c r="W41" s="669">
        <f t="shared" si="14"/>
        <v>100</v>
      </c>
      <c r="X41" s="670"/>
      <c r="Y41" s="3431"/>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9"/>
      <c r="Q42" s="1262" t="str">
        <f t="shared" si="11"/>
        <v>内部装修</v>
      </c>
      <c r="R42" s="666" t="s">
        <v>14</v>
      </c>
      <c r="S42" s="667">
        <f t="shared" si="12"/>
        <v>100</v>
      </c>
      <c r="T42" s="666" t="s">
        <v>14</v>
      </c>
      <c r="U42" s="667">
        <f t="shared" si="13"/>
        <v>100</v>
      </c>
      <c r="V42" s="666" t="s">
        <v>14</v>
      </c>
      <c r="W42" s="667">
        <f t="shared" si="14"/>
        <v>100</v>
      </c>
      <c r="X42" s="1264"/>
      <c r="Y42" s="343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9"/>
      <c r="Q43" s="1262" t="str">
        <f t="shared" si="11"/>
        <v>内部装修维护情况</v>
      </c>
      <c r="R43" s="666" t="s">
        <v>14</v>
      </c>
      <c r="S43" s="667">
        <f t="shared" si="12"/>
        <v>100</v>
      </c>
      <c r="T43" s="666" t="s">
        <v>14</v>
      </c>
      <c r="U43" s="667">
        <f t="shared" si="13"/>
        <v>100</v>
      </c>
      <c r="V43" s="666" t="s">
        <v>14</v>
      </c>
      <c r="W43" s="667">
        <f t="shared" si="14"/>
        <v>100</v>
      </c>
      <c r="X43" s="1264"/>
      <c r="Y43" s="343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9"/>
      <c r="Q44" s="530">
        <f t="shared" si="11"/>
        <v>111</v>
      </c>
      <c r="R44" s="663" t="s">
        <v>14</v>
      </c>
      <c r="S44" s="664">
        <f t="shared" si="12"/>
        <v>100</v>
      </c>
      <c r="T44" s="663" t="s">
        <v>14</v>
      </c>
      <c r="U44" s="664">
        <f t="shared" si="13"/>
        <v>100</v>
      </c>
      <c r="V44" s="663" t="s">
        <v>14</v>
      </c>
      <c r="W44" s="664">
        <f t="shared" si="14"/>
        <v>100</v>
      </c>
      <c r="X44" s="665"/>
      <c r="Y44" s="343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9"/>
      <c r="Q45" s="1262">
        <f t="shared" si="11"/>
        <v>111</v>
      </c>
      <c r="R45" s="666" t="s">
        <v>14</v>
      </c>
      <c r="S45" s="667">
        <f t="shared" si="12"/>
        <v>100</v>
      </c>
      <c r="T45" s="666" t="s">
        <v>14</v>
      </c>
      <c r="U45" s="667">
        <f t="shared" si="13"/>
        <v>100</v>
      </c>
      <c r="V45" s="666" t="s">
        <v>14</v>
      </c>
      <c r="W45" s="667">
        <f t="shared" si="14"/>
        <v>100</v>
      </c>
      <c r="X45" s="1264"/>
      <c r="Y45" s="343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0"/>
      <c r="Q46" s="1262">
        <f t="shared" si="11"/>
        <v>111</v>
      </c>
      <c r="R46" s="666" t="s">
        <v>14</v>
      </c>
      <c r="S46" s="667">
        <f t="shared" si="12"/>
        <v>100</v>
      </c>
      <c r="T46" s="666" t="s">
        <v>14</v>
      </c>
      <c r="U46" s="667">
        <f t="shared" si="13"/>
        <v>100</v>
      </c>
      <c r="V46" s="666" t="s">
        <v>14</v>
      </c>
      <c r="W46" s="667">
        <f t="shared" si="14"/>
        <v>100</v>
      </c>
      <c r="X46" s="1264"/>
      <c r="Y46" s="3432"/>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4"/>
      <c r="M47" s="2487"/>
      <c r="N47" s="2487"/>
      <c r="O47" s="2487"/>
      <c r="P47" s="3425" t="str">
        <f>A47</f>
        <v>成交单价（元/平方米）</v>
      </c>
      <c r="Q47" s="3425"/>
      <c r="R47" s="3420">
        <f>E47</f>
        <v>0</v>
      </c>
      <c r="S47" s="3420"/>
      <c r="T47" s="3420">
        <f>G47</f>
        <v>0</v>
      </c>
      <c r="U47" s="3420"/>
      <c r="V47" s="3420">
        <f>I47</f>
        <v>0</v>
      </c>
      <c r="W47" s="3420"/>
      <c r="X47" s="385"/>
      <c r="Y47" s="672"/>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2026-3</v>
      </c>
      <c r="D58" s="1103">
        <f>EDATE(C58,-1)</f>
        <v>46054</v>
      </c>
      <c r="E58" s="1103">
        <f t="shared" ref="E58:N58" si="16">EDATE(D58,-1)</f>
        <v>46023</v>
      </c>
      <c r="F58" s="1103">
        <f t="shared" si="16"/>
        <v>45992</v>
      </c>
      <c r="G58" s="1103">
        <f t="shared" si="16"/>
        <v>45962</v>
      </c>
      <c r="H58" s="1103">
        <f t="shared" si="16"/>
        <v>45931</v>
      </c>
      <c r="I58" s="1103">
        <f t="shared" si="16"/>
        <v>45901</v>
      </c>
      <c r="J58" s="1103">
        <f t="shared" si="16"/>
        <v>45870</v>
      </c>
      <c r="K58" s="1103">
        <f t="shared" si="16"/>
        <v>45839</v>
      </c>
      <c r="L58" s="1103">
        <f t="shared" si="16"/>
        <v>45809</v>
      </c>
      <c r="M58" s="1103">
        <f t="shared" si="16"/>
        <v>45778</v>
      </c>
      <c r="N58" s="1103">
        <f t="shared" si="16"/>
        <v>45748</v>
      </c>
      <c r="O58" s="1103">
        <f>EDATE(N58,-1)</f>
        <v>45717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36" t="s">
        <v>1771</v>
      </c>
      <c r="S4" s="3437"/>
      <c r="T4" s="3436" t="s">
        <v>1772</v>
      </c>
      <c r="U4" s="3437"/>
      <c r="V4" s="3445" t="s">
        <v>1773</v>
      </c>
      <c r="W4" s="3445"/>
      <c r="X4" s="1808"/>
      <c r="Y4" s="3436" t="s">
        <v>1775</v>
      </c>
      <c r="Z4" s="3437"/>
      <c r="AA4" s="3435" t="s">
        <v>1771</v>
      </c>
      <c r="AB4" s="3435" t="s">
        <v>1772</v>
      </c>
      <c r="AC4" s="3438" t="s">
        <v>1773</v>
      </c>
    </row>
    <row r="5" spans="1:29" ht="15">
      <c r="A5" s="348"/>
      <c r="B5" s="349"/>
      <c r="C5" s="3401" t="s">
        <v>1673</v>
      </c>
      <c r="D5" s="3402"/>
      <c r="E5" s="3399" t="s">
        <v>1674</v>
      </c>
      <c r="F5" s="3400"/>
      <c r="G5" s="3401" t="s">
        <v>1675</v>
      </c>
      <c r="H5" s="3402"/>
      <c r="I5" s="3401" t="s">
        <v>1676</v>
      </c>
      <c r="J5" s="3402"/>
      <c r="K5" s="537"/>
      <c r="L5" s="2486"/>
      <c r="M5" s="2487"/>
      <c r="N5" s="2487"/>
      <c r="O5" s="2487"/>
      <c r="P5" s="3443"/>
      <c r="Q5" s="3415"/>
      <c r="R5" s="3397"/>
      <c r="S5" s="3398"/>
      <c r="T5" s="3397"/>
      <c r="U5" s="3398"/>
      <c r="V5" s="3420"/>
      <c r="W5" s="3420"/>
      <c r="X5" s="1264"/>
      <c r="Y5" s="3397"/>
      <c r="Z5" s="3398"/>
      <c r="AA5" s="3391"/>
      <c r="AB5" s="3391"/>
      <c r="AC5" s="3439"/>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44"/>
      <c r="Q6" s="3417"/>
      <c r="R6" s="3397"/>
      <c r="S6" s="3398"/>
      <c r="T6" s="3418"/>
      <c r="U6" s="3419"/>
      <c r="V6" s="3420"/>
      <c r="W6" s="3420"/>
      <c r="X6" s="1264"/>
      <c r="Y6" s="3418"/>
      <c r="Z6" s="3419"/>
      <c r="AA6" s="3392"/>
      <c r="AB6" s="3392"/>
      <c r="AC6" s="3440"/>
    </row>
    <row r="7" spans="1:29" s="102" customFormat="1" ht="15.75" thickBot="1">
      <c r="A7" s="352" t="s">
        <v>1679</v>
      </c>
      <c r="B7" s="353"/>
      <c r="C7" s="354">
        <f>'数据-取费表'!B2</f>
        <v>46083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6"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6" t="s">
        <v>1683</v>
      </c>
      <c r="Q8" s="3394"/>
      <c r="R8" s="663" t="s">
        <v>14</v>
      </c>
      <c r="S8" s="664">
        <f t="shared" si="0"/>
        <v>100</v>
      </c>
      <c r="T8" s="663" t="s">
        <v>14</v>
      </c>
      <c r="U8" s="664">
        <f t="shared" si="1"/>
        <v>100</v>
      </c>
      <c r="V8" s="663" t="s">
        <v>14</v>
      </c>
      <c r="W8" s="664">
        <f t="shared" si="2"/>
        <v>100</v>
      </c>
      <c r="X8" s="665"/>
      <c r="Y8" s="3393" t="s">
        <v>1683</v>
      </c>
      <c r="Z8" s="339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7"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7"/>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7"/>
      <c r="Q11" s="530" t="str">
        <f t="shared" si="6"/>
        <v>容积率</v>
      </c>
      <c r="R11" s="663" t="s">
        <v>14</v>
      </c>
      <c r="S11" s="664">
        <f t="shared" si="0"/>
        <v>100</v>
      </c>
      <c r="T11" s="663" t="s">
        <v>14</v>
      </c>
      <c r="U11" s="664">
        <f t="shared" si="1"/>
        <v>100</v>
      </c>
      <c r="V11" s="663" t="s">
        <v>14</v>
      </c>
      <c r="W11" s="664">
        <f t="shared" si="2"/>
        <v>100</v>
      </c>
      <c r="X11" s="665"/>
      <c r="Y11" s="333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7"/>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7"/>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7"/>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3" t="s">
        <v>1691</v>
      </c>
      <c r="Q15" s="1262" t="str">
        <f t="shared" si="6"/>
        <v>办公集聚程度</v>
      </c>
      <c r="R15" s="666" t="s">
        <v>14</v>
      </c>
      <c r="S15" s="667">
        <f t="shared" si="0"/>
        <v>100</v>
      </c>
      <c r="T15" s="666" t="s">
        <v>14</v>
      </c>
      <c r="U15" s="667">
        <f t="shared" si="1"/>
        <v>100</v>
      </c>
      <c r="V15" s="666" t="s">
        <v>14</v>
      </c>
      <c r="W15" s="667">
        <f t="shared" si="2"/>
        <v>100</v>
      </c>
      <c r="X15" s="1264"/>
      <c r="Y15" s="3426"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34"/>
      <c r="Q16" s="1262"/>
      <c r="R16" s="666"/>
      <c r="S16" s="667"/>
      <c r="T16" s="666"/>
      <c r="U16" s="667"/>
      <c r="V16" s="666"/>
      <c r="W16" s="667"/>
      <c r="X16" s="1264"/>
      <c r="Y16" s="3427"/>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4"/>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4"/>
      <c r="Q18" s="1262"/>
      <c r="R18" s="666"/>
      <c r="S18" s="667"/>
      <c r="T18" s="666"/>
      <c r="U18" s="667"/>
      <c r="V18" s="666"/>
      <c r="W18" s="667"/>
      <c r="X18" s="1264"/>
      <c r="Y18" s="3427"/>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4"/>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4"/>
      <c r="Q20" s="1262"/>
      <c r="R20" s="666"/>
      <c r="S20" s="667"/>
      <c r="T20" s="666"/>
      <c r="U20" s="667"/>
      <c r="V20" s="666"/>
      <c r="W20" s="667"/>
      <c r="X20" s="1264"/>
      <c r="Y20" s="3427"/>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34"/>
      <c r="Q22" s="1262"/>
      <c r="R22" s="666"/>
      <c r="S22" s="667"/>
      <c r="T22" s="666"/>
      <c r="U22" s="667"/>
      <c r="V22" s="666"/>
      <c r="W22" s="667"/>
      <c r="X22" s="1264"/>
      <c r="Y22" s="3427"/>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4"/>
      <c r="Q23" s="1262" t="str">
        <f>B23</f>
        <v>环境质量</v>
      </c>
      <c r="R23" s="666" t="s">
        <v>14</v>
      </c>
      <c r="S23" s="667">
        <f>F23</f>
        <v>100</v>
      </c>
      <c r="T23" s="666" t="s">
        <v>14</v>
      </c>
      <c r="U23" s="667">
        <f>H23</f>
        <v>100</v>
      </c>
      <c r="V23" s="666" t="s">
        <v>14</v>
      </c>
      <c r="W23" s="667">
        <f>J23</f>
        <v>100</v>
      </c>
      <c r="X23" s="1264"/>
      <c r="Y23" s="342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4"/>
      <c r="Q24" s="1262"/>
      <c r="R24" s="666"/>
      <c r="S24" s="667"/>
      <c r="T24" s="666"/>
      <c r="U24" s="667"/>
      <c r="V24" s="666"/>
      <c r="W24" s="667"/>
      <c r="X24" s="1264"/>
      <c r="Y24" s="3427"/>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4"/>
      <c r="Q25" s="1262" t="str">
        <f>B25</f>
        <v>毗邻道路的类型与等级</v>
      </c>
      <c r="R25" s="666" t="s">
        <v>14</v>
      </c>
      <c r="S25" s="667">
        <f>F25</f>
        <v>100</v>
      </c>
      <c r="T25" s="666" t="s">
        <v>14</v>
      </c>
      <c r="U25" s="667">
        <f>H25</f>
        <v>100</v>
      </c>
      <c r="V25" s="666" t="s">
        <v>14</v>
      </c>
      <c r="W25" s="667">
        <f>J25</f>
        <v>100</v>
      </c>
      <c r="X25" s="1264"/>
      <c r="Y25" s="342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34"/>
      <c r="Q26" s="1262"/>
      <c r="R26" s="666"/>
      <c r="S26" s="667"/>
      <c r="T26" s="666"/>
      <c r="U26" s="667"/>
      <c r="V26" s="666"/>
      <c r="W26" s="667"/>
      <c r="X26" s="1264"/>
      <c r="Y26" s="342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4"/>
      <c r="Q27" s="1262" t="str">
        <f t="shared" ref="Q27:Q47" si="11">B27</f>
        <v>楼层</v>
      </c>
      <c r="R27" s="666" t="s">
        <v>14</v>
      </c>
      <c r="S27" s="667">
        <f>F27</f>
        <v>100</v>
      </c>
      <c r="T27" s="666" t="s">
        <v>14</v>
      </c>
      <c r="U27" s="667">
        <f>H27</f>
        <v>100</v>
      </c>
      <c r="V27" s="666" t="s">
        <v>14</v>
      </c>
      <c r="W27" s="667">
        <f>J27</f>
        <v>100</v>
      </c>
      <c r="X27" s="1264"/>
      <c r="Y27" s="342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4"/>
      <c r="Q28" s="530" t="str">
        <f t="shared" si="11"/>
        <v>朝向</v>
      </c>
      <c r="R28" s="663" t="s">
        <v>14</v>
      </c>
      <c r="S28" s="664">
        <f>F28</f>
        <v>100</v>
      </c>
      <c r="T28" s="663" t="s">
        <v>14</v>
      </c>
      <c r="U28" s="664">
        <f>H28</f>
        <v>100</v>
      </c>
      <c r="V28" s="663" t="s">
        <v>14</v>
      </c>
      <c r="W28" s="664">
        <f>J28</f>
        <v>100</v>
      </c>
      <c r="X28" s="665"/>
      <c r="Y28" s="342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4"/>
      <c r="Q29" s="1262">
        <f t="shared" si="11"/>
        <v>111</v>
      </c>
      <c r="R29" s="666" t="s">
        <v>14</v>
      </c>
      <c r="S29" s="667">
        <f t="shared" ref="S29:S47" si="12">F29</f>
        <v>100</v>
      </c>
      <c r="T29" s="666" t="s">
        <v>14</v>
      </c>
      <c r="U29" s="667">
        <f t="shared" ref="U29:U47" si="13">H29</f>
        <v>100</v>
      </c>
      <c r="V29" s="666" t="s">
        <v>14</v>
      </c>
      <c r="W29" s="667">
        <f t="shared" ref="W29:W47" si="14">J29</f>
        <v>100</v>
      </c>
      <c r="X29" s="1264"/>
      <c r="Y29" s="342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4"/>
      <c r="Q30" s="1262">
        <f t="shared" si="11"/>
        <v>111</v>
      </c>
      <c r="R30" s="666" t="s">
        <v>14</v>
      </c>
      <c r="S30" s="667">
        <f t="shared" si="12"/>
        <v>100</v>
      </c>
      <c r="T30" s="666" t="s">
        <v>14</v>
      </c>
      <c r="U30" s="667">
        <f t="shared" si="13"/>
        <v>100</v>
      </c>
      <c r="V30" s="666" t="s">
        <v>14</v>
      </c>
      <c r="W30" s="667">
        <f t="shared" si="14"/>
        <v>100</v>
      </c>
      <c r="X30" s="1264"/>
      <c r="Y30" s="342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4"/>
      <c r="Q31" s="1262">
        <f t="shared" si="11"/>
        <v>111</v>
      </c>
      <c r="R31" s="666" t="s">
        <v>14</v>
      </c>
      <c r="S31" s="667">
        <f t="shared" si="12"/>
        <v>100</v>
      </c>
      <c r="T31" s="666" t="s">
        <v>14</v>
      </c>
      <c r="U31" s="667">
        <f t="shared" si="13"/>
        <v>100</v>
      </c>
      <c r="V31" s="666" t="s">
        <v>14</v>
      </c>
      <c r="W31" s="667">
        <f t="shared" si="14"/>
        <v>100</v>
      </c>
      <c r="X31" s="1264"/>
      <c r="Y31" s="3427"/>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4"/>
      <c r="Q32" s="1262">
        <f t="shared" si="11"/>
        <v>111</v>
      </c>
      <c r="R32" s="666" t="s">
        <v>14</v>
      </c>
      <c r="S32" s="667">
        <f t="shared" si="12"/>
        <v>100</v>
      </c>
      <c r="T32" s="666" t="s">
        <v>14</v>
      </c>
      <c r="U32" s="667">
        <f t="shared" si="13"/>
        <v>100</v>
      </c>
      <c r="V32" s="666" t="s">
        <v>14</v>
      </c>
      <c r="W32" s="667">
        <f t="shared" si="14"/>
        <v>100</v>
      </c>
      <c r="X32" s="1264"/>
      <c r="Y32" s="342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8" t="s">
        <v>1696</v>
      </c>
      <c r="Q33" s="1262" t="str">
        <f t="shared" si="11"/>
        <v>建筑类型</v>
      </c>
      <c r="R33" s="666" t="s">
        <v>14</v>
      </c>
      <c r="S33" s="667">
        <f t="shared" si="12"/>
        <v>100</v>
      </c>
      <c r="T33" s="666" t="s">
        <v>14</v>
      </c>
      <c r="U33" s="667">
        <f t="shared" si="13"/>
        <v>100</v>
      </c>
      <c r="V33" s="666" t="s">
        <v>14</v>
      </c>
      <c r="W33" s="667">
        <f t="shared" si="14"/>
        <v>100</v>
      </c>
      <c r="X33" s="1264"/>
      <c r="Y33" s="343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9"/>
      <c r="Q34" s="531" t="str">
        <f t="shared" si="11"/>
        <v>项目建筑规模</v>
      </c>
      <c r="R34" s="668" t="s">
        <v>14</v>
      </c>
      <c r="S34" s="669" t="e">
        <f t="shared" si="12"/>
        <v>#N/A</v>
      </c>
      <c r="T34" s="668" t="s">
        <v>14</v>
      </c>
      <c r="U34" s="669" t="e">
        <f t="shared" si="13"/>
        <v>#N/A</v>
      </c>
      <c r="V34" s="668" t="s">
        <v>14</v>
      </c>
      <c r="W34" s="669" t="e">
        <f t="shared" si="14"/>
        <v>#N/A</v>
      </c>
      <c r="X34" s="670"/>
      <c r="Y34" s="3431"/>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9"/>
      <c r="Q35" s="1262" t="str">
        <f t="shared" si="11"/>
        <v>建筑结构</v>
      </c>
      <c r="R35" s="666" t="s">
        <v>14</v>
      </c>
      <c r="S35" s="667">
        <f t="shared" si="12"/>
        <v>100</v>
      </c>
      <c r="T35" s="666" t="s">
        <v>14</v>
      </c>
      <c r="U35" s="667">
        <f t="shared" si="13"/>
        <v>100</v>
      </c>
      <c r="V35" s="666" t="s">
        <v>14</v>
      </c>
      <c r="W35" s="667">
        <f t="shared" si="14"/>
        <v>100</v>
      </c>
      <c r="X35" s="1264"/>
      <c r="Y35" s="343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9"/>
      <c r="Q36" s="1262" t="str">
        <f t="shared" si="11"/>
        <v>公共部分装修</v>
      </c>
      <c r="R36" s="666" t="s">
        <v>14</v>
      </c>
      <c r="S36" s="667">
        <f t="shared" si="12"/>
        <v>100</v>
      </c>
      <c r="T36" s="666" t="s">
        <v>14</v>
      </c>
      <c r="U36" s="667">
        <f t="shared" si="13"/>
        <v>100</v>
      </c>
      <c r="V36" s="666" t="s">
        <v>14</v>
      </c>
      <c r="W36" s="667">
        <f t="shared" si="14"/>
        <v>100</v>
      </c>
      <c r="X36" s="1264"/>
      <c r="Y36" s="343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9"/>
      <c r="Q37" s="1262" t="str">
        <f t="shared" si="11"/>
        <v>成新度</v>
      </c>
      <c r="R37" s="666" t="s">
        <v>14</v>
      </c>
      <c r="S37" s="667" t="e">
        <f t="shared" si="12"/>
        <v>#N/A</v>
      </c>
      <c r="T37" s="666" t="s">
        <v>14</v>
      </c>
      <c r="U37" s="667" t="e">
        <f t="shared" si="13"/>
        <v>#N/A</v>
      </c>
      <c r="V37" s="666" t="s">
        <v>14</v>
      </c>
      <c r="W37" s="667" t="e">
        <f t="shared" si="14"/>
        <v>#N/A</v>
      </c>
      <c r="X37" s="1264"/>
      <c r="Y37" s="343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9"/>
      <c r="Q38" s="530" t="str">
        <f t="shared" si="11"/>
        <v>写字楼等级</v>
      </c>
      <c r="R38" s="663" t="s">
        <v>14</v>
      </c>
      <c r="S38" s="664">
        <f t="shared" si="12"/>
        <v>100</v>
      </c>
      <c r="T38" s="663" t="s">
        <v>14</v>
      </c>
      <c r="U38" s="664">
        <f t="shared" si="13"/>
        <v>100</v>
      </c>
      <c r="V38" s="663" t="s">
        <v>14</v>
      </c>
      <c r="W38" s="664">
        <f t="shared" si="14"/>
        <v>100</v>
      </c>
      <c r="X38" s="665"/>
      <c r="Y38" s="343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9" t="s">
        <v>1696</v>
      </c>
      <c r="Q39" s="1262" t="str">
        <f t="shared" si="11"/>
        <v>物业管理</v>
      </c>
      <c r="R39" s="666" t="s">
        <v>14</v>
      </c>
      <c r="S39" s="667">
        <f t="shared" si="12"/>
        <v>100</v>
      </c>
      <c r="T39" s="666" t="s">
        <v>14</v>
      </c>
      <c r="U39" s="667">
        <f t="shared" si="13"/>
        <v>100</v>
      </c>
      <c r="V39" s="666" t="s">
        <v>14</v>
      </c>
      <c r="W39" s="667">
        <f t="shared" si="14"/>
        <v>100</v>
      </c>
      <c r="X39" s="1264"/>
      <c r="Y39" s="343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9"/>
      <c r="Q40" s="1262" t="str">
        <f t="shared" si="11"/>
        <v>市政基础设施</v>
      </c>
      <c r="R40" s="666" t="s">
        <v>14</v>
      </c>
      <c r="S40" s="667">
        <f t="shared" si="12"/>
        <v>100</v>
      </c>
      <c r="T40" s="666" t="s">
        <v>14</v>
      </c>
      <c r="U40" s="667">
        <f t="shared" si="13"/>
        <v>100</v>
      </c>
      <c r="V40" s="666" t="s">
        <v>14</v>
      </c>
      <c r="W40" s="667">
        <f t="shared" si="14"/>
        <v>100</v>
      </c>
      <c r="X40" s="1264"/>
      <c r="Y40" s="343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9"/>
      <c r="Q41" s="1262" t="str">
        <f t="shared" si="11"/>
        <v>层高</v>
      </c>
      <c r="R41" s="666" t="s">
        <v>14</v>
      </c>
      <c r="S41" s="667">
        <f t="shared" si="12"/>
        <v>100</v>
      </c>
      <c r="T41" s="666" t="s">
        <v>14</v>
      </c>
      <c r="U41" s="667">
        <f t="shared" si="13"/>
        <v>100</v>
      </c>
      <c r="V41" s="666" t="s">
        <v>14</v>
      </c>
      <c r="W41" s="667">
        <f t="shared" si="14"/>
        <v>100</v>
      </c>
      <c r="X41" s="1264"/>
      <c r="Y41" s="343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9"/>
      <c r="Q42" s="531" t="str">
        <f t="shared" si="11"/>
        <v>单套建筑面积</v>
      </c>
      <c r="R42" s="668" t="s">
        <v>14</v>
      </c>
      <c r="S42" s="669">
        <f t="shared" si="12"/>
        <v>100</v>
      </c>
      <c r="T42" s="668" t="s">
        <v>14</v>
      </c>
      <c r="U42" s="669">
        <f t="shared" si="13"/>
        <v>100</v>
      </c>
      <c r="V42" s="668" t="s">
        <v>14</v>
      </c>
      <c r="W42" s="669">
        <f t="shared" si="14"/>
        <v>100</v>
      </c>
      <c r="X42" s="670"/>
      <c r="Y42" s="3431"/>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9"/>
      <c r="Q43" s="1262" t="str">
        <f t="shared" si="11"/>
        <v>内部装修</v>
      </c>
      <c r="R43" s="666" t="s">
        <v>14</v>
      </c>
      <c r="S43" s="667">
        <f t="shared" si="12"/>
        <v>100</v>
      </c>
      <c r="T43" s="666" t="s">
        <v>14</v>
      </c>
      <c r="U43" s="667">
        <f t="shared" si="13"/>
        <v>100</v>
      </c>
      <c r="V43" s="666" t="s">
        <v>14</v>
      </c>
      <c r="W43" s="667">
        <f t="shared" si="14"/>
        <v>100</v>
      </c>
      <c r="X43" s="1264"/>
      <c r="Y43" s="343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9"/>
      <c r="Q44" s="1262" t="str">
        <f t="shared" si="11"/>
        <v>内部装修维护情况</v>
      </c>
      <c r="R44" s="666" t="s">
        <v>14</v>
      </c>
      <c r="S44" s="667">
        <f t="shared" si="12"/>
        <v>100</v>
      </c>
      <c r="T44" s="666" t="s">
        <v>14</v>
      </c>
      <c r="U44" s="667">
        <f t="shared" si="13"/>
        <v>100</v>
      </c>
      <c r="V44" s="666" t="s">
        <v>14</v>
      </c>
      <c r="W44" s="667">
        <f t="shared" si="14"/>
        <v>100</v>
      </c>
      <c r="X44" s="1264"/>
      <c r="Y44" s="343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9"/>
      <c r="Q45" s="530">
        <f t="shared" si="11"/>
        <v>111</v>
      </c>
      <c r="R45" s="663" t="s">
        <v>14</v>
      </c>
      <c r="S45" s="664">
        <f t="shared" si="12"/>
        <v>100</v>
      </c>
      <c r="T45" s="663" t="s">
        <v>14</v>
      </c>
      <c r="U45" s="664">
        <f t="shared" si="13"/>
        <v>100</v>
      </c>
      <c r="V45" s="663" t="s">
        <v>14</v>
      </c>
      <c r="W45" s="664">
        <f t="shared" si="14"/>
        <v>100</v>
      </c>
      <c r="X45" s="665"/>
      <c r="Y45" s="343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9"/>
      <c r="Q46" s="1262">
        <f t="shared" si="11"/>
        <v>111</v>
      </c>
      <c r="R46" s="666" t="s">
        <v>14</v>
      </c>
      <c r="S46" s="667">
        <f t="shared" si="12"/>
        <v>100</v>
      </c>
      <c r="T46" s="666" t="s">
        <v>14</v>
      </c>
      <c r="U46" s="667">
        <f t="shared" si="13"/>
        <v>100</v>
      </c>
      <c r="V46" s="666" t="s">
        <v>14</v>
      </c>
      <c r="W46" s="667">
        <f t="shared" si="14"/>
        <v>100</v>
      </c>
      <c r="X46" s="1264"/>
      <c r="Y46" s="343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0"/>
      <c r="Q47" s="1262">
        <f t="shared" si="11"/>
        <v>111</v>
      </c>
      <c r="R47" s="666" t="s">
        <v>14</v>
      </c>
      <c r="S47" s="667">
        <f t="shared" si="12"/>
        <v>100</v>
      </c>
      <c r="T47" s="666" t="s">
        <v>14</v>
      </c>
      <c r="U47" s="667">
        <f t="shared" si="13"/>
        <v>100</v>
      </c>
      <c r="V47" s="666" t="s">
        <v>14</v>
      </c>
      <c r="W47" s="667">
        <f t="shared" si="14"/>
        <v>100</v>
      </c>
      <c r="X47" s="1264"/>
      <c r="Y47" s="3432"/>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407" t="str">
        <f>A48</f>
        <v>成交单价（元/平方米）</v>
      </c>
      <c r="Q48" s="3425"/>
      <c r="R48" s="3420">
        <f>E48</f>
        <v>0</v>
      </c>
      <c r="S48" s="3420"/>
      <c r="T48" s="3420">
        <f>G48</f>
        <v>0</v>
      </c>
      <c r="U48" s="3420"/>
      <c r="V48" s="3420">
        <f>I48</f>
        <v>0</v>
      </c>
      <c r="W48" s="3420"/>
      <c r="X48" s="385"/>
      <c r="Y48" s="672"/>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7" t="str">
        <f>A49</f>
        <v>比较价值（元/平方米）</v>
      </c>
      <c r="Q49" s="3425"/>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4"/>
      <c r="M50" s="2487"/>
      <c r="N50" s="2487"/>
      <c r="O50" s="2487"/>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2026-3</v>
      </c>
      <c r="D59" s="1103">
        <f>EDATE(C59,-1)</f>
        <v>46054</v>
      </c>
      <c r="E59" s="1103">
        <f>EDATE(D59,-1)</f>
        <v>46023</v>
      </c>
      <c r="F59" s="1103">
        <f t="shared" ref="F59:O59" si="16">EDATE(E59,-1)</f>
        <v>45992</v>
      </c>
      <c r="G59" s="1103">
        <f t="shared" si="16"/>
        <v>45962</v>
      </c>
      <c r="H59" s="1103">
        <f t="shared" si="16"/>
        <v>45931</v>
      </c>
      <c r="I59" s="1103">
        <f t="shared" si="16"/>
        <v>45901</v>
      </c>
      <c r="J59" s="1103">
        <f t="shared" si="16"/>
        <v>45870</v>
      </c>
      <c r="K59" s="1103">
        <f t="shared" si="16"/>
        <v>45839</v>
      </c>
      <c r="L59" s="1103">
        <f t="shared" si="16"/>
        <v>45809</v>
      </c>
      <c r="M59" s="1103">
        <f t="shared" si="16"/>
        <v>45778</v>
      </c>
      <c r="N59" s="1103">
        <f t="shared" si="16"/>
        <v>45748</v>
      </c>
      <c r="O59" s="1103">
        <f t="shared" si="16"/>
        <v>45717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859"/>
      <c r="M4" s="860"/>
      <c r="N4" s="860"/>
      <c r="O4" s="860"/>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859"/>
      <c r="M5" s="860"/>
      <c r="N5" s="860"/>
      <c r="O5" s="860"/>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859"/>
      <c r="M6" s="860"/>
      <c r="N6" s="860"/>
      <c r="O6" s="860"/>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SUMIF(52:52,YEAR(E7)&amp;"-"&amp;MONTH(E7),53:53)</f>
        <v>0</v>
      </c>
      <c r="G7" s="356"/>
      <c r="H7" s="355">
        <f>SUMIF(52:52,YEAR(G7)&amp;"-"&amp;MONTH(G7),53:53)</f>
        <v>0</v>
      </c>
      <c r="I7" s="356"/>
      <c r="J7" s="355">
        <f>SUMIF(52:52,YEAR(I7)&amp;"-"&amp;MONTH(I7),53:53)</f>
        <v>0</v>
      </c>
      <c r="K7" s="38"/>
      <c r="L7" s="861"/>
      <c r="M7" s="862"/>
      <c r="N7" s="862"/>
      <c r="O7" s="862"/>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3" t="s">
        <v>1683</v>
      </c>
      <c r="Q8" s="3394"/>
      <c r="R8" s="663" t="s">
        <v>14</v>
      </c>
      <c r="S8" s="664">
        <f t="shared" si="0"/>
        <v>100</v>
      </c>
      <c r="T8" s="663" t="s">
        <v>14</v>
      </c>
      <c r="U8" s="664">
        <f t="shared" si="1"/>
        <v>100</v>
      </c>
      <c r="V8" s="663" t="s">
        <v>14</v>
      </c>
      <c r="W8" s="664">
        <f t="shared" si="2"/>
        <v>100</v>
      </c>
      <c r="X8" s="665"/>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5"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5"/>
      <c r="Q11" s="530" t="str">
        <f t="shared" si="6"/>
        <v>容积率</v>
      </c>
      <c r="R11" s="663" t="s">
        <v>14</v>
      </c>
      <c r="S11" s="664">
        <f t="shared" si="0"/>
        <v>100</v>
      </c>
      <c r="T11" s="663" t="s">
        <v>14</v>
      </c>
      <c r="U11" s="664">
        <f t="shared" si="1"/>
        <v>100</v>
      </c>
      <c r="V11" s="663" t="s">
        <v>14</v>
      </c>
      <c r="W11" s="664">
        <f t="shared" si="2"/>
        <v>100</v>
      </c>
      <c r="X11" s="665"/>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5"/>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26" t="s">
        <v>1691</v>
      </c>
      <c r="Q15" s="1262" t="str">
        <f t="shared" si="6"/>
        <v>产业集聚程度</v>
      </c>
      <c r="R15" s="666" t="s">
        <v>14</v>
      </c>
      <c r="S15" s="667">
        <f t="shared" si="0"/>
        <v>100</v>
      </c>
      <c r="T15" s="666" t="s">
        <v>14</v>
      </c>
      <c r="U15" s="667">
        <f t="shared" si="1"/>
        <v>100</v>
      </c>
      <c r="V15" s="666" t="s">
        <v>14</v>
      </c>
      <c r="W15" s="667">
        <f t="shared" si="2"/>
        <v>100</v>
      </c>
      <c r="X15" s="1264"/>
      <c r="Y15" s="342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27"/>
      <c r="Q16" s="1262"/>
      <c r="R16" s="666"/>
      <c r="S16" s="667"/>
      <c r="T16" s="666"/>
      <c r="U16" s="667"/>
      <c r="V16" s="666"/>
      <c r="W16" s="667"/>
      <c r="X16" s="1264"/>
      <c r="Y16" s="342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27"/>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27"/>
      <c r="Q18" s="1262"/>
      <c r="R18" s="666"/>
      <c r="S18" s="667"/>
      <c r="T18" s="666"/>
      <c r="U18" s="667"/>
      <c r="V18" s="666"/>
      <c r="W18" s="667"/>
      <c r="X18" s="1264"/>
      <c r="Y18" s="342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27"/>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27"/>
      <c r="Q20" s="1262"/>
      <c r="R20" s="666"/>
      <c r="S20" s="667"/>
      <c r="T20" s="666"/>
      <c r="U20" s="667"/>
      <c r="V20" s="666"/>
      <c r="W20" s="667"/>
      <c r="X20" s="1264"/>
      <c r="Y20" s="3427"/>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27"/>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27"/>
      <c r="Q22" s="1262"/>
      <c r="R22" s="666"/>
      <c r="S22" s="667"/>
      <c r="T22" s="666"/>
      <c r="U22" s="667"/>
      <c r="V22" s="666"/>
      <c r="W22" s="667"/>
      <c r="X22" s="1264"/>
      <c r="Y22" s="342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27"/>
      <c r="Q23" s="1262" t="str">
        <f>B23</f>
        <v>环境质量</v>
      </c>
      <c r="R23" s="666" t="s">
        <v>14</v>
      </c>
      <c r="S23" s="667">
        <f>F23</f>
        <v>100</v>
      </c>
      <c r="T23" s="666" t="s">
        <v>14</v>
      </c>
      <c r="U23" s="667">
        <f>H23</f>
        <v>100</v>
      </c>
      <c r="V23" s="666" t="s">
        <v>14</v>
      </c>
      <c r="W23" s="667">
        <f>J23</f>
        <v>100</v>
      </c>
      <c r="X23" s="1264"/>
      <c r="Y23" s="3427"/>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27"/>
      <c r="Q24" s="1262"/>
      <c r="R24" s="666"/>
      <c r="S24" s="667"/>
      <c r="T24" s="666"/>
      <c r="U24" s="667"/>
      <c r="V24" s="666"/>
      <c r="W24" s="667"/>
      <c r="X24" s="1264"/>
      <c r="Y24" s="342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7"/>
      <c r="Q25" s="1262">
        <f>B25</f>
        <v>111</v>
      </c>
      <c r="R25" s="666" t="s">
        <v>14</v>
      </c>
      <c r="S25" s="667">
        <f>F25</f>
        <v>100</v>
      </c>
      <c r="T25" s="666" t="s">
        <v>14</v>
      </c>
      <c r="U25" s="667">
        <f>H25</f>
        <v>100</v>
      </c>
      <c r="V25" s="666" t="s">
        <v>14</v>
      </c>
      <c r="W25" s="667">
        <f>J25</f>
        <v>100</v>
      </c>
      <c r="X25" s="1264"/>
      <c r="Y25" s="342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7"/>
      <c r="Q26" s="1262">
        <f t="shared" ref="Q26:Q40" si="11">B26</f>
        <v>111</v>
      </c>
      <c r="R26" s="666" t="s">
        <v>14</v>
      </c>
      <c r="S26" s="667">
        <f>F26</f>
        <v>100</v>
      </c>
      <c r="T26" s="666" t="s">
        <v>14</v>
      </c>
      <c r="U26" s="667">
        <f>H26</f>
        <v>100</v>
      </c>
      <c r="V26" s="666" t="s">
        <v>14</v>
      </c>
      <c r="W26" s="667">
        <f>J26</f>
        <v>100</v>
      </c>
      <c r="X26" s="1264"/>
      <c r="Y26" s="342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7"/>
      <c r="Q27" s="530">
        <f t="shared" si="11"/>
        <v>111</v>
      </c>
      <c r="R27" s="663" t="s">
        <v>14</v>
      </c>
      <c r="S27" s="664">
        <f>F27</f>
        <v>100</v>
      </c>
      <c r="T27" s="663" t="s">
        <v>14</v>
      </c>
      <c r="U27" s="664">
        <f>H27</f>
        <v>100</v>
      </c>
      <c r="V27" s="663" t="s">
        <v>14</v>
      </c>
      <c r="W27" s="664">
        <f>J27</f>
        <v>100</v>
      </c>
      <c r="X27" s="665"/>
      <c r="Y27" s="342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7"/>
      <c r="Q28" s="1262">
        <f t="shared" si="11"/>
        <v>111</v>
      </c>
      <c r="R28" s="666" t="s">
        <v>14</v>
      </c>
      <c r="S28" s="667">
        <f t="shared" ref="S28:S40" si="12">F28</f>
        <v>100</v>
      </c>
      <c r="T28" s="666" t="s">
        <v>14</v>
      </c>
      <c r="U28" s="667">
        <f t="shared" ref="U28:U40" si="13">H28</f>
        <v>100</v>
      </c>
      <c r="V28" s="666" t="s">
        <v>14</v>
      </c>
      <c r="W28" s="667">
        <f t="shared" ref="W28:W40" si="14">J28</f>
        <v>100</v>
      </c>
      <c r="X28" s="1264"/>
      <c r="Y28" s="342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0" t="s">
        <v>1696</v>
      </c>
      <c r="Q29" s="1262" t="str">
        <f t="shared" si="11"/>
        <v>建筑类型</v>
      </c>
      <c r="R29" s="666" t="s">
        <v>14</v>
      </c>
      <c r="S29" s="667">
        <f t="shared" si="12"/>
        <v>100</v>
      </c>
      <c r="T29" s="666" t="s">
        <v>14</v>
      </c>
      <c r="U29" s="667">
        <f t="shared" si="13"/>
        <v>100</v>
      </c>
      <c r="V29" s="666" t="s">
        <v>14</v>
      </c>
      <c r="W29" s="667">
        <f t="shared" si="14"/>
        <v>100</v>
      </c>
      <c r="X29" s="1264"/>
      <c r="Y29" s="343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1"/>
      <c r="Q30" s="531" t="str">
        <f t="shared" si="11"/>
        <v>项目建筑规模</v>
      </c>
      <c r="R30" s="668" t="s">
        <v>14</v>
      </c>
      <c r="S30" s="669" t="e">
        <f t="shared" si="12"/>
        <v>#N/A</v>
      </c>
      <c r="T30" s="668" t="s">
        <v>14</v>
      </c>
      <c r="U30" s="669" t="e">
        <f t="shared" si="13"/>
        <v>#N/A</v>
      </c>
      <c r="V30" s="668" t="s">
        <v>14</v>
      </c>
      <c r="W30" s="669" t="e">
        <f t="shared" si="14"/>
        <v>#N/A</v>
      </c>
      <c r="X30" s="670"/>
      <c r="Y30" s="343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1"/>
      <c r="Q31" s="1262" t="str">
        <f t="shared" si="11"/>
        <v>建筑结构</v>
      </c>
      <c r="R31" s="666" t="s">
        <v>14</v>
      </c>
      <c r="S31" s="667">
        <f t="shared" si="12"/>
        <v>100</v>
      </c>
      <c r="T31" s="666" t="s">
        <v>14</v>
      </c>
      <c r="U31" s="667">
        <f t="shared" si="13"/>
        <v>100</v>
      </c>
      <c r="V31" s="666" t="s">
        <v>14</v>
      </c>
      <c r="W31" s="667">
        <f t="shared" si="14"/>
        <v>100</v>
      </c>
      <c r="X31" s="1264"/>
      <c r="Y31" s="343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1"/>
      <c r="Q32" s="1262" t="str">
        <f t="shared" si="11"/>
        <v>公共部分装修</v>
      </c>
      <c r="R32" s="666" t="s">
        <v>14</v>
      </c>
      <c r="S32" s="667">
        <f t="shared" si="12"/>
        <v>100</v>
      </c>
      <c r="T32" s="666" t="s">
        <v>14</v>
      </c>
      <c r="U32" s="667">
        <f t="shared" si="13"/>
        <v>100</v>
      </c>
      <c r="V32" s="666" t="s">
        <v>14</v>
      </c>
      <c r="W32" s="667">
        <f t="shared" si="14"/>
        <v>100</v>
      </c>
      <c r="X32" s="1264"/>
      <c r="Y32" s="343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1"/>
      <c r="Q33" s="1262" t="str">
        <f t="shared" si="11"/>
        <v>成新度</v>
      </c>
      <c r="R33" s="666" t="s">
        <v>14</v>
      </c>
      <c r="S33" s="667" t="e">
        <f t="shared" si="12"/>
        <v>#N/A</v>
      </c>
      <c r="T33" s="666" t="s">
        <v>14</v>
      </c>
      <c r="U33" s="667" t="e">
        <f t="shared" si="13"/>
        <v>#N/A</v>
      </c>
      <c r="V33" s="666" t="s">
        <v>14</v>
      </c>
      <c r="W33" s="667" t="e">
        <f t="shared" si="14"/>
        <v>#N/A</v>
      </c>
      <c r="X33" s="1264"/>
      <c r="Y33" s="343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1"/>
      <c r="Q34" s="530" t="str">
        <f t="shared" si="11"/>
        <v>物业管理</v>
      </c>
      <c r="R34" s="663" t="s">
        <v>14</v>
      </c>
      <c r="S34" s="664">
        <f t="shared" si="12"/>
        <v>100</v>
      </c>
      <c r="T34" s="663" t="s">
        <v>14</v>
      </c>
      <c r="U34" s="664">
        <f t="shared" si="13"/>
        <v>100</v>
      </c>
      <c r="V34" s="663" t="s">
        <v>14</v>
      </c>
      <c r="W34" s="664">
        <f t="shared" si="14"/>
        <v>100</v>
      </c>
      <c r="X34" s="665"/>
      <c r="Y34" s="34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1" t="s">
        <v>1696</v>
      </c>
      <c r="Q35" s="1262" t="str">
        <f t="shared" si="11"/>
        <v>市政基础设施</v>
      </c>
      <c r="R35" s="666" t="s">
        <v>14</v>
      </c>
      <c r="S35" s="667">
        <f t="shared" si="12"/>
        <v>100</v>
      </c>
      <c r="T35" s="666" t="s">
        <v>14</v>
      </c>
      <c r="U35" s="667">
        <f t="shared" si="13"/>
        <v>100</v>
      </c>
      <c r="V35" s="666" t="s">
        <v>14</v>
      </c>
      <c r="W35" s="667">
        <f t="shared" si="14"/>
        <v>100</v>
      </c>
      <c r="X35" s="1264"/>
      <c r="Y35" s="343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1"/>
      <c r="Q36" s="1262" t="str">
        <f t="shared" si="11"/>
        <v>内部装修</v>
      </c>
      <c r="R36" s="666" t="s">
        <v>14</v>
      </c>
      <c r="S36" s="667">
        <f t="shared" si="12"/>
        <v>100</v>
      </c>
      <c r="T36" s="666" t="s">
        <v>14</v>
      </c>
      <c r="U36" s="667">
        <f t="shared" si="13"/>
        <v>100</v>
      </c>
      <c r="V36" s="666" t="s">
        <v>14</v>
      </c>
      <c r="W36" s="667">
        <f t="shared" si="14"/>
        <v>100</v>
      </c>
      <c r="X36" s="1264"/>
      <c r="Y36" s="343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1"/>
      <c r="Q37" s="1262" t="str">
        <f t="shared" si="11"/>
        <v>内部装修状况</v>
      </c>
      <c r="R37" s="666" t="s">
        <v>14</v>
      </c>
      <c r="S37" s="667">
        <f t="shared" si="12"/>
        <v>100</v>
      </c>
      <c r="T37" s="666" t="s">
        <v>14</v>
      </c>
      <c r="U37" s="667">
        <f t="shared" si="13"/>
        <v>100</v>
      </c>
      <c r="V37" s="666" t="s">
        <v>14</v>
      </c>
      <c r="W37" s="667">
        <f t="shared" si="14"/>
        <v>100</v>
      </c>
      <c r="X37" s="1264"/>
      <c r="Y37" s="343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1"/>
      <c r="Q38" s="531">
        <f t="shared" si="11"/>
        <v>111</v>
      </c>
      <c r="R38" s="668" t="s">
        <v>14</v>
      </c>
      <c r="S38" s="669">
        <f t="shared" si="12"/>
        <v>100</v>
      </c>
      <c r="T38" s="668" t="s">
        <v>14</v>
      </c>
      <c r="U38" s="669">
        <f t="shared" si="13"/>
        <v>100</v>
      </c>
      <c r="V38" s="668" t="s">
        <v>14</v>
      </c>
      <c r="W38" s="669">
        <f t="shared" si="14"/>
        <v>100</v>
      </c>
      <c r="X38" s="670"/>
      <c r="Y38" s="343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1"/>
      <c r="Q39" s="1262">
        <f t="shared" si="11"/>
        <v>111</v>
      </c>
      <c r="R39" s="666" t="s">
        <v>14</v>
      </c>
      <c r="S39" s="667">
        <f t="shared" si="12"/>
        <v>100</v>
      </c>
      <c r="T39" s="666" t="s">
        <v>14</v>
      </c>
      <c r="U39" s="667">
        <f t="shared" si="13"/>
        <v>100</v>
      </c>
      <c r="V39" s="666" t="s">
        <v>14</v>
      </c>
      <c r="W39" s="667">
        <f t="shared" si="14"/>
        <v>100</v>
      </c>
      <c r="X39" s="1264"/>
      <c r="Y39" s="343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2"/>
      <c r="Q40" s="1262">
        <f t="shared" si="11"/>
        <v>111</v>
      </c>
      <c r="R40" s="666" t="s">
        <v>14</v>
      </c>
      <c r="S40" s="667">
        <f t="shared" si="12"/>
        <v>100</v>
      </c>
      <c r="T40" s="666" t="s">
        <v>14</v>
      </c>
      <c r="U40" s="667">
        <f t="shared" si="13"/>
        <v>100</v>
      </c>
      <c r="V40" s="666" t="s">
        <v>14</v>
      </c>
      <c r="W40" s="667">
        <f t="shared" si="14"/>
        <v>100</v>
      </c>
      <c r="X40" s="1264"/>
      <c r="Y40" s="343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25" t="str">
        <f>A41</f>
        <v>成交单价（元/平方米）</v>
      </c>
      <c r="Q41" s="3425"/>
      <c r="R41" s="3420">
        <f>E41</f>
        <v>0</v>
      </c>
      <c r="S41" s="3420"/>
      <c r="T41" s="3420">
        <f>G41</f>
        <v>0</v>
      </c>
      <c r="U41" s="3420"/>
      <c r="V41" s="3420">
        <f>I41</f>
        <v>0</v>
      </c>
      <c r="W41" s="3420"/>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25" t="str">
        <f>A42</f>
        <v>比较价值（元/平方米）</v>
      </c>
      <c r="Q42" s="3425"/>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2026-3</v>
      </c>
      <c r="D52" s="1103">
        <f>EDATE(C52,-1)</f>
        <v>46054</v>
      </c>
      <c r="E52" s="1103">
        <f t="shared" ref="E52:O52" si="16">EDATE(D52,-1)</f>
        <v>46023</v>
      </c>
      <c r="F52" s="1103">
        <f t="shared" si="16"/>
        <v>45992</v>
      </c>
      <c r="G52" s="1103">
        <f t="shared" si="16"/>
        <v>45962</v>
      </c>
      <c r="H52" s="1103">
        <f t="shared" si="16"/>
        <v>45931</v>
      </c>
      <c r="I52" s="1103">
        <f t="shared" si="16"/>
        <v>45901</v>
      </c>
      <c r="J52" s="1103">
        <f t="shared" si="16"/>
        <v>45870</v>
      </c>
      <c r="K52" s="1103">
        <f t="shared" si="16"/>
        <v>45839</v>
      </c>
      <c r="L52" s="1103">
        <f t="shared" si="16"/>
        <v>45809</v>
      </c>
      <c r="M52" s="1103">
        <f t="shared" si="16"/>
        <v>45778</v>
      </c>
      <c r="N52" s="1103">
        <f t="shared" si="16"/>
        <v>45748</v>
      </c>
      <c r="O52" s="1103">
        <f t="shared" si="16"/>
        <v>45717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18">
      <c r="A7" s="138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4" t="s">
        <v>901</v>
      </c>
    </row>
    <row r="9" spans="1:1" ht="18.75">
      <c r="A9" s="1383" t="s">
        <v>902</v>
      </c>
    </row>
    <row r="10" spans="1:1" ht="18">
      <c r="A10" s="138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2026年3月2日（评估专业人员实地查勘之日）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115" zoomScaleNormal="60" zoomScaleSheetLayoutView="115" workbookViewId="0">
      <selection activeCell="I8" activeCellId="2" sqref="E8 G8 I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451" t="s">
        <v>3429</v>
      </c>
      <c r="F5" s="3400"/>
      <c r="G5" s="3452" t="s">
        <v>3430</v>
      </c>
      <c r="H5" s="3402"/>
      <c r="I5" s="3452" t="s">
        <v>3431</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393" t="s">
        <v>1680</v>
      </c>
      <c r="Q7" s="3421"/>
      <c r="R7" s="663" t="s">
        <v>14</v>
      </c>
      <c r="S7" s="664">
        <f t="shared" ref="S7:S14" si="0">F7</f>
        <v>100</v>
      </c>
      <c r="T7" s="663" t="s">
        <v>14</v>
      </c>
      <c r="U7" s="664">
        <f t="shared" ref="U7:U14" si="1">H7</f>
        <v>100</v>
      </c>
      <c r="V7" s="663" t="s">
        <v>14</v>
      </c>
      <c r="W7" s="664">
        <f t="shared" ref="W7:W14" si="2">J7</f>
        <v>100</v>
      </c>
      <c r="X7" s="665"/>
      <c r="Y7" s="3393" t="s">
        <v>1680</v>
      </c>
      <c r="Z7" s="3394"/>
      <c r="AA7" s="50">
        <f>D7/F7</f>
        <v>1</v>
      </c>
      <c r="AB7" s="50">
        <f>D7/H7</f>
        <v>1</v>
      </c>
      <c r="AC7" s="50">
        <f>D7/J7</f>
        <v>1</v>
      </c>
    </row>
    <row r="8" spans="1:29" s="102" customFormat="1" ht="15.75" thickBot="1">
      <c r="A8" s="352" t="s">
        <v>1681</v>
      </c>
      <c r="B8" s="353"/>
      <c r="C8" s="358" t="s">
        <v>3417</v>
      </c>
      <c r="D8" s="355">
        <v>100</v>
      </c>
      <c r="E8" s="358" t="s">
        <v>3417</v>
      </c>
      <c r="F8" s="357">
        <f>SUMIF(51:51,E8,52:52)-SUMIF(51:51,C8,52:52)+100</f>
        <v>100</v>
      </c>
      <c r="G8" s="358" t="s">
        <v>3417</v>
      </c>
      <c r="H8" s="355">
        <f>SUMIF(51:51,G8,52:52)-SUMIF(51:51,C8,52:52)+100</f>
        <v>100</v>
      </c>
      <c r="I8" s="358" t="s">
        <v>3417</v>
      </c>
      <c r="J8" s="355">
        <f>SUMIF(51:51,I8,52:52)-SUMIF(51:51,C8,52:52)+100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5" t="s">
        <v>1686</v>
      </c>
      <c r="Q9" s="530" t="str">
        <f t="shared" ref="Q9:Q14" si="6">B9</f>
        <v>用途</v>
      </c>
      <c r="R9" s="663" t="s">
        <v>14</v>
      </c>
      <c r="S9" s="664">
        <f t="shared" si="0"/>
        <v>100</v>
      </c>
      <c r="T9" s="663" t="s">
        <v>14</v>
      </c>
      <c r="U9" s="664">
        <f t="shared" si="1"/>
        <v>100</v>
      </c>
      <c r="V9" s="663" t="s">
        <v>14</v>
      </c>
      <c r="W9" s="664">
        <f t="shared" si="2"/>
        <v>100</v>
      </c>
      <c r="X9" s="665"/>
      <c r="Y9" s="333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5"/>
      <c r="Q11" s="530">
        <f t="shared" si="6"/>
        <v>111</v>
      </c>
      <c r="R11" s="663" t="s">
        <v>14</v>
      </c>
      <c r="S11" s="664">
        <f t="shared" si="0"/>
        <v>100</v>
      </c>
      <c r="T11" s="663" t="s">
        <v>14</v>
      </c>
      <c r="U11" s="664">
        <f t="shared" si="1"/>
        <v>100</v>
      </c>
      <c r="V11" s="663" t="s">
        <v>14</v>
      </c>
      <c r="W11" s="664">
        <f t="shared" si="2"/>
        <v>100</v>
      </c>
      <c r="X11" s="665"/>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48"/>
      <c r="B15" s="571"/>
      <c r="C15" s="386" t="s">
        <v>3418</v>
      </c>
      <c r="D15" s="387"/>
      <c r="E15" s="386" t="s">
        <v>3418</v>
      </c>
      <c r="F15" s="388"/>
      <c r="G15" s="386" t="s">
        <v>3418</v>
      </c>
      <c r="H15" s="389"/>
      <c r="I15" s="386" t="s">
        <v>3418</v>
      </c>
      <c r="J15" s="387"/>
      <c r="K15" s="541"/>
      <c r="L15" s="2492"/>
      <c r="M15" s="2487"/>
      <c r="N15" s="2487"/>
      <c r="O15" s="2487"/>
      <c r="P15" s="3427"/>
      <c r="Q15" s="1262"/>
      <c r="R15" s="666"/>
      <c r="S15" s="667"/>
      <c r="T15" s="666"/>
      <c r="U15" s="667"/>
      <c r="V15" s="666"/>
      <c r="W15" s="667"/>
      <c r="X15" s="1264"/>
      <c r="Y15" s="342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48"/>
      <c r="B17" s="401"/>
      <c r="C17" s="1754" t="s">
        <v>3418</v>
      </c>
      <c r="D17" s="387"/>
      <c r="E17" s="1754" t="s">
        <v>3418</v>
      </c>
      <c r="F17" s="388"/>
      <c r="G17" s="1754" t="s">
        <v>3418</v>
      </c>
      <c r="H17" s="387"/>
      <c r="I17" s="1754" t="s">
        <v>3418</v>
      </c>
      <c r="J17" s="387"/>
      <c r="K17" s="541"/>
      <c r="L17" s="2492"/>
      <c r="M17" s="2487"/>
      <c r="N17" s="2487"/>
      <c r="O17" s="2487"/>
      <c r="P17" s="3427"/>
      <c r="Q17" s="1262"/>
      <c r="R17" s="666"/>
      <c r="S17" s="667"/>
      <c r="T17" s="666"/>
      <c r="U17" s="667"/>
      <c r="V17" s="666"/>
      <c r="W17" s="667"/>
      <c r="X17" s="1264"/>
      <c r="Y17" s="342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48"/>
      <c r="B19" s="557"/>
      <c r="C19" s="1754" t="s">
        <v>3419</v>
      </c>
      <c r="D19" s="389"/>
      <c r="E19" s="1754" t="s">
        <v>3419</v>
      </c>
      <c r="F19" s="392"/>
      <c r="G19" s="1754" t="s">
        <v>3419</v>
      </c>
      <c r="H19" s="387"/>
      <c r="I19" s="1754" t="s">
        <v>3419</v>
      </c>
      <c r="J19" s="387"/>
      <c r="K19" s="1063"/>
      <c r="L19" s="2492"/>
      <c r="M19" s="2487"/>
      <c r="N19" s="2487"/>
      <c r="O19" s="2487"/>
      <c r="P19" s="3427"/>
      <c r="Q19" s="1262"/>
      <c r="R19" s="666"/>
      <c r="S19" s="667"/>
      <c r="T19" s="666"/>
      <c r="U19" s="667"/>
      <c r="V19" s="666"/>
      <c r="W19" s="667"/>
      <c r="X19" s="1264"/>
      <c r="Y19" s="342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48"/>
      <c r="B21" s="401"/>
      <c r="C21" s="386" t="s">
        <v>3418</v>
      </c>
      <c r="D21" s="387"/>
      <c r="E21" s="386" t="s">
        <v>3418</v>
      </c>
      <c r="F21" s="388"/>
      <c r="G21" s="386" t="s">
        <v>3418</v>
      </c>
      <c r="H21" s="387"/>
      <c r="I21" s="386" t="s">
        <v>3418</v>
      </c>
      <c r="J21" s="387"/>
      <c r="K21" s="541"/>
      <c r="L21" s="2492"/>
      <c r="M21" s="2487"/>
      <c r="N21" s="2487"/>
      <c r="O21" s="2487"/>
      <c r="P21" s="3427"/>
      <c r="Q21" s="1262"/>
      <c r="R21" s="666"/>
      <c r="S21" s="667"/>
      <c r="T21" s="666"/>
      <c r="U21" s="667"/>
      <c r="V21" s="666"/>
      <c r="W21" s="667"/>
      <c r="X21" s="1264"/>
      <c r="Y21" s="342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7"/>
      <c r="Q24" s="1262">
        <f t="shared" ref="Q24:Q36"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7"/>
      <c r="Q25" s="530">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28.5">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31" t="s">
        <v>1696</v>
      </c>
      <c r="Z26" s="1263" t="str">
        <f t="shared" ref="Z26:Z36" si="15">Q26</f>
        <v>配套类型</v>
      </c>
      <c r="AA26" s="1263">
        <f t="shared" si="3"/>
        <v>1</v>
      </c>
      <c r="AB26" s="1263">
        <f t="shared" si="4"/>
        <v>1</v>
      </c>
      <c r="AC26" s="1263">
        <f t="shared" si="5"/>
        <v>1</v>
      </c>
    </row>
    <row r="27" spans="1:29" s="408" customFormat="1" ht="15">
      <c r="A27" s="575"/>
      <c r="B27" s="119" t="s">
        <v>1837</v>
      </c>
      <c r="C27" s="3172" t="s">
        <v>3439</v>
      </c>
      <c r="D27" s="119">
        <v>100</v>
      </c>
      <c r="E27" s="3172" t="s">
        <v>3440</v>
      </c>
      <c r="F27" s="400">
        <f>SUMIF(81:81,E27,82:82)-SUMIF(81:81,C27,82:82)+100</f>
        <v>102</v>
      </c>
      <c r="G27" s="3172" t="s">
        <v>3440</v>
      </c>
      <c r="H27" s="374">
        <f>SUMIF(81:81,G27,82:82)-SUMIF(81:81,C27,82:82)+100</f>
        <v>102</v>
      </c>
      <c r="I27" s="3172" t="s">
        <v>3441</v>
      </c>
      <c r="J27" s="374">
        <f>SUMIF(81:81,I27,82:82)-SUMIF(81:81,C27,82:82)+100</f>
        <v>104</v>
      </c>
      <c r="K27" s="539"/>
      <c r="L27" s="2491"/>
      <c r="M27" s="2493"/>
      <c r="N27" s="2493"/>
      <c r="O27" s="2493"/>
      <c r="P27" s="3431"/>
      <c r="Q27" s="531" t="str">
        <f t="shared" si="11"/>
        <v>项目停车位配比</v>
      </c>
      <c r="R27" s="668" t="s">
        <v>14</v>
      </c>
      <c r="S27" s="669">
        <f t="shared" si="12"/>
        <v>102</v>
      </c>
      <c r="T27" s="668" t="s">
        <v>14</v>
      </c>
      <c r="U27" s="669">
        <f t="shared" si="13"/>
        <v>102</v>
      </c>
      <c r="V27" s="668" t="s">
        <v>14</v>
      </c>
      <c r="W27" s="669">
        <f t="shared" si="14"/>
        <v>104</v>
      </c>
      <c r="X27" s="670"/>
      <c r="Y27" s="3431"/>
      <c r="Z27" s="671" t="str">
        <f t="shared" si="15"/>
        <v>项目停车位配比</v>
      </c>
      <c r="AA27" s="1263">
        <f t="shared" si="3"/>
        <v>0.98039215686274506</v>
      </c>
      <c r="AB27" s="1263">
        <f t="shared" si="4"/>
        <v>0.98039215686274506</v>
      </c>
      <c r="AC27" s="1263">
        <f t="shared" si="5"/>
        <v>0.96153846153846156</v>
      </c>
    </row>
    <row r="28" spans="1:29" ht="1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0.81666666666666665</v>
      </c>
      <c r="N28" s="2487"/>
      <c r="O28" s="2487"/>
      <c r="P28" s="3431"/>
      <c r="Q28" s="1262" t="str">
        <f t="shared" si="11"/>
        <v>公共部分装修</v>
      </c>
      <c r="R28" s="666" t="s">
        <v>14</v>
      </c>
      <c r="S28" s="667">
        <f t="shared" si="12"/>
        <v>100</v>
      </c>
      <c r="T28" s="666" t="s">
        <v>14</v>
      </c>
      <c r="U28" s="667">
        <f t="shared" si="13"/>
        <v>100</v>
      </c>
      <c r="V28" s="666" t="s">
        <v>14</v>
      </c>
      <c r="W28" s="667">
        <f t="shared" si="14"/>
        <v>100</v>
      </c>
      <c r="X28" s="1264"/>
      <c r="Y28" s="3431"/>
      <c r="Z28" s="1263" t="str">
        <f t="shared" si="15"/>
        <v>公共部分装修</v>
      </c>
      <c r="AA28" s="1263">
        <f t="shared" si="3"/>
        <v>1</v>
      </c>
      <c r="AB28" s="1263">
        <f t="shared" si="4"/>
        <v>1</v>
      </c>
      <c r="AC28" s="1263">
        <f t="shared" si="5"/>
        <v>1</v>
      </c>
    </row>
    <row r="29" spans="1:29" ht="15">
      <c r="A29" s="576"/>
      <c r="B29" s="119" t="s">
        <v>1839</v>
      </c>
      <c r="C29" s="411">
        <v>1</v>
      </c>
      <c r="D29" s="374">
        <v>100</v>
      </c>
      <c r="E29" s="411">
        <v>0.81</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31"/>
      <c r="Q29" s="1262" t="str">
        <f t="shared" si="11"/>
        <v>成新率</v>
      </c>
      <c r="R29" s="666" t="s">
        <v>14</v>
      </c>
      <c r="S29" s="667">
        <f t="shared" si="12"/>
        <v>100</v>
      </c>
      <c r="T29" s="666" t="s">
        <v>14</v>
      </c>
      <c r="U29" s="667">
        <f t="shared" si="13"/>
        <v>100</v>
      </c>
      <c r="V29" s="666" t="s">
        <v>14</v>
      </c>
      <c r="W29" s="667">
        <f t="shared" si="14"/>
        <v>100</v>
      </c>
      <c r="X29" s="1264"/>
      <c r="Y29" s="3431"/>
      <c r="Z29" s="1263" t="str">
        <f t="shared" si="15"/>
        <v>成新率</v>
      </c>
      <c r="AA29" s="1263">
        <f t="shared" si="3"/>
        <v>1</v>
      </c>
      <c r="AB29" s="1263">
        <f t="shared" si="4"/>
        <v>1</v>
      </c>
      <c r="AC29" s="1263">
        <f t="shared" si="5"/>
        <v>1</v>
      </c>
    </row>
    <row r="30" spans="1:29" ht="1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31"/>
      <c r="Q30" s="1262" t="str">
        <f t="shared" si="11"/>
        <v>物业等级</v>
      </c>
      <c r="R30" s="666" t="s">
        <v>14</v>
      </c>
      <c r="S30" s="667">
        <f t="shared" si="12"/>
        <v>100</v>
      </c>
      <c r="T30" s="666" t="s">
        <v>14</v>
      </c>
      <c r="U30" s="667">
        <f t="shared" si="13"/>
        <v>100</v>
      </c>
      <c r="V30" s="666" t="s">
        <v>14</v>
      </c>
      <c r="W30" s="667">
        <f t="shared" si="14"/>
        <v>100</v>
      </c>
      <c r="X30" s="1264"/>
      <c r="Y30" s="343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31"/>
      <c r="Q31" s="530" t="str">
        <f t="shared" si="11"/>
        <v>停车位面积</v>
      </c>
      <c r="R31" s="663" t="s">
        <v>14</v>
      </c>
      <c r="S31" s="664">
        <f t="shared" si="12"/>
        <v>100</v>
      </c>
      <c r="T31" s="663" t="s">
        <v>14</v>
      </c>
      <c r="U31" s="664">
        <f t="shared" si="13"/>
        <v>100</v>
      </c>
      <c r="V31" s="663" t="s">
        <v>14</v>
      </c>
      <c r="W31" s="664">
        <f t="shared" si="14"/>
        <v>100</v>
      </c>
      <c r="X31" s="665"/>
      <c r="Y31" s="3431"/>
      <c r="Z31" s="50" t="str">
        <f t="shared" si="15"/>
        <v>停车位面积</v>
      </c>
      <c r="AA31" s="50">
        <f t="shared" si="3"/>
        <v>1</v>
      </c>
      <c r="AB31" s="50">
        <f t="shared" si="4"/>
        <v>1</v>
      </c>
      <c r="AC31" s="50">
        <f t="shared" si="5"/>
        <v>1</v>
      </c>
    </row>
    <row r="32" spans="1:29" ht="1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31" t="s">
        <v>1696</v>
      </c>
      <c r="Q32" s="1262" t="str">
        <f t="shared" si="11"/>
        <v>车位类型</v>
      </c>
      <c r="R32" s="666" t="s">
        <v>14</v>
      </c>
      <c r="S32" s="667">
        <f t="shared" si="12"/>
        <v>100</v>
      </c>
      <c r="T32" s="666" t="s">
        <v>14</v>
      </c>
      <c r="U32" s="667">
        <f t="shared" si="13"/>
        <v>100</v>
      </c>
      <c r="V32" s="666" t="s">
        <v>14</v>
      </c>
      <c r="W32" s="667">
        <f t="shared" si="14"/>
        <v>100</v>
      </c>
      <c r="X32" s="1264"/>
      <c r="Y32" s="3431" t="s">
        <v>1696</v>
      </c>
      <c r="Z32" s="1263" t="str">
        <f t="shared" si="15"/>
        <v>车位类型</v>
      </c>
      <c r="AA32" s="1263">
        <f t="shared" si="3"/>
        <v>1</v>
      </c>
      <c r="AB32" s="1263">
        <f t="shared" si="4"/>
        <v>1</v>
      </c>
      <c r="AC32" s="1263">
        <f t="shared" si="5"/>
        <v>1</v>
      </c>
    </row>
    <row r="33" spans="1:29" ht="1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31"/>
      <c r="Q33" s="1262" t="str">
        <f t="shared" si="11"/>
        <v>是否直接入户</v>
      </c>
      <c r="R33" s="666" t="s">
        <v>14</v>
      </c>
      <c r="S33" s="667">
        <f t="shared" si="12"/>
        <v>100</v>
      </c>
      <c r="T33" s="666" t="s">
        <v>14</v>
      </c>
      <c r="U33" s="667">
        <f t="shared" si="13"/>
        <v>100</v>
      </c>
      <c r="V33" s="666" t="s">
        <v>14</v>
      </c>
      <c r="W33" s="667">
        <f t="shared" si="14"/>
        <v>100</v>
      </c>
      <c r="X33" s="1264"/>
      <c r="Y33" s="343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1"/>
      <c r="Q35" s="531">
        <f t="shared" si="11"/>
        <v>111</v>
      </c>
      <c r="R35" s="668" t="s">
        <v>14</v>
      </c>
      <c r="S35" s="669">
        <f t="shared" si="12"/>
        <v>100</v>
      </c>
      <c r="T35" s="668" t="s">
        <v>14</v>
      </c>
      <c r="U35" s="669">
        <f t="shared" si="13"/>
        <v>100</v>
      </c>
      <c r="V35" s="668" t="s">
        <v>14</v>
      </c>
      <c r="W35" s="669">
        <f t="shared" si="14"/>
        <v>100</v>
      </c>
      <c r="X35" s="670"/>
      <c r="Y35" s="3431"/>
      <c r="Z35" s="671">
        <f t="shared" si="15"/>
        <v>111</v>
      </c>
      <c r="AA35" s="1263">
        <f t="shared" si="3"/>
        <v>1</v>
      </c>
      <c r="AB35" s="1263">
        <f t="shared" si="4"/>
        <v>1</v>
      </c>
      <c r="AC35" s="1263">
        <f t="shared" si="5"/>
        <v>1</v>
      </c>
    </row>
    <row r="36" spans="1:29" ht="15.75"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1"/>
      <c r="Q36" s="1262">
        <f t="shared" si="11"/>
        <v>111</v>
      </c>
      <c r="R36" s="666" t="s">
        <v>14</v>
      </c>
      <c r="S36" s="667">
        <f t="shared" si="12"/>
        <v>100</v>
      </c>
      <c r="T36" s="666" t="s">
        <v>14</v>
      </c>
      <c r="U36" s="667">
        <f t="shared" si="13"/>
        <v>100</v>
      </c>
      <c r="V36" s="666" t="s">
        <v>14</v>
      </c>
      <c r="W36" s="667">
        <f t="shared" si="14"/>
        <v>100</v>
      </c>
      <c r="X36" s="1264"/>
      <c r="Y36" s="3431"/>
      <c r="Z36" s="1263">
        <f t="shared" si="15"/>
        <v>111</v>
      </c>
      <c r="AA36" s="1263">
        <f t="shared" si="3"/>
        <v>1</v>
      </c>
      <c r="AB36" s="1263">
        <f t="shared" si="4"/>
        <v>1</v>
      </c>
      <c r="AC36" s="1263">
        <f t="shared" si="5"/>
        <v>1</v>
      </c>
    </row>
    <row r="37" spans="1:29" ht="15">
      <c r="A37" s="416" t="s">
        <v>1844</v>
      </c>
      <c r="B37" s="1820" t="s">
        <v>3432</v>
      </c>
      <c r="C37" s="1080" t="s">
        <v>0</v>
      </c>
      <c r="D37" s="418"/>
      <c r="E37" s="419">
        <v>600</v>
      </c>
      <c r="F37" s="420"/>
      <c r="G37" s="421">
        <v>550</v>
      </c>
      <c r="H37" s="422"/>
      <c r="I37" s="419">
        <v>550</v>
      </c>
      <c r="J37" s="422"/>
      <c r="K37" s="545"/>
      <c r="L37" s="2494"/>
      <c r="M37" s="2487"/>
      <c r="N37" s="2487"/>
      <c r="O37" s="2487"/>
      <c r="P37" s="3425" t="str">
        <f>A37</f>
        <v>成交单价</v>
      </c>
      <c r="Q37" s="3425"/>
      <c r="R37" s="3420">
        <f>E37</f>
        <v>600</v>
      </c>
      <c r="S37" s="3420"/>
      <c r="T37" s="3420">
        <f>G37</f>
        <v>550</v>
      </c>
      <c r="U37" s="3420"/>
      <c r="V37" s="3420">
        <f>I37</f>
        <v>550</v>
      </c>
      <c r="W37" s="3420"/>
      <c r="X37" s="385"/>
      <c r="Y37" s="672"/>
      <c r="Z37" s="385"/>
      <c r="AA37" s="385"/>
      <c r="AB37" s="385"/>
      <c r="AC37" s="385"/>
    </row>
    <row r="38" spans="1:29" ht="15.75" thickBot="1">
      <c r="A38" s="423" t="s">
        <v>1845</v>
      </c>
      <c r="B38" s="424" t="str">
        <f>B37</f>
        <v>元/车位</v>
      </c>
      <c r="C38" s="1081">
        <f>R39</f>
        <v>550</v>
      </c>
      <c r="D38" s="2140" t="s">
        <v>2138</v>
      </c>
      <c r="E38" s="1082">
        <f>R38</f>
        <v>588</v>
      </c>
      <c r="F38" s="2141"/>
      <c r="G38" s="1081">
        <f>T38</f>
        <v>539</v>
      </c>
      <c r="H38" s="2141"/>
      <c r="I38" s="1082">
        <f>V38</f>
        <v>529</v>
      </c>
      <c r="J38" s="2141"/>
      <c r="K38" s="2143">
        <f>F38+H38+J38</f>
        <v>0</v>
      </c>
      <c r="L38" s="2494"/>
      <c r="M38" s="2487"/>
      <c r="N38" s="2487"/>
      <c r="O38" s="2487"/>
      <c r="P38" s="3425" t="str">
        <f>A38</f>
        <v>比较价值（元/平方米）</v>
      </c>
      <c r="Q38" s="3425"/>
      <c r="R38" s="3420">
        <f>IF(F1="售价",ROUND(PRODUCT(R37,AA7:AA36),0),ROUND(PRODUCT(R37,AA7:AA36),1))</f>
        <v>588</v>
      </c>
      <c r="S38" s="3420"/>
      <c r="T38" s="3420">
        <f>IF(F1="售价",ROUND(PRODUCT(T37,AB7:AB36),0),ROUND(PRODUCT(T37,AB7:AB36),1))</f>
        <v>539</v>
      </c>
      <c r="U38" s="3420"/>
      <c r="V38" s="3420">
        <f>IF(F1="售价",ROUND(PRODUCT(V37,AC7:AC36),0),ROUND(PRODUCT(V37,AC7:AC36),1))</f>
        <v>529</v>
      </c>
      <c r="W38" s="3420"/>
      <c r="X38" s="385"/>
      <c r="Y38" s="385"/>
      <c r="Z38" s="385"/>
      <c r="AA38" s="385"/>
      <c r="AB38" s="385"/>
      <c r="AC38" s="385"/>
    </row>
    <row r="39" spans="1:29" ht="15.75" thickBot="1">
      <c r="A39" s="427" t="s">
        <v>1846</v>
      </c>
      <c r="B39" s="428"/>
      <c r="C39" s="351">
        <f>R39</f>
        <v>550</v>
      </c>
      <c r="D39" s="351"/>
      <c r="E39" s="351"/>
      <c r="F39" s="351"/>
      <c r="G39" s="351"/>
      <c r="H39" s="351"/>
      <c r="I39" s="351"/>
      <c r="J39" s="351"/>
      <c r="K39" s="546"/>
      <c r="L39" s="2494"/>
      <c r="M39" s="2487"/>
      <c r="N39" s="2487"/>
      <c r="O39" s="2487"/>
      <c r="P39" s="3422" t="str">
        <f>A39</f>
        <v>估价对象XX用房的比较价值（楼面单价，元/平方米）</v>
      </c>
      <c r="Q39" s="3423"/>
      <c r="R39" s="3453">
        <f>IF(F1="售价",ROUND(IF(D38="简单平均",AVERAGE(R38:W38),R38*F38+T38*H38+V38*J38),-1),ROUND(IF(D38="简单平均",AVERAGE(R38:V38),R38*F38+T38*H38+V38*J38),-1))</f>
        <v>550</v>
      </c>
      <c r="S39" s="3453"/>
      <c r="T39" s="3453"/>
      <c r="U39" s="3453"/>
      <c r="V39" s="3453"/>
      <c r="W39" s="3453"/>
      <c r="X39" s="385"/>
      <c r="Y39" s="385"/>
      <c r="Z39" s="385"/>
      <c r="AA39" s="385"/>
      <c r="AB39" s="385"/>
      <c r="AC39" s="385"/>
    </row>
    <row r="40" spans="1:29">
      <c r="A40" s="2487"/>
      <c r="B40" s="2487"/>
      <c r="C40" s="2487"/>
      <c r="D40" s="2487"/>
      <c r="E40" s="2487">
        <v>2015</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2.0408163265306145E-2</v>
      </c>
      <c r="F42" s="435" t="str">
        <f>IF(OR(E42&gt;=0.3,E42&lt;=-0.3),"超过30%","")</f>
        <v/>
      </c>
      <c r="G42" s="434">
        <f>IF(G37&lt;G38,G38/G37-1,G37/G38-1)</f>
        <v>2.0408163265306145E-2</v>
      </c>
      <c r="H42" s="435" t="str">
        <f>IF(OR(G42&gt;=0.3,G42&lt;=-0.3),"超过30%","")</f>
        <v/>
      </c>
      <c r="I42" s="434">
        <f>IF(I37&lt;I38,I38/I37-1,I37/I38-1)</f>
        <v>3.969754253308122E-2</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9.0909090909090828E-2</v>
      </c>
      <c r="F43" s="435" t="str">
        <f>IF(OR(E43&gt;=0.2,E43&lt;=-0.2),"超过20%","")</f>
        <v/>
      </c>
      <c r="G43" s="434">
        <f>IF(G38&lt;I38,I38/G38-1,G38/I38-1)</f>
        <v>1.8903591682419618E-2</v>
      </c>
      <c r="H43" s="435" t="str">
        <f>IF(OR(G43&gt;=0.2,G43&lt;=-0.2),"超过20%","")</f>
        <v/>
      </c>
      <c r="I43" s="434">
        <f>IF(I38&lt;E38,E38/I38-1,I38/E38-1)</f>
        <v>0.11153119092627595</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0</v>
      </c>
      <c r="H44" s="435" t="str">
        <f>IF(OR(G44&gt;=0.3,G44&lt;=-0.3),"超过30%","")</f>
        <v/>
      </c>
      <c r="I44" s="434">
        <f>IF(I37&lt;E37,E37/I37-1,I37/E37-1)</f>
        <v>9.0909090909090828E-2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G8 E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C592-0D92-4E1C-BDE9-15338CDE4893}">
  <sheetPr>
    <tabColor rgb="FF92D050"/>
    <pageSetUpPr fitToPage="1"/>
  </sheetPr>
  <dimension ref="A1:AC103"/>
  <sheetViews>
    <sheetView view="pageBreakPreview" topLeftCell="A19" zoomScale="115" zoomScaleNormal="60" zoomScaleSheetLayoutView="115" workbookViewId="0">
      <selection activeCell="E33" sqref="E3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1663</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686</v>
      </c>
      <c r="B3" s="536">
        <f>IF(AND(C2="——",B37="元/平方米"),C39,ROUND(B2*10000/D3,0))</f>
        <v>6</v>
      </c>
      <c r="C3" s="344" t="s">
        <v>1665</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ht="15">
      <c r="A4" s="345" t="s">
        <v>1666</v>
      </c>
      <c r="B4" s="346"/>
      <c r="C4" s="3408" t="s">
        <v>1667</v>
      </c>
      <c r="D4" s="3409"/>
      <c r="E4" s="3410" t="s">
        <v>1668</v>
      </c>
      <c r="F4" s="3411"/>
      <c r="G4" s="3408" t="s">
        <v>1669</v>
      </c>
      <c r="H4" s="3409"/>
      <c r="I4" s="3408" t="s">
        <v>1670</v>
      </c>
      <c r="J4" s="3409"/>
      <c r="K4" s="537" t="s">
        <v>1671</v>
      </c>
      <c r="L4" s="2486"/>
      <c r="M4" s="2487"/>
      <c r="N4" s="2487"/>
      <c r="O4" s="2487"/>
      <c r="P4" s="3412" t="s">
        <v>1672</v>
      </c>
      <c r="Q4" s="3413"/>
      <c r="R4" s="3395" t="s">
        <v>1668</v>
      </c>
      <c r="S4" s="3396"/>
      <c r="T4" s="3395" t="s">
        <v>1669</v>
      </c>
      <c r="U4" s="3396"/>
      <c r="V4" s="3420" t="s">
        <v>1670</v>
      </c>
      <c r="W4" s="3420"/>
      <c r="X4" s="1264"/>
      <c r="Y4" s="3395" t="s">
        <v>1672</v>
      </c>
      <c r="Z4" s="3396"/>
      <c r="AA4" s="3390" t="s">
        <v>1668</v>
      </c>
      <c r="AB4" s="3391" t="s">
        <v>1669</v>
      </c>
      <c r="AC4" s="3390" t="s">
        <v>1670</v>
      </c>
    </row>
    <row r="5" spans="1:29" ht="15">
      <c r="A5" s="348"/>
      <c r="B5" s="349"/>
      <c r="C5" s="3401" t="s">
        <v>1673</v>
      </c>
      <c r="D5" s="3402"/>
      <c r="E5" s="3451" t="s">
        <v>3438</v>
      </c>
      <c r="F5" s="3400"/>
      <c r="G5" s="3452" t="s">
        <v>3430</v>
      </c>
      <c r="H5" s="3402"/>
      <c r="I5" s="3452" t="s">
        <v>3431</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393" t="s">
        <v>1680</v>
      </c>
      <c r="Q7" s="3421"/>
      <c r="R7" s="663" t="s">
        <v>14</v>
      </c>
      <c r="S7" s="664">
        <f t="shared" ref="S7:S14" si="0">F7</f>
        <v>100</v>
      </c>
      <c r="T7" s="663" t="s">
        <v>14</v>
      </c>
      <c r="U7" s="664">
        <f t="shared" ref="U7:U14" si="1">H7</f>
        <v>100</v>
      </c>
      <c r="V7" s="663" t="s">
        <v>14</v>
      </c>
      <c r="W7" s="664">
        <f t="shared" ref="W7:W14" si="2">J7</f>
        <v>100</v>
      </c>
      <c r="X7" s="665"/>
      <c r="Y7" s="3393" t="s">
        <v>1680</v>
      </c>
      <c r="Z7" s="3394"/>
      <c r="AA7" s="50">
        <f>D7/F7</f>
        <v>1</v>
      </c>
      <c r="AB7" s="50">
        <f>D7/H7</f>
        <v>1</v>
      </c>
      <c r="AC7" s="50">
        <f>D7/J7</f>
        <v>1</v>
      </c>
    </row>
    <row r="8" spans="1:29" s="102" customFormat="1" ht="15.75" thickBot="1">
      <c r="A8" s="352" t="s">
        <v>1681</v>
      </c>
      <c r="B8" s="353"/>
      <c r="C8" s="358" t="s">
        <v>3417</v>
      </c>
      <c r="D8" s="355">
        <v>100</v>
      </c>
      <c r="E8" s="358" t="s">
        <v>3435</v>
      </c>
      <c r="F8" s="357">
        <f>SUMIF(51:51,E8,52:52)-SUMIF(51:51,C8,52:52)+100</f>
        <v>100</v>
      </c>
      <c r="G8" s="358" t="s">
        <v>3435</v>
      </c>
      <c r="H8" s="355">
        <f>SUMIF(51:51,G8,52:52)-SUMIF(51:51,C8,52:52)+100</f>
        <v>100</v>
      </c>
      <c r="I8" s="358" t="s">
        <v>3435</v>
      </c>
      <c r="J8" s="355">
        <f>SUMIF(51:51,I8,52:52)-SUMIF(51:51,C8,52:52)+100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5" t="s">
        <v>1686</v>
      </c>
      <c r="Q9" s="530" t="str">
        <f t="shared" ref="Q9:Q14" si="6">B9</f>
        <v>用途</v>
      </c>
      <c r="R9" s="663" t="s">
        <v>14</v>
      </c>
      <c r="S9" s="664">
        <f t="shared" si="0"/>
        <v>100</v>
      </c>
      <c r="T9" s="663" t="s">
        <v>14</v>
      </c>
      <c r="U9" s="664">
        <f t="shared" si="1"/>
        <v>100</v>
      </c>
      <c r="V9" s="663" t="s">
        <v>14</v>
      </c>
      <c r="W9" s="664">
        <f t="shared" si="2"/>
        <v>100</v>
      </c>
      <c r="X9" s="665"/>
      <c r="Y9" s="333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5"/>
      <c r="Q11" s="530">
        <f t="shared" si="6"/>
        <v>111</v>
      </c>
      <c r="R11" s="663" t="s">
        <v>14</v>
      </c>
      <c r="S11" s="664">
        <f t="shared" si="0"/>
        <v>100</v>
      </c>
      <c r="T11" s="663" t="s">
        <v>14</v>
      </c>
      <c r="U11" s="664">
        <f t="shared" si="1"/>
        <v>100</v>
      </c>
      <c r="V11" s="663" t="s">
        <v>14</v>
      </c>
      <c r="W11" s="664">
        <f t="shared" si="2"/>
        <v>100</v>
      </c>
      <c r="X11" s="665"/>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48"/>
      <c r="B15" s="571"/>
      <c r="C15" s="386" t="s">
        <v>3418</v>
      </c>
      <c r="D15" s="387"/>
      <c r="E15" s="386" t="s">
        <v>3418</v>
      </c>
      <c r="F15" s="388"/>
      <c r="G15" s="386" t="s">
        <v>3418</v>
      </c>
      <c r="H15" s="389"/>
      <c r="I15" s="386" t="s">
        <v>3418</v>
      </c>
      <c r="J15" s="387"/>
      <c r="K15" s="541"/>
      <c r="L15" s="2492"/>
      <c r="M15" s="2487"/>
      <c r="N15" s="2487"/>
      <c r="O15" s="2487"/>
      <c r="P15" s="3427"/>
      <c r="Q15" s="1262"/>
      <c r="R15" s="666"/>
      <c r="S15" s="667"/>
      <c r="T15" s="666"/>
      <c r="U15" s="667"/>
      <c r="V15" s="666"/>
      <c r="W15" s="667"/>
      <c r="X15" s="1264"/>
      <c r="Y15" s="342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48"/>
      <c r="B17" s="401"/>
      <c r="C17" s="1754" t="s">
        <v>3418</v>
      </c>
      <c r="D17" s="387"/>
      <c r="E17" s="1754" t="s">
        <v>3418</v>
      </c>
      <c r="F17" s="388"/>
      <c r="G17" s="1754" t="s">
        <v>3418</v>
      </c>
      <c r="H17" s="387"/>
      <c r="I17" s="1754" t="s">
        <v>3418</v>
      </c>
      <c r="J17" s="387"/>
      <c r="K17" s="541"/>
      <c r="L17" s="2492"/>
      <c r="M17" s="2487"/>
      <c r="N17" s="2487"/>
      <c r="O17" s="2487"/>
      <c r="P17" s="3427"/>
      <c r="Q17" s="1262"/>
      <c r="R17" s="666"/>
      <c r="S17" s="667"/>
      <c r="T17" s="666"/>
      <c r="U17" s="667"/>
      <c r="V17" s="666"/>
      <c r="W17" s="667"/>
      <c r="X17" s="1264"/>
      <c r="Y17" s="342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48"/>
      <c r="B19" s="557"/>
      <c r="C19" s="1754" t="s">
        <v>3419</v>
      </c>
      <c r="D19" s="389"/>
      <c r="E19" s="1754" t="s">
        <v>3419</v>
      </c>
      <c r="F19" s="392"/>
      <c r="G19" s="1754" t="s">
        <v>3419</v>
      </c>
      <c r="H19" s="387"/>
      <c r="I19" s="1754" t="s">
        <v>3419</v>
      </c>
      <c r="J19" s="387"/>
      <c r="K19" s="1063"/>
      <c r="L19" s="2492"/>
      <c r="M19" s="2487"/>
      <c r="N19" s="2487"/>
      <c r="O19" s="2487"/>
      <c r="P19" s="3427"/>
      <c r="Q19" s="1262"/>
      <c r="R19" s="666"/>
      <c r="S19" s="667"/>
      <c r="T19" s="666"/>
      <c r="U19" s="667"/>
      <c r="V19" s="666"/>
      <c r="W19" s="667"/>
      <c r="X19" s="1264"/>
      <c r="Y19" s="342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48"/>
      <c r="B21" s="401"/>
      <c r="C21" s="386" t="s">
        <v>3418</v>
      </c>
      <c r="D21" s="387"/>
      <c r="E21" s="386" t="s">
        <v>3418</v>
      </c>
      <c r="F21" s="388"/>
      <c r="G21" s="386" t="s">
        <v>3418</v>
      </c>
      <c r="H21" s="387"/>
      <c r="I21" s="386" t="s">
        <v>3418</v>
      </c>
      <c r="J21" s="387"/>
      <c r="K21" s="541"/>
      <c r="L21" s="2492"/>
      <c r="M21" s="2487"/>
      <c r="N21" s="2487"/>
      <c r="O21" s="2487"/>
      <c r="P21" s="3427"/>
      <c r="Q21" s="1262"/>
      <c r="R21" s="666"/>
      <c r="S21" s="667"/>
      <c r="T21" s="666"/>
      <c r="U21" s="667"/>
      <c r="V21" s="666"/>
      <c r="W21" s="667"/>
      <c r="X21" s="1264"/>
      <c r="Y21" s="342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7"/>
      <c r="Q24" s="1262">
        <f t="shared" ref="Q24:Q36"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7"/>
      <c r="Q25" s="530">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28.5">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31" t="s">
        <v>1696</v>
      </c>
      <c r="Z26" s="1263" t="str">
        <f t="shared" ref="Z26:Z36" si="15">Q26</f>
        <v>配套类型</v>
      </c>
      <c r="AA26" s="1263">
        <f t="shared" si="3"/>
        <v>1</v>
      </c>
      <c r="AB26" s="1263">
        <f t="shared" si="4"/>
        <v>1</v>
      </c>
      <c r="AC26" s="1263">
        <f t="shared" si="5"/>
        <v>1</v>
      </c>
    </row>
    <row r="27" spans="1:29" s="408" customFormat="1" ht="15">
      <c r="A27" s="575"/>
      <c r="B27" s="119" t="s">
        <v>1837</v>
      </c>
      <c r="C27" s="3172" t="s">
        <v>3442</v>
      </c>
      <c r="D27" s="119">
        <v>100</v>
      </c>
      <c r="E27" s="3172" t="s">
        <v>3442</v>
      </c>
      <c r="F27" s="400">
        <f>SUMIF(81:81,E27,82:82)-SUMIF(81:81,C27,82:82)+100</f>
        <v>100</v>
      </c>
      <c r="G27" s="3172" t="s">
        <v>3442</v>
      </c>
      <c r="H27" s="374">
        <f>SUMIF(81:81,G27,82:82)-SUMIF(81:81,C27,82:82)+100</f>
        <v>100</v>
      </c>
      <c r="I27" s="3172" t="s">
        <v>3442</v>
      </c>
      <c r="J27" s="374">
        <f>SUMIF(81:81,I27,82:82)-SUMIF(81:81,C27,82:82)+100</f>
        <v>100</v>
      </c>
      <c r="K27" s="539"/>
      <c r="L27" s="2491"/>
      <c r="M27" s="2493"/>
      <c r="N27" s="2493"/>
      <c r="O27" s="2493"/>
      <c r="P27" s="3431"/>
      <c r="Q27" s="531" t="str">
        <f t="shared" si="11"/>
        <v>项目停车位配比</v>
      </c>
      <c r="R27" s="668" t="s">
        <v>14</v>
      </c>
      <c r="S27" s="669">
        <f t="shared" si="12"/>
        <v>100</v>
      </c>
      <c r="T27" s="668" t="s">
        <v>14</v>
      </c>
      <c r="U27" s="669">
        <f t="shared" si="13"/>
        <v>100</v>
      </c>
      <c r="V27" s="668" t="s">
        <v>14</v>
      </c>
      <c r="W27" s="669">
        <f t="shared" si="14"/>
        <v>100</v>
      </c>
      <c r="X27" s="670"/>
      <c r="Y27" s="3431"/>
      <c r="Z27" s="671" t="str">
        <f t="shared" si="15"/>
        <v>项目停车位配比</v>
      </c>
      <c r="AA27" s="1263">
        <f t="shared" si="3"/>
        <v>1</v>
      </c>
      <c r="AB27" s="1263">
        <f t="shared" si="4"/>
        <v>1</v>
      </c>
      <c r="AC27" s="1263">
        <f t="shared" si="5"/>
        <v>1</v>
      </c>
    </row>
    <row r="28" spans="1:29" ht="1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0.8666666666666667</v>
      </c>
      <c r="N28" s="2487"/>
      <c r="O28" s="2487"/>
      <c r="P28" s="3431"/>
      <c r="Q28" s="1262" t="str">
        <f t="shared" si="11"/>
        <v>公共部分装修</v>
      </c>
      <c r="R28" s="666" t="s">
        <v>14</v>
      </c>
      <c r="S28" s="667">
        <f t="shared" si="12"/>
        <v>100</v>
      </c>
      <c r="T28" s="666" t="s">
        <v>14</v>
      </c>
      <c r="U28" s="667">
        <f t="shared" si="13"/>
        <v>100</v>
      </c>
      <c r="V28" s="666" t="s">
        <v>14</v>
      </c>
      <c r="W28" s="667">
        <f t="shared" si="14"/>
        <v>100</v>
      </c>
      <c r="X28" s="1264"/>
      <c r="Y28" s="3431"/>
      <c r="Z28" s="1263" t="str">
        <f t="shared" si="15"/>
        <v>公共部分装修</v>
      </c>
      <c r="AA28" s="1263">
        <f t="shared" si="3"/>
        <v>1</v>
      </c>
      <c r="AB28" s="1263">
        <f t="shared" si="4"/>
        <v>1</v>
      </c>
      <c r="AC28" s="1263">
        <f t="shared" si="5"/>
        <v>1</v>
      </c>
    </row>
    <row r="29" spans="1:29" ht="15">
      <c r="A29" s="576"/>
      <c r="B29" s="119" t="s">
        <v>1839</v>
      </c>
      <c r="C29" s="411">
        <v>1</v>
      </c>
      <c r="D29" s="374">
        <v>100</v>
      </c>
      <c r="E29" s="411">
        <v>0.86</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31"/>
      <c r="Q29" s="1262" t="str">
        <f t="shared" si="11"/>
        <v>成新率</v>
      </c>
      <c r="R29" s="666" t="s">
        <v>14</v>
      </c>
      <c r="S29" s="667">
        <f t="shared" si="12"/>
        <v>100</v>
      </c>
      <c r="T29" s="666" t="s">
        <v>14</v>
      </c>
      <c r="U29" s="667">
        <f t="shared" si="13"/>
        <v>100</v>
      </c>
      <c r="V29" s="666" t="s">
        <v>14</v>
      </c>
      <c r="W29" s="667">
        <f t="shared" si="14"/>
        <v>100</v>
      </c>
      <c r="X29" s="1264"/>
      <c r="Y29" s="3431"/>
      <c r="Z29" s="1263" t="str">
        <f t="shared" si="15"/>
        <v>成新率</v>
      </c>
      <c r="AA29" s="1263">
        <f t="shared" si="3"/>
        <v>1</v>
      </c>
      <c r="AB29" s="1263">
        <f t="shared" si="4"/>
        <v>1</v>
      </c>
      <c r="AC29" s="1263">
        <f t="shared" si="5"/>
        <v>1</v>
      </c>
    </row>
    <row r="30" spans="1:29" ht="1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31"/>
      <c r="Q30" s="1262" t="str">
        <f t="shared" si="11"/>
        <v>物业等级</v>
      </c>
      <c r="R30" s="666" t="s">
        <v>14</v>
      </c>
      <c r="S30" s="667">
        <f t="shared" si="12"/>
        <v>100</v>
      </c>
      <c r="T30" s="666" t="s">
        <v>14</v>
      </c>
      <c r="U30" s="667">
        <f t="shared" si="13"/>
        <v>100</v>
      </c>
      <c r="V30" s="666" t="s">
        <v>14</v>
      </c>
      <c r="W30" s="667">
        <f t="shared" si="14"/>
        <v>100</v>
      </c>
      <c r="X30" s="1264"/>
      <c r="Y30" s="343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31"/>
      <c r="Q31" s="530" t="str">
        <f t="shared" si="11"/>
        <v>停车位面积</v>
      </c>
      <c r="R31" s="663" t="s">
        <v>14</v>
      </c>
      <c r="S31" s="664">
        <f t="shared" si="12"/>
        <v>100</v>
      </c>
      <c r="T31" s="663" t="s">
        <v>14</v>
      </c>
      <c r="U31" s="664">
        <f t="shared" si="13"/>
        <v>100</v>
      </c>
      <c r="V31" s="663" t="s">
        <v>14</v>
      </c>
      <c r="W31" s="664">
        <f t="shared" si="14"/>
        <v>100</v>
      </c>
      <c r="X31" s="665"/>
      <c r="Y31" s="3431"/>
      <c r="Z31" s="50" t="str">
        <f t="shared" si="15"/>
        <v>停车位面积</v>
      </c>
      <c r="AA31" s="50">
        <f t="shared" si="3"/>
        <v>1</v>
      </c>
      <c r="AB31" s="50">
        <f t="shared" si="4"/>
        <v>1</v>
      </c>
      <c r="AC31" s="50">
        <f t="shared" si="5"/>
        <v>1</v>
      </c>
    </row>
    <row r="32" spans="1:29" ht="1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31" t="s">
        <v>1696</v>
      </c>
      <c r="Q32" s="1262" t="str">
        <f t="shared" si="11"/>
        <v>车位类型</v>
      </c>
      <c r="R32" s="666" t="s">
        <v>14</v>
      </c>
      <c r="S32" s="667">
        <f t="shared" si="12"/>
        <v>100</v>
      </c>
      <c r="T32" s="666" t="s">
        <v>14</v>
      </c>
      <c r="U32" s="667">
        <f t="shared" si="13"/>
        <v>100</v>
      </c>
      <c r="V32" s="666" t="s">
        <v>14</v>
      </c>
      <c r="W32" s="667">
        <f t="shared" si="14"/>
        <v>100</v>
      </c>
      <c r="X32" s="1264"/>
      <c r="Y32" s="3431" t="s">
        <v>1696</v>
      </c>
      <c r="Z32" s="1263" t="str">
        <f t="shared" si="15"/>
        <v>车位类型</v>
      </c>
      <c r="AA32" s="1263">
        <f t="shared" si="3"/>
        <v>1</v>
      </c>
      <c r="AB32" s="1263">
        <f t="shared" si="4"/>
        <v>1</v>
      </c>
      <c r="AC32" s="1263">
        <f t="shared" si="5"/>
        <v>1</v>
      </c>
    </row>
    <row r="33" spans="1:29" ht="1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31"/>
      <c r="Q33" s="1262" t="str">
        <f t="shared" si="11"/>
        <v>是否直接入户</v>
      </c>
      <c r="R33" s="666" t="s">
        <v>14</v>
      </c>
      <c r="S33" s="667">
        <f t="shared" si="12"/>
        <v>100</v>
      </c>
      <c r="T33" s="666" t="s">
        <v>14</v>
      </c>
      <c r="U33" s="667">
        <f t="shared" si="13"/>
        <v>100</v>
      </c>
      <c r="V33" s="666" t="s">
        <v>14</v>
      </c>
      <c r="W33" s="667">
        <f t="shared" si="14"/>
        <v>100</v>
      </c>
      <c r="X33" s="1264"/>
      <c r="Y33" s="343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1"/>
      <c r="Q35" s="531">
        <f t="shared" si="11"/>
        <v>111</v>
      </c>
      <c r="R35" s="668" t="s">
        <v>14</v>
      </c>
      <c r="S35" s="669">
        <f t="shared" si="12"/>
        <v>100</v>
      </c>
      <c r="T35" s="668" t="s">
        <v>14</v>
      </c>
      <c r="U35" s="669">
        <f t="shared" si="13"/>
        <v>100</v>
      </c>
      <c r="V35" s="668" t="s">
        <v>14</v>
      </c>
      <c r="W35" s="669">
        <f t="shared" si="14"/>
        <v>100</v>
      </c>
      <c r="X35" s="670"/>
      <c r="Y35" s="3431"/>
      <c r="Z35" s="671">
        <f t="shared" si="15"/>
        <v>111</v>
      </c>
      <c r="AA35" s="1263">
        <f t="shared" si="3"/>
        <v>1</v>
      </c>
      <c r="AB35" s="1263">
        <f t="shared" si="4"/>
        <v>1</v>
      </c>
      <c r="AC35" s="1263">
        <f t="shared" si="5"/>
        <v>1</v>
      </c>
    </row>
    <row r="36" spans="1:29" ht="15.75"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1"/>
      <c r="Q36" s="1262">
        <f t="shared" si="11"/>
        <v>111</v>
      </c>
      <c r="R36" s="666" t="s">
        <v>14</v>
      </c>
      <c r="S36" s="667">
        <f t="shared" si="12"/>
        <v>100</v>
      </c>
      <c r="T36" s="666" t="s">
        <v>14</v>
      </c>
      <c r="U36" s="667">
        <f t="shared" si="13"/>
        <v>100</v>
      </c>
      <c r="V36" s="666" t="s">
        <v>14</v>
      </c>
      <c r="W36" s="667">
        <f t="shared" si="14"/>
        <v>100</v>
      </c>
      <c r="X36" s="1264"/>
      <c r="Y36" s="3431"/>
      <c r="Z36" s="1263">
        <f t="shared" si="15"/>
        <v>111</v>
      </c>
      <c r="AA36" s="1263">
        <f t="shared" si="3"/>
        <v>1</v>
      </c>
      <c r="AB36" s="1263">
        <f t="shared" si="4"/>
        <v>1</v>
      </c>
      <c r="AC36" s="1263">
        <f t="shared" si="5"/>
        <v>1</v>
      </c>
    </row>
    <row r="37" spans="1:29" ht="15">
      <c r="A37" s="416" t="s">
        <v>1844</v>
      </c>
      <c r="B37" s="1820" t="s">
        <v>3352</v>
      </c>
      <c r="C37" s="1080" t="s">
        <v>0</v>
      </c>
      <c r="D37" s="418"/>
      <c r="E37" s="419">
        <v>6</v>
      </c>
      <c r="F37" s="420"/>
      <c r="G37" s="421">
        <v>6</v>
      </c>
      <c r="H37" s="422"/>
      <c r="I37" s="419">
        <v>6</v>
      </c>
      <c r="J37" s="422"/>
      <c r="K37" s="545"/>
      <c r="L37" s="2494"/>
      <c r="M37" s="2487"/>
      <c r="N37" s="2487"/>
      <c r="O37" s="2487"/>
      <c r="P37" s="3425" t="str">
        <f>A37</f>
        <v>成交单价</v>
      </c>
      <c r="Q37" s="3425"/>
      <c r="R37" s="3420">
        <f>E37</f>
        <v>6</v>
      </c>
      <c r="S37" s="3420"/>
      <c r="T37" s="3420">
        <f>G37</f>
        <v>6</v>
      </c>
      <c r="U37" s="3420"/>
      <c r="V37" s="3420">
        <f>I37</f>
        <v>6</v>
      </c>
      <c r="W37" s="3420"/>
      <c r="X37" s="385"/>
      <c r="Y37" s="672"/>
      <c r="Z37" s="385"/>
      <c r="AA37" s="385"/>
      <c r="AB37" s="385"/>
      <c r="AC37" s="385"/>
    </row>
    <row r="38" spans="1:29" ht="15.75" thickBot="1">
      <c r="A38" s="423" t="s">
        <v>1709</v>
      </c>
      <c r="B38" s="424" t="str">
        <f>B37</f>
        <v>元/平方米</v>
      </c>
      <c r="C38" s="1081">
        <f>R39</f>
        <v>6</v>
      </c>
      <c r="D38" s="2140" t="s">
        <v>2138</v>
      </c>
      <c r="E38" s="1082">
        <f>R38</f>
        <v>6</v>
      </c>
      <c r="F38" s="2141"/>
      <c r="G38" s="1081">
        <f>T38</f>
        <v>6</v>
      </c>
      <c r="H38" s="2141"/>
      <c r="I38" s="1082">
        <f>V38</f>
        <v>6</v>
      </c>
      <c r="J38" s="2141"/>
      <c r="K38" s="2143">
        <f>F38+H38+J38</f>
        <v>0</v>
      </c>
      <c r="L38" s="2494"/>
      <c r="M38" s="2487"/>
      <c r="N38" s="2487"/>
      <c r="O38" s="2487"/>
      <c r="P38" s="3425" t="str">
        <f>A38</f>
        <v>比较价值（元/平方米）</v>
      </c>
      <c r="Q38" s="3425"/>
      <c r="R38" s="3420">
        <f>IF(F1="售价",ROUND(PRODUCT(R37,AA7:AA36),0),ROUND(PRODUCT(R37,AA7:AA36),1))</f>
        <v>6</v>
      </c>
      <c r="S38" s="3420"/>
      <c r="T38" s="3420">
        <f>IF(F1="售价",ROUND(PRODUCT(T37,AB7:AB36),0),ROUND(PRODUCT(T37,AB7:AB36),1))</f>
        <v>6</v>
      </c>
      <c r="U38" s="3420"/>
      <c r="V38" s="3420">
        <f>IF(F1="售价",ROUND(PRODUCT(V37,AC7:AC36),0),ROUND(PRODUCT(V37,AC7:AC36),1))</f>
        <v>6</v>
      </c>
      <c r="W38" s="3420"/>
      <c r="X38" s="385"/>
      <c r="Y38" s="385"/>
      <c r="Z38" s="385"/>
      <c r="AA38" s="385"/>
      <c r="AB38" s="385"/>
      <c r="AC38" s="385"/>
    </row>
    <row r="39" spans="1:29" ht="15.75" thickBot="1">
      <c r="A39" s="427" t="s">
        <v>1846</v>
      </c>
      <c r="B39" s="428"/>
      <c r="C39" s="351">
        <f>R39</f>
        <v>6</v>
      </c>
      <c r="D39" s="351"/>
      <c r="E39" s="351"/>
      <c r="F39" s="351"/>
      <c r="G39" s="351"/>
      <c r="H39" s="351"/>
      <c r="I39" s="351"/>
      <c r="J39" s="351"/>
      <c r="K39" s="546"/>
      <c r="L39" s="2494"/>
      <c r="M39" s="2487"/>
      <c r="N39" s="2487"/>
      <c r="O39" s="2487"/>
      <c r="P39" s="3422" t="str">
        <f>A39</f>
        <v>估价对象XX用房的比较价值（楼面单价，元/平方米）</v>
      </c>
      <c r="Q39" s="3423"/>
      <c r="R39" s="3453">
        <f>IF(F1="售价",ROUND(IF(D38="简单平均",AVERAGE(R38:W38),R38*F38+T38*H38+V38*J38),0),ROUND(IF(D38="简单平均",AVERAGE(R38:V38),R38*F38+T38*H38+V38*J38),1))</f>
        <v>6</v>
      </c>
      <c r="S39" s="3453"/>
      <c r="T39" s="3453"/>
      <c r="U39" s="3453"/>
      <c r="V39" s="3453"/>
      <c r="W39" s="3453"/>
      <c r="X39" s="385"/>
      <c r="Y39" s="385"/>
      <c r="Z39" s="385"/>
      <c r="AA39" s="385"/>
      <c r="AB39" s="385"/>
      <c r="AC39" s="385"/>
    </row>
    <row r="40" spans="1:29">
      <c r="A40" s="2487"/>
      <c r="B40" s="2487"/>
      <c r="C40" s="2487"/>
      <c r="D40" s="2487"/>
      <c r="E40" s="2487">
        <v>2018</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1711</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1712</v>
      </c>
      <c r="D43" s="436"/>
      <c r="E43" s="434">
        <f>IF(E38&lt;G38,G38/E38-1,E38/G38-1)</f>
        <v>0</v>
      </c>
      <c r="F43" s="435" t="str">
        <f>IF(OR(E43&gt;=0.2,E43&lt;=-0.2),"超过20%","")</f>
        <v/>
      </c>
      <c r="G43" s="434">
        <f>IF(G38&lt;I38,I38/G38-1,G38/I38-1)</f>
        <v>0</v>
      </c>
      <c r="H43" s="435" t="str">
        <f>IF(OR(G43&gt;=0.2,G43&lt;=-0.2),"超过20%","")</f>
        <v/>
      </c>
      <c r="I43" s="434">
        <f>IF(I38&lt;E38,E38/I38-1,I38/E38-1)</f>
        <v>0</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1713</v>
      </c>
      <c r="D44" s="436"/>
      <c r="E44" s="434">
        <f>IF(E37&lt;G37,G37/E37-1,E37/G37-1)</f>
        <v>0</v>
      </c>
      <c r="F44" s="435" t="str">
        <f>IF(OR(E44&gt;=0.3,E44&lt;=-0.3),"超过30%","")</f>
        <v/>
      </c>
      <c r="G44" s="434">
        <f>IF(G37&lt;I37,I37/G37-1,G37/I37-1)</f>
        <v>0</v>
      </c>
      <c r="H44" s="435" t="str">
        <f>IF(OR(G44&gt;=0.3,G44&lt;=-0.3),"超过30%","")</f>
        <v/>
      </c>
      <c r="I44" s="434">
        <f>IF(I37&lt;E37,E37/I37-1,I37/E37-1)</f>
        <v>0</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1714</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1679</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1718</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E1" xr:uid="{AB63D903-E26D-41D1-951B-AE6361B57F36}">
      <formula1>"项目模式,单套模式"</formula1>
    </dataValidation>
    <dataValidation type="list" allowBlank="1" showInputMessage="1" showErrorMessage="1" sqref="D38" xr:uid="{FAF9573A-F2BD-43D0-89F1-031966147F44}">
      <formula1>"简单平均,加权平均"</formula1>
    </dataValidation>
    <dataValidation type="list" allowBlank="1" showInputMessage="1" showErrorMessage="1" sqref="F2" xr:uid="{64FE9605-4BFE-4E9A-9227-4E1D594F124A}">
      <formula1>估价方法</formula1>
    </dataValidation>
    <dataValidation type="list" allowBlank="1" showInputMessage="1" showErrorMessage="1" sqref="C2" xr:uid="{4529294E-DD02-4766-856C-5AA66AB9B9F4}">
      <formula1>"需扣减承租人权益,——"</formula1>
    </dataValidation>
    <dataValidation type="list" allowBlank="1" showInputMessage="1" showErrorMessage="1" sqref="F1" xr:uid="{5D85E6D8-BE9B-460E-B781-31826B0A842F}">
      <formula1>"售价,租金"</formula1>
    </dataValidation>
    <dataValidation type="list" allowBlank="1" showInputMessage="1" showErrorMessage="1" sqref="C19 E19 G19 I19" xr:uid="{420DEB90-7224-46AC-93D1-5A388ACD2061}">
      <formula1>基础设施水平</formula1>
    </dataValidation>
    <dataValidation type="list" allowBlank="1" showInputMessage="1" showErrorMessage="1" sqref="C21 E21 G21 I21" xr:uid="{C9E9DED9-3A8A-475D-86FA-3BA71A244501}">
      <formula1>环境</formula1>
    </dataValidation>
    <dataValidation type="list" allowBlank="1" showInputMessage="1" showErrorMessage="1" sqref="B37" xr:uid="{1A40765F-9160-4D05-B570-61DCB94C0D2F}">
      <formula1>"元/平方米,元/车位"</formula1>
    </dataValidation>
    <dataValidation type="list" allowBlank="1" showInputMessage="1" showErrorMessage="1" sqref="C28 E28 G28 I28" xr:uid="{16BBE852-4215-49BE-BF74-895BDE1420A8}">
      <formula1>车位公共部分装修</formula1>
    </dataValidation>
    <dataValidation type="list" allowBlank="1" showInputMessage="1" showErrorMessage="1" sqref="I26 E26 G26" xr:uid="{E689B007-7E01-4DCE-B325-DE880724D4C9}">
      <formula1>车位配套类型</formula1>
    </dataValidation>
    <dataValidation type="list" allowBlank="1" showInputMessage="1" showErrorMessage="1" sqref="B1" xr:uid="{1FA7E3C6-686A-4C34-99C3-1259D5274467}">
      <formula1>地类判定</formula1>
    </dataValidation>
    <dataValidation type="list" allowBlank="1" showInputMessage="1" showErrorMessage="1" sqref="C33 E33 G33 I33" xr:uid="{4D8D70A5-3A21-4B7F-A6E2-A8BCA13896DF}">
      <formula1>是否直接入户</formula1>
    </dataValidation>
    <dataValidation type="list" allowBlank="1" showInputMessage="1" showErrorMessage="1" sqref="C32 E32 G32 I32" xr:uid="{19043B64-161F-453D-9F7E-D8236C008E79}">
      <formula1>车位类型</formula1>
    </dataValidation>
    <dataValidation type="list" allowBlank="1" showInputMessage="1" showErrorMessage="1" sqref="C30 E30 G30 I30" xr:uid="{1A7EE734-9CBF-4F1A-8630-5305F1C1FC91}">
      <formula1>车位物业等级</formula1>
    </dataValidation>
    <dataValidation type="list" allowBlank="1" showInputMessage="1" showErrorMessage="1" sqref="C22 E22 G22 I22" xr:uid="{5EFA4877-F238-462B-92C7-67E180B9A797}">
      <formula1>车位楼层</formula1>
    </dataValidation>
    <dataValidation type="list" allowBlank="1" showInputMessage="1" showErrorMessage="1" sqref="E9 G9 I9" xr:uid="{31DC31E2-DC25-43BE-9D23-A70864A56379}">
      <formula1>车位用途</formula1>
    </dataValidation>
    <dataValidation type="list" allowBlank="1" showInputMessage="1" showErrorMessage="1" sqref="C8 E8 G8 I8" xr:uid="{2A161D50-C2CE-488F-B2A1-E144C1E171E0}">
      <formula1>车位交易情况</formula1>
    </dataValidation>
    <dataValidation type="list" allowBlank="1" showInputMessage="1" showErrorMessage="1" sqref="G15 E15 C15 I15" xr:uid="{D6E99EE0-0263-4D0A-A70D-0975109E154B}">
      <formula1>交通便捷度</formula1>
    </dataValidation>
    <dataValidation type="list" allowBlank="1" showInputMessage="1" showErrorMessage="1" sqref="G17 C17 E17 I17" xr:uid="{4935B5EC-6DDC-404F-AC19-2B6881C7C9F9}">
      <formula1>公共配套设施</formula1>
    </dataValidation>
    <dataValidation type="list" allowBlank="1" showInputMessage="1" showErrorMessage="1" sqref="D1" xr:uid="{57799E07-B5D5-40A0-8F0F-9FF52EEB34FE}">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5BE8-2BA9-4387-BB62-A8A91604AE92}">
  <dimension ref="M52:M55"/>
  <sheetViews>
    <sheetView topLeftCell="F22" workbookViewId="0">
      <selection activeCell="P57" sqref="P57"/>
    </sheetView>
  </sheetViews>
  <sheetFormatPr defaultRowHeight="13.5"/>
  <sheetData>
    <row r="52" spans="13:13">
      <c r="M52">
        <v>97300</v>
      </c>
    </row>
    <row r="53" spans="13:13">
      <c r="M53">
        <v>510</v>
      </c>
    </row>
    <row r="54" spans="13:13">
      <c r="M54">
        <f>M53/M52</f>
        <v>5.2415210688591986E-3</v>
      </c>
    </row>
    <row r="55" spans="13:13">
      <c r="M55">
        <f>M52/M53</f>
        <v>190.78431372549019</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202D-266B-49D9-9F15-11BC47C70B54}">
  <dimension ref="F3:O34"/>
  <sheetViews>
    <sheetView tabSelected="1" workbookViewId="0">
      <selection activeCell="I30" sqref="I30:I33"/>
    </sheetView>
  </sheetViews>
  <sheetFormatPr defaultRowHeight="13.5"/>
  <cols>
    <col min="6" max="6" width="47.125" style="3174" customWidth="1"/>
    <col min="7" max="7" width="19.875" style="3174" customWidth="1"/>
    <col min="8" max="8" width="12.25" style="3174" customWidth="1"/>
    <col min="9" max="9" width="11.5" style="3174" customWidth="1"/>
    <col min="10" max="10" width="19.625" customWidth="1"/>
    <col min="11" max="11" width="10.25" bestFit="1" customWidth="1"/>
  </cols>
  <sheetData>
    <row r="3" spans="6:15">
      <c r="H3" s="3174">
        <f>H7/H4</f>
        <v>6.2951759532499052</v>
      </c>
    </row>
    <row r="4" spans="6:15" ht="27">
      <c r="F4" s="3176" t="s">
        <v>3443</v>
      </c>
      <c r="H4" s="3174">
        <v>15459.22</v>
      </c>
      <c r="I4" s="3175" t="s">
        <v>3446</v>
      </c>
      <c r="J4" s="3174">
        <v>52599.116000000002</v>
      </c>
      <c r="K4">
        <v>531000000</v>
      </c>
      <c r="L4" s="3174">
        <v>11966</v>
      </c>
      <c r="M4">
        <f>K4/L4</f>
        <v>44375.731238509106</v>
      </c>
      <c r="O4" t="s">
        <v>3445</v>
      </c>
    </row>
    <row r="5" spans="6:15" ht="27">
      <c r="F5" s="3175" t="s">
        <v>3444</v>
      </c>
      <c r="G5" s="3175" t="s">
        <v>3449</v>
      </c>
      <c r="H5" s="3174">
        <v>9426.41</v>
      </c>
      <c r="I5" s="3175" t="s">
        <v>3447</v>
      </c>
      <c r="J5" s="3175" t="s">
        <v>3448</v>
      </c>
    </row>
    <row r="6" spans="6:15" ht="27">
      <c r="G6" s="3175" t="s">
        <v>3450</v>
      </c>
      <c r="H6" s="3174">
        <v>6032.81</v>
      </c>
      <c r="I6" s="3175" t="s">
        <v>3447</v>
      </c>
      <c r="J6" s="3175" t="s">
        <v>3448</v>
      </c>
    </row>
    <row r="7" spans="6:15" ht="27">
      <c r="F7" s="3175" t="s">
        <v>3451</v>
      </c>
      <c r="H7" s="3174">
        <v>97318.51</v>
      </c>
      <c r="J7">
        <v>13</v>
      </c>
      <c r="K7">
        <v>-1</v>
      </c>
      <c r="L7" s="3174">
        <v>59.9</v>
      </c>
      <c r="M7" s="3174">
        <v>-5.9</v>
      </c>
    </row>
    <row r="8" spans="6:15" ht="27">
      <c r="F8" s="3174">
        <v>1</v>
      </c>
      <c r="G8" s="3175" t="s">
        <v>3452</v>
      </c>
      <c r="H8" s="3174">
        <v>4420</v>
      </c>
    </row>
    <row r="9" spans="6:15" ht="27">
      <c r="G9" s="3175" t="s">
        <v>3453</v>
      </c>
      <c r="H9" s="3174">
        <v>2777</v>
      </c>
    </row>
    <row r="10" spans="6:15">
      <c r="G10" s="3175" t="s">
        <v>3454</v>
      </c>
      <c r="H10" s="3174">
        <v>160</v>
      </c>
    </row>
    <row r="11" spans="6:15">
      <c r="G11" s="3175" t="s">
        <v>2812</v>
      </c>
      <c r="H11" s="3174">
        <v>25216.76</v>
      </c>
    </row>
    <row r="12" spans="6:15">
      <c r="G12" s="3175" t="s">
        <v>3455</v>
      </c>
      <c r="H12" s="3174">
        <v>2886.27</v>
      </c>
      <c r="I12" s="3174">
        <v>4513.51</v>
      </c>
    </row>
    <row r="13" spans="6:15">
      <c r="G13" s="3175" t="s">
        <v>3397</v>
      </c>
      <c r="H13" s="3174">
        <v>83.5</v>
      </c>
      <c r="I13" s="3174">
        <v>68.290000000000006</v>
      </c>
    </row>
    <row r="14" spans="6:15">
      <c r="G14" s="3175" t="s">
        <v>3456</v>
      </c>
      <c r="H14" s="3174">
        <v>465.36</v>
      </c>
      <c r="I14" s="3174">
        <v>2675.2</v>
      </c>
    </row>
    <row r="15" spans="6:15">
      <c r="G15" s="3175" t="s">
        <v>3457</v>
      </c>
      <c r="I15" s="3174">
        <v>673.72</v>
      </c>
    </row>
    <row r="16" spans="6:15">
      <c r="F16" s="3174">
        <v>2</v>
      </c>
      <c r="G16" s="3175" t="s">
        <v>3458</v>
      </c>
      <c r="I16" s="3174">
        <v>3839.64</v>
      </c>
    </row>
    <row r="17" spans="6:9">
      <c r="G17" s="3177" t="s">
        <v>3459</v>
      </c>
      <c r="H17" s="3178"/>
      <c r="I17" s="3178">
        <v>15287.91</v>
      </c>
    </row>
    <row r="18" spans="6:9">
      <c r="G18" s="3175" t="s">
        <v>3460</v>
      </c>
      <c r="I18" s="3174">
        <v>2549.1999999999998</v>
      </c>
    </row>
    <row r="19" spans="6:9">
      <c r="G19" s="3175" t="s">
        <v>3461</v>
      </c>
      <c r="I19" s="3174">
        <v>120</v>
      </c>
    </row>
    <row r="20" spans="6:9">
      <c r="F20" s="3174">
        <v>3</v>
      </c>
      <c r="G20" s="3175" t="s">
        <v>3462</v>
      </c>
      <c r="H20" s="3174">
        <v>1500</v>
      </c>
    </row>
    <row r="21" spans="6:9">
      <c r="G21" s="3175" t="s">
        <v>3463</v>
      </c>
      <c r="H21" s="3174">
        <v>1200</v>
      </c>
    </row>
    <row r="22" spans="6:9">
      <c r="G22" s="3175" t="s">
        <v>3464</v>
      </c>
      <c r="H22" s="3174">
        <v>3000</v>
      </c>
    </row>
    <row r="23" spans="6:9">
      <c r="G23" s="3175" t="s">
        <v>3465</v>
      </c>
      <c r="H23" s="3174">
        <v>5136.42</v>
      </c>
    </row>
    <row r="24" spans="6:9">
      <c r="G24" s="3175" t="s">
        <v>3466</v>
      </c>
      <c r="H24" s="3174">
        <v>1003.58</v>
      </c>
    </row>
    <row r="25" spans="6:9">
      <c r="G25" s="3175" t="s">
        <v>2812</v>
      </c>
      <c r="H25" s="3174">
        <v>2613.94</v>
      </c>
    </row>
    <row r="26" spans="6:9">
      <c r="G26" s="3175" t="s">
        <v>3455</v>
      </c>
      <c r="H26" s="3174">
        <v>1565.99</v>
      </c>
      <c r="I26" s="3174">
        <v>3794.56</v>
      </c>
    </row>
    <row r="27" spans="6:9">
      <c r="G27" s="3175" t="s">
        <v>3397</v>
      </c>
      <c r="H27" s="3174">
        <v>33.5</v>
      </c>
      <c r="I27" s="3174">
        <v>32.520000000000003</v>
      </c>
    </row>
    <row r="28" spans="6:9">
      <c r="G28" s="3175" t="s">
        <v>3460</v>
      </c>
      <c r="H28" s="3174">
        <v>536.79</v>
      </c>
      <c r="I28" s="3174">
        <v>539.4</v>
      </c>
    </row>
    <row r="29" spans="6:9">
      <c r="G29" s="3175" t="s">
        <v>3457</v>
      </c>
      <c r="I29" s="3174">
        <v>608.16999999999996</v>
      </c>
    </row>
    <row r="30" spans="6:9">
      <c r="F30" s="3174">
        <v>4</v>
      </c>
      <c r="G30" s="3175" t="s">
        <v>3458</v>
      </c>
      <c r="I30" s="3174">
        <v>1767.55</v>
      </c>
    </row>
    <row r="31" spans="6:9">
      <c r="G31" s="3177" t="s">
        <v>3459</v>
      </c>
      <c r="H31" s="3178"/>
      <c r="I31" s="3178">
        <v>7307.92</v>
      </c>
    </row>
    <row r="32" spans="6:9">
      <c r="G32" s="3175" t="s">
        <v>3460</v>
      </c>
      <c r="I32" s="3174">
        <v>941.81</v>
      </c>
    </row>
    <row r="34" spans="6:10" ht="27">
      <c r="F34" s="3175" t="s">
        <v>3467</v>
      </c>
      <c r="H34" s="3174">
        <v>97318.51</v>
      </c>
      <c r="I34" s="3174">
        <v>68592.054734999998</v>
      </c>
      <c r="J34">
        <f>I34/H34*10000</f>
        <v>7048.2023137222304</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93" t="s">
        <v>1680</v>
      </c>
      <c r="Q7" s="3421"/>
      <c r="R7" s="663" t="s">
        <v>14</v>
      </c>
      <c r="S7" s="664">
        <f t="shared" ref="S7:S14" si="0">F7</f>
        <v>0</v>
      </c>
      <c r="T7" s="663" t="s">
        <v>14</v>
      </c>
      <c r="U7" s="664">
        <f t="shared" ref="U7:U14" si="1">H7</f>
        <v>0</v>
      </c>
      <c r="V7" s="663" t="s">
        <v>14</v>
      </c>
      <c r="W7" s="664">
        <f t="shared" ref="W7:W14" si="2">J7</f>
        <v>0</v>
      </c>
      <c r="X7" s="665"/>
      <c r="Y7" s="3393" t="s">
        <v>1680</v>
      </c>
      <c r="Z7" s="339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5" t="s">
        <v>1686</v>
      </c>
      <c r="Q9" s="530" t="str">
        <f t="shared" ref="Q9:Q14" si="6">B9</f>
        <v>用途</v>
      </c>
      <c r="R9" s="663" t="s">
        <v>14</v>
      </c>
      <c r="S9" s="664">
        <f t="shared" si="0"/>
        <v>100</v>
      </c>
      <c r="T9" s="663" t="s">
        <v>14</v>
      </c>
      <c r="U9" s="664">
        <f t="shared" si="1"/>
        <v>100</v>
      </c>
      <c r="V9" s="663" t="s">
        <v>14</v>
      </c>
      <c r="W9" s="664">
        <f t="shared" si="2"/>
        <v>100</v>
      </c>
      <c r="X9" s="665"/>
      <c r="Y9" s="333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5"/>
      <c r="Q10" s="530" t="str">
        <f t="shared" si="6"/>
        <v>土地使用年限（年）</v>
      </c>
      <c r="R10" s="663" t="s">
        <v>14</v>
      </c>
      <c r="S10" s="664">
        <f t="shared" si="0"/>
        <v>100</v>
      </c>
      <c r="T10" s="663" t="s">
        <v>14</v>
      </c>
      <c r="U10" s="664">
        <f t="shared" si="1"/>
        <v>100</v>
      </c>
      <c r="V10" s="663" t="s">
        <v>14</v>
      </c>
      <c r="W10" s="664">
        <f t="shared" si="2"/>
        <v>100</v>
      </c>
      <c r="X10" s="665"/>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5"/>
      <c r="Q11" s="530">
        <f t="shared" si="6"/>
        <v>111</v>
      </c>
      <c r="R11" s="663" t="s">
        <v>14</v>
      </c>
      <c r="S11" s="664">
        <f t="shared" si="0"/>
        <v>100</v>
      </c>
      <c r="T11" s="663" t="s">
        <v>14</v>
      </c>
      <c r="U11" s="664">
        <f t="shared" si="1"/>
        <v>100</v>
      </c>
      <c r="V11" s="663" t="s">
        <v>14</v>
      </c>
      <c r="W11" s="664">
        <f t="shared" si="2"/>
        <v>100</v>
      </c>
      <c r="X11" s="665"/>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27"/>
      <c r="Q15" s="1262"/>
      <c r="R15" s="666"/>
      <c r="S15" s="667"/>
      <c r="T15" s="666"/>
      <c r="U15" s="667"/>
      <c r="V15" s="666"/>
      <c r="W15" s="667"/>
      <c r="X15" s="1264"/>
      <c r="Y15" s="342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27"/>
      <c r="Q17" s="1262"/>
      <c r="R17" s="666"/>
      <c r="S17" s="667"/>
      <c r="T17" s="666"/>
      <c r="U17" s="667"/>
      <c r="V17" s="666"/>
      <c r="W17" s="667"/>
      <c r="X17" s="1264"/>
      <c r="Y17" s="3427"/>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27"/>
      <c r="Q19" s="1262"/>
      <c r="R19" s="666"/>
      <c r="S19" s="667"/>
      <c r="T19" s="666"/>
      <c r="U19" s="667"/>
      <c r="V19" s="666"/>
      <c r="W19" s="667"/>
      <c r="X19" s="1264"/>
      <c r="Y19" s="342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27"/>
      <c r="Q21" s="1262"/>
      <c r="R21" s="666"/>
      <c r="S21" s="667"/>
      <c r="T21" s="666"/>
      <c r="U21" s="667"/>
      <c r="V21" s="666"/>
      <c r="W21" s="667"/>
      <c r="X21" s="1264"/>
      <c r="Y21" s="342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7"/>
      <c r="Q24" s="1262">
        <f t="shared" ref="Q24:Q34"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75" thickBot="1">
      <c r="A25" s="370"/>
      <c r="B25" s="447">
        <v>111</v>
      </c>
      <c r="C25" s="1823"/>
      <c r="D25" s="557">
        <v>100</v>
      </c>
      <c r="E25" s="1823"/>
      <c r="F25" s="585">
        <f>SUMIF(75:75,E25,76:76)-SUMIF(75:75,C25,76:76)+100</f>
        <v>100</v>
      </c>
      <c r="G25" s="1823"/>
      <c r="H25" s="557">
        <f>SUMIF(75:75,G25,76:76)-SUMIF(75:75,C25,76:76)+100</f>
        <v>100</v>
      </c>
      <c r="I25" s="1823"/>
      <c r="J25" s="557">
        <f>SUMIF(75:75,I25,76:76)-SUMIF(75:75,C25,76:76)+100</f>
        <v>100</v>
      </c>
      <c r="K25" s="539"/>
      <c r="L25" s="2488"/>
      <c r="M25" s="2439"/>
      <c r="N25" s="2439"/>
      <c r="O25" s="2540"/>
      <c r="P25" s="3427"/>
      <c r="Q25" s="530">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1"/>
      <c r="Q27" s="531" t="str">
        <f t="shared" si="11"/>
        <v>成新率</v>
      </c>
      <c r="R27" s="668" t="s">
        <v>14</v>
      </c>
      <c r="S27" s="669" t="e">
        <f t="shared" si="12"/>
        <v>#N/A</v>
      </c>
      <c r="T27" s="668" t="s">
        <v>14</v>
      </c>
      <c r="U27" s="669" t="e">
        <f t="shared" si="13"/>
        <v>#N/A</v>
      </c>
      <c r="V27" s="668" t="s">
        <v>14</v>
      </c>
      <c r="W27" s="669" t="e">
        <f t="shared" si="14"/>
        <v>#N/A</v>
      </c>
      <c r="X27" s="670"/>
      <c r="Y27" s="343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1"/>
      <c r="Q28" s="1262" t="str">
        <f t="shared" si="11"/>
        <v>物业等级</v>
      </c>
      <c r="R28" s="666" t="s">
        <v>14</v>
      </c>
      <c r="S28" s="667">
        <f t="shared" si="12"/>
        <v>100</v>
      </c>
      <c r="T28" s="666" t="s">
        <v>14</v>
      </c>
      <c r="U28" s="667">
        <f t="shared" si="13"/>
        <v>100</v>
      </c>
      <c r="V28" s="666" t="s">
        <v>14</v>
      </c>
      <c r="W28" s="667">
        <f t="shared" si="14"/>
        <v>100</v>
      </c>
      <c r="X28" s="1264"/>
      <c r="Y28" s="343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31"/>
      <c r="Q29" s="1262" t="str">
        <f t="shared" si="11"/>
        <v>有无电梯</v>
      </c>
      <c r="R29" s="666" t="s">
        <v>14</v>
      </c>
      <c r="S29" s="667">
        <f t="shared" si="12"/>
        <v>100</v>
      </c>
      <c r="T29" s="666" t="s">
        <v>14</v>
      </c>
      <c r="U29" s="667">
        <f t="shared" si="13"/>
        <v>100</v>
      </c>
      <c r="V29" s="666" t="s">
        <v>14</v>
      </c>
      <c r="W29" s="667">
        <f t="shared" si="14"/>
        <v>100</v>
      </c>
      <c r="X29" s="1264"/>
      <c r="Y29" s="343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1"/>
      <c r="Q30" s="1262" t="str">
        <f t="shared" si="11"/>
        <v>建筑面积</v>
      </c>
      <c r="R30" s="666" t="s">
        <v>14</v>
      </c>
      <c r="S30" s="667" t="e">
        <f t="shared" si="12"/>
        <v>#N/A</v>
      </c>
      <c r="T30" s="666" t="s">
        <v>14</v>
      </c>
      <c r="U30" s="667" t="e">
        <f t="shared" si="13"/>
        <v>#N/A</v>
      </c>
      <c r="V30" s="666" t="s">
        <v>14</v>
      </c>
      <c r="W30" s="667" t="e">
        <f t="shared" si="14"/>
        <v>#N/A</v>
      </c>
      <c r="X30" s="1264"/>
      <c r="Y30" s="343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31"/>
      <c r="Q31" s="530" t="str">
        <f t="shared" si="11"/>
        <v>是否封闭</v>
      </c>
      <c r="R31" s="663" t="s">
        <v>14</v>
      </c>
      <c r="S31" s="664">
        <f t="shared" si="12"/>
        <v>100</v>
      </c>
      <c r="T31" s="663" t="s">
        <v>14</v>
      </c>
      <c r="U31" s="664">
        <f t="shared" si="13"/>
        <v>100</v>
      </c>
      <c r="V31" s="663" t="s">
        <v>14</v>
      </c>
      <c r="W31" s="664">
        <f t="shared" si="14"/>
        <v>100</v>
      </c>
      <c r="X31" s="665"/>
      <c r="Y31" s="343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1" t="s">
        <v>1696</v>
      </c>
      <c r="Q32" s="1262">
        <f t="shared" si="11"/>
        <v>111</v>
      </c>
      <c r="R32" s="666" t="s">
        <v>14</v>
      </c>
      <c r="S32" s="667">
        <f t="shared" si="12"/>
        <v>100</v>
      </c>
      <c r="T32" s="666" t="s">
        <v>14</v>
      </c>
      <c r="U32" s="667">
        <f t="shared" si="13"/>
        <v>100</v>
      </c>
      <c r="V32" s="666" t="s">
        <v>14</v>
      </c>
      <c r="W32" s="667">
        <f t="shared" si="14"/>
        <v>100</v>
      </c>
      <c r="X32" s="1264"/>
      <c r="Y32" s="343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1"/>
      <c r="Q33" s="1262">
        <f t="shared" si="11"/>
        <v>111</v>
      </c>
      <c r="R33" s="666" t="s">
        <v>14</v>
      </c>
      <c r="S33" s="667">
        <f t="shared" si="12"/>
        <v>100</v>
      </c>
      <c r="T33" s="666" t="s">
        <v>14</v>
      </c>
      <c r="U33" s="667">
        <f t="shared" si="13"/>
        <v>100</v>
      </c>
      <c r="V33" s="666" t="s">
        <v>14</v>
      </c>
      <c r="W33" s="667">
        <f t="shared" si="14"/>
        <v>100</v>
      </c>
      <c r="X33" s="1264"/>
      <c r="Y33" s="343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25" t="str">
        <f>A35</f>
        <v>成交单价（元/平方米）</v>
      </c>
      <c r="Q35" s="3425"/>
      <c r="R35" s="3420">
        <f>E35</f>
        <v>0</v>
      </c>
      <c r="S35" s="3420"/>
      <c r="T35" s="3420">
        <f>G35</f>
        <v>0</v>
      </c>
      <c r="U35" s="3420"/>
      <c r="V35" s="3420">
        <f>I35</f>
        <v>0</v>
      </c>
      <c r="W35" s="3420"/>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25" t="str">
        <f>A36</f>
        <v>比较价值（元/平方米）</v>
      </c>
      <c r="Q36" s="3425"/>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22" t="str">
        <f>A37</f>
        <v>估价对象XX用房的比较价值（楼面单价，元/平方米）</v>
      </c>
      <c r="Q37" s="3423"/>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2026-3</v>
      </c>
      <c r="D46" s="1103">
        <f>EDATE(C46,-1)</f>
        <v>46054</v>
      </c>
      <c r="E46" s="1103">
        <f t="shared" ref="E46:O46" si="16">EDATE(D46,-1)</f>
        <v>46023</v>
      </c>
      <c r="F46" s="1103">
        <f t="shared" si="16"/>
        <v>45992</v>
      </c>
      <c r="G46" s="1103">
        <f t="shared" si="16"/>
        <v>45962</v>
      </c>
      <c r="H46" s="1103">
        <f t="shared" si="16"/>
        <v>45931</v>
      </c>
      <c r="I46" s="1103">
        <f t="shared" si="16"/>
        <v>45901</v>
      </c>
      <c r="J46" s="1103">
        <f t="shared" si="16"/>
        <v>45870</v>
      </c>
      <c r="K46" s="1103">
        <f t="shared" si="16"/>
        <v>45839</v>
      </c>
      <c r="L46" s="1103">
        <f t="shared" si="16"/>
        <v>45809</v>
      </c>
      <c r="M46" s="1103">
        <f t="shared" si="16"/>
        <v>45778</v>
      </c>
      <c r="N46" s="1103">
        <f t="shared" si="16"/>
        <v>45748</v>
      </c>
      <c r="O46" s="1103">
        <f t="shared" si="16"/>
        <v>45717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93" t="s">
        <v>1683</v>
      </c>
      <c r="Q8" s="3394"/>
      <c r="R8" s="663" t="s">
        <v>14</v>
      </c>
      <c r="S8" s="664">
        <f t="shared" si="0"/>
        <v>0</v>
      </c>
      <c r="T8" s="663" t="s">
        <v>14</v>
      </c>
      <c r="U8" s="664">
        <f t="shared" si="1"/>
        <v>0</v>
      </c>
      <c r="V8" s="663" t="s">
        <v>14</v>
      </c>
      <c r="W8" s="664">
        <f t="shared" si="2"/>
        <v>0</v>
      </c>
      <c r="X8" s="665"/>
      <c r="Y8" s="3393" t="s">
        <v>1683</v>
      </c>
      <c r="Z8" s="339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5"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9"/>
      <c r="M10" s="2490"/>
      <c r="N10" s="2490"/>
      <c r="O10" s="2541"/>
      <c r="P10" s="3425"/>
      <c r="Q10" s="530" t="str">
        <f t="shared" si="6"/>
        <v>土地使用年限（年）</v>
      </c>
      <c r="R10" s="663" t="s">
        <v>14</v>
      </c>
      <c r="S10" s="664" t="e">
        <f t="shared" si="0"/>
        <v>#DIV/0!</v>
      </c>
      <c r="T10" s="663" t="s">
        <v>14</v>
      </c>
      <c r="U10" s="664" t="e">
        <f t="shared" si="1"/>
        <v>#DIV/0!</v>
      </c>
      <c r="V10" s="663" t="s">
        <v>14</v>
      </c>
      <c r="W10" s="664" t="e">
        <f t="shared" si="2"/>
        <v>#DIV/0!</v>
      </c>
      <c r="X10" s="665"/>
      <c r="Y10" s="333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25"/>
      <c r="Q11" s="530" t="str">
        <f t="shared" si="6"/>
        <v>容积率</v>
      </c>
      <c r="R11" s="663" t="s">
        <v>14</v>
      </c>
      <c r="S11" s="664" t="e">
        <f t="shared" si="0"/>
        <v>#N/A</v>
      </c>
      <c r="T11" s="663" t="s">
        <v>14</v>
      </c>
      <c r="U11" s="664" t="e">
        <f t="shared" si="1"/>
        <v>#N/A</v>
      </c>
      <c r="V11" s="663" t="s">
        <v>14</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25"/>
      <c r="Q12" s="530" t="str">
        <f t="shared" si="6"/>
        <v>配建</v>
      </c>
      <c r="R12" s="663" t="s">
        <v>14</v>
      </c>
      <c r="S12" s="664">
        <f t="shared" si="0"/>
        <v>100</v>
      </c>
      <c r="T12" s="663" t="s">
        <v>14</v>
      </c>
      <c r="U12" s="664">
        <f t="shared" si="1"/>
        <v>100</v>
      </c>
      <c r="V12" s="663" t="s">
        <v>14</v>
      </c>
      <c r="W12" s="664">
        <f t="shared" si="2"/>
        <v>100</v>
      </c>
      <c r="X12" s="665"/>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25"/>
      <c r="Q14" s="530">
        <f t="shared" si="6"/>
        <v>111</v>
      </c>
      <c r="R14" s="663" t="s">
        <v>14</v>
      </c>
      <c r="S14" s="664">
        <f t="shared" si="0"/>
        <v>100</v>
      </c>
      <c r="T14" s="663" t="s">
        <v>14</v>
      </c>
      <c r="U14" s="664">
        <f t="shared" si="1"/>
        <v>100</v>
      </c>
      <c r="V14" s="663" t="s">
        <v>14</v>
      </c>
      <c r="W14" s="664">
        <f t="shared" si="2"/>
        <v>100</v>
      </c>
      <c r="X14" s="665"/>
      <c r="Y14" s="333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26" t="s">
        <v>1691</v>
      </c>
      <c r="Q15" s="1262" t="str">
        <f t="shared" si="6"/>
        <v>居住社区成熟度</v>
      </c>
      <c r="R15" s="666" t="s">
        <v>14</v>
      </c>
      <c r="S15" s="667">
        <f t="shared" si="0"/>
        <v>100</v>
      </c>
      <c r="T15" s="666" t="s">
        <v>14</v>
      </c>
      <c r="U15" s="667">
        <f t="shared" si="1"/>
        <v>100</v>
      </c>
      <c r="V15" s="666" t="s">
        <v>14</v>
      </c>
      <c r="W15" s="667">
        <f t="shared" si="2"/>
        <v>100</v>
      </c>
      <c r="X15" s="1264"/>
      <c r="Y15" s="342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27"/>
      <c r="Q16" s="1262"/>
      <c r="R16" s="666"/>
      <c r="S16" s="667"/>
      <c r="T16" s="666"/>
      <c r="U16" s="667"/>
      <c r="V16" s="666"/>
      <c r="W16" s="667"/>
      <c r="X16" s="1264"/>
      <c r="Y16" s="342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27"/>
      <c r="Q17" s="1262" t="str">
        <f>B17</f>
        <v>商业繁华度</v>
      </c>
      <c r="R17" s="666" t="s">
        <v>14</v>
      </c>
      <c r="S17" s="667">
        <f>F17</f>
        <v>100</v>
      </c>
      <c r="T17" s="666" t="s">
        <v>14</v>
      </c>
      <c r="U17" s="667">
        <f>H17</f>
        <v>100</v>
      </c>
      <c r="V17" s="666" t="s">
        <v>14</v>
      </c>
      <c r="W17" s="667">
        <f>J17</f>
        <v>100</v>
      </c>
      <c r="X17" s="1264"/>
      <c r="Y17" s="342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27"/>
      <c r="Q18" s="1262"/>
      <c r="R18" s="666"/>
      <c r="S18" s="667"/>
      <c r="T18" s="666"/>
      <c r="U18" s="667"/>
      <c r="V18" s="666"/>
      <c r="W18" s="667"/>
      <c r="X18" s="1264"/>
      <c r="Y18" s="342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27"/>
      <c r="Q19" s="1262" t="str">
        <f>B19</f>
        <v>办公集聚程度</v>
      </c>
      <c r="R19" s="666" t="s">
        <v>14</v>
      </c>
      <c r="S19" s="667">
        <f>F19</f>
        <v>100</v>
      </c>
      <c r="T19" s="666" t="s">
        <v>14</v>
      </c>
      <c r="U19" s="667">
        <f>H19</f>
        <v>100</v>
      </c>
      <c r="V19" s="666" t="s">
        <v>14</v>
      </c>
      <c r="W19" s="667">
        <f>J19</f>
        <v>100</v>
      </c>
      <c r="X19" s="1264"/>
      <c r="Y19" s="342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27"/>
      <c r="Q20" s="1262"/>
      <c r="R20" s="666"/>
      <c r="S20" s="667"/>
      <c r="T20" s="666"/>
      <c r="U20" s="667"/>
      <c r="V20" s="666"/>
      <c r="W20" s="667"/>
      <c r="X20" s="1264"/>
      <c r="Y20" s="342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27"/>
      <c r="Q21" s="1262" t="str">
        <f>B21</f>
        <v>交通便捷度</v>
      </c>
      <c r="R21" s="666" t="s">
        <v>14</v>
      </c>
      <c r="S21" s="667">
        <f>F21</f>
        <v>100</v>
      </c>
      <c r="T21" s="666" t="s">
        <v>14</v>
      </c>
      <c r="U21" s="667">
        <f>H21</f>
        <v>100</v>
      </c>
      <c r="V21" s="666" t="s">
        <v>14</v>
      </c>
      <c r="W21" s="667">
        <f>J21</f>
        <v>100</v>
      </c>
      <c r="X21" s="1264"/>
      <c r="Y21" s="3427"/>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27"/>
      <c r="Q22" s="1262"/>
      <c r="R22" s="666"/>
      <c r="S22" s="667"/>
      <c r="T22" s="666"/>
      <c r="U22" s="667"/>
      <c r="V22" s="666"/>
      <c r="W22" s="667"/>
      <c r="X22" s="1264"/>
      <c r="Y22" s="342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27"/>
      <c r="Q23" s="1262" t="str">
        <f t="shared" ref="Q23:Q37" si="8">B23</f>
        <v>区域土地利用方向</v>
      </c>
      <c r="R23" s="666" t="s">
        <v>14</v>
      </c>
      <c r="S23" s="667">
        <f>F23</f>
        <v>100</v>
      </c>
      <c r="T23" s="666" t="s">
        <v>14</v>
      </c>
      <c r="U23" s="667">
        <f>H23</f>
        <v>100</v>
      </c>
      <c r="V23" s="666" t="s">
        <v>14</v>
      </c>
      <c r="W23" s="667">
        <f>J23</f>
        <v>100</v>
      </c>
      <c r="X23" s="1264"/>
      <c r="Y23" s="342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27"/>
      <c r="Q24" s="1262"/>
      <c r="R24" s="666"/>
      <c r="S24" s="667"/>
      <c r="T24" s="666"/>
      <c r="U24" s="667"/>
      <c r="V24" s="666"/>
      <c r="W24" s="667"/>
      <c r="X24" s="1264"/>
      <c r="Y24" s="3427"/>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27"/>
      <c r="Q25" s="1262" t="str">
        <f t="shared" si="8"/>
        <v>自然及人文环境状况</v>
      </c>
      <c r="R25" s="666" t="s">
        <v>14</v>
      </c>
      <c r="S25" s="667">
        <f>F25</f>
        <v>100</v>
      </c>
      <c r="T25" s="666" t="s">
        <v>14</v>
      </c>
      <c r="U25" s="667">
        <f>H25</f>
        <v>100</v>
      </c>
      <c r="V25" s="666" t="s">
        <v>14</v>
      </c>
      <c r="W25" s="667">
        <f>J25</f>
        <v>100</v>
      </c>
      <c r="X25" s="1264"/>
      <c r="Y25" s="342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27"/>
      <c r="Q26" s="1262"/>
      <c r="R26" s="666"/>
      <c r="S26" s="667"/>
      <c r="T26" s="666"/>
      <c r="U26" s="667"/>
      <c r="V26" s="666"/>
      <c r="W26" s="667"/>
      <c r="X26" s="1264"/>
      <c r="Y26" s="3427"/>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27"/>
      <c r="Q27" s="530" t="str">
        <f t="shared" si="8"/>
        <v>公共配套设施</v>
      </c>
      <c r="R27" s="663" t="s">
        <v>14</v>
      </c>
      <c r="S27" s="664">
        <f>F27</f>
        <v>100</v>
      </c>
      <c r="T27" s="663" t="s">
        <v>14</v>
      </c>
      <c r="U27" s="664">
        <f>H27</f>
        <v>100</v>
      </c>
      <c r="V27" s="663" t="s">
        <v>14</v>
      </c>
      <c r="W27" s="664">
        <f>J27</f>
        <v>100</v>
      </c>
      <c r="X27" s="665"/>
      <c r="Y27" s="342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27"/>
      <c r="Q28" s="530"/>
      <c r="R28" s="663"/>
      <c r="S28" s="664"/>
      <c r="T28" s="663"/>
      <c r="U28" s="664"/>
      <c r="V28" s="663"/>
      <c r="W28" s="664"/>
      <c r="X28" s="665"/>
      <c r="Y28" s="3427"/>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27"/>
      <c r="Q29" s="530" t="str">
        <f t="shared" ref="Q29" si="9">B29</f>
        <v>基础设施水平</v>
      </c>
      <c r="R29" s="663" t="s">
        <v>14</v>
      </c>
      <c r="S29" s="664">
        <f>F29</f>
        <v>100</v>
      </c>
      <c r="T29" s="663" t="s">
        <v>14</v>
      </c>
      <c r="U29" s="664">
        <f>H29</f>
        <v>100</v>
      </c>
      <c r="V29" s="663" t="s">
        <v>14</v>
      </c>
      <c r="W29" s="664">
        <f>J29</f>
        <v>100</v>
      </c>
      <c r="X29" s="665"/>
      <c r="Y29" s="342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27"/>
      <c r="Q30" s="530"/>
      <c r="R30" s="663"/>
      <c r="S30" s="664"/>
      <c r="T30" s="663"/>
      <c r="U30" s="664"/>
      <c r="V30" s="663"/>
      <c r="W30" s="664"/>
      <c r="X30" s="665"/>
      <c r="Y30" s="342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2"/>
      <c r="L31" s="2492"/>
      <c r="M31" s="2487"/>
      <c r="N31" s="2487"/>
      <c r="O31" s="2542"/>
      <c r="P31" s="342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27"/>
      <c r="Q32" s="1262" t="str">
        <f t="shared" si="8"/>
        <v>毗邻道路的类型与等级</v>
      </c>
      <c r="R32" s="666" t="s">
        <v>14</v>
      </c>
      <c r="S32" s="667">
        <f t="shared" si="10"/>
        <v>100</v>
      </c>
      <c r="T32" s="666" t="s">
        <v>14</v>
      </c>
      <c r="U32" s="667">
        <f t="shared" si="11"/>
        <v>100</v>
      </c>
      <c r="V32" s="666" t="s">
        <v>14</v>
      </c>
      <c r="W32" s="667">
        <f t="shared" si="12"/>
        <v>100</v>
      </c>
      <c r="X32" s="1264"/>
      <c r="Y32" s="342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27"/>
      <c r="Q33" s="1262"/>
      <c r="R33" s="666"/>
      <c r="S33" s="667"/>
      <c r="T33" s="666"/>
      <c r="U33" s="667"/>
      <c r="V33" s="666"/>
      <c r="W33" s="667"/>
      <c r="X33" s="1264"/>
      <c r="Y33" s="342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7"/>
      <c r="Q34" s="1262" t="str">
        <f t="shared" si="8"/>
        <v>土地级别</v>
      </c>
      <c r="R34" s="666" t="s">
        <v>14</v>
      </c>
      <c r="S34" s="667">
        <f t="shared" si="10"/>
        <v>100</v>
      </c>
      <c r="T34" s="666" t="s">
        <v>14</v>
      </c>
      <c r="U34" s="667">
        <f t="shared" si="11"/>
        <v>100</v>
      </c>
      <c r="V34" s="666" t="s">
        <v>14</v>
      </c>
      <c r="W34" s="667">
        <f t="shared" si="12"/>
        <v>100</v>
      </c>
      <c r="X34" s="1264"/>
      <c r="Y34" s="342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27"/>
      <c r="Q35" s="1262">
        <f t="shared" si="8"/>
        <v>111</v>
      </c>
      <c r="R35" s="666" t="s">
        <v>14</v>
      </c>
      <c r="S35" s="667">
        <f t="shared" si="10"/>
        <v>100</v>
      </c>
      <c r="T35" s="666" t="s">
        <v>14</v>
      </c>
      <c r="U35" s="667">
        <f t="shared" si="11"/>
        <v>100</v>
      </c>
      <c r="V35" s="666" t="s">
        <v>14</v>
      </c>
      <c r="W35" s="667">
        <f t="shared" si="12"/>
        <v>100</v>
      </c>
      <c r="X35" s="1264"/>
      <c r="Y35" s="342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0" t="s">
        <v>1696</v>
      </c>
      <c r="Q36" s="1262">
        <f t="shared" si="8"/>
        <v>111</v>
      </c>
      <c r="R36" s="666" t="s">
        <v>14</v>
      </c>
      <c r="S36" s="667">
        <f t="shared" si="10"/>
        <v>100</v>
      </c>
      <c r="T36" s="666" t="s">
        <v>14</v>
      </c>
      <c r="U36" s="667">
        <f t="shared" si="11"/>
        <v>100</v>
      </c>
      <c r="V36" s="666" t="s">
        <v>14</v>
      </c>
      <c r="W36" s="667">
        <f t="shared" si="12"/>
        <v>100</v>
      </c>
      <c r="X36" s="1264"/>
      <c r="Y36" s="343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31"/>
      <c r="Q37" s="1262">
        <f t="shared" si="8"/>
        <v>111</v>
      </c>
      <c r="R37" s="668" t="s">
        <v>14</v>
      </c>
      <c r="S37" s="669">
        <f t="shared" si="10"/>
        <v>100</v>
      </c>
      <c r="T37" s="668" t="s">
        <v>14</v>
      </c>
      <c r="U37" s="669">
        <f t="shared" si="11"/>
        <v>100</v>
      </c>
      <c r="V37" s="668" t="s">
        <v>14</v>
      </c>
      <c r="W37" s="669">
        <f t="shared" si="12"/>
        <v>100</v>
      </c>
      <c r="X37" s="670"/>
      <c r="Y37" s="343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31"/>
      <c r="Q38" s="1262" t="str">
        <f>B38</f>
        <v>宗地面积</v>
      </c>
      <c r="R38" s="666" t="s">
        <v>14</v>
      </c>
      <c r="S38" s="667" t="e">
        <f t="shared" si="10"/>
        <v>#N/A</v>
      </c>
      <c r="T38" s="666" t="s">
        <v>14</v>
      </c>
      <c r="U38" s="667" t="e">
        <f t="shared" si="11"/>
        <v>#N/A</v>
      </c>
      <c r="V38" s="666" t="s">
        <v>14</v>
      </c>
      <c r="W38" s="667" t="e">
        <f t="shared" si="12"/>
        <v>#N/A</v>
      </c>
      <c r="X38" s="1264"/>
      <c r="Y38" s="343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31"/>
      <c r="Q39" s="1262" t="str">
        <f t="shared" ref="Q39:Q45" si="14">B39</f>
        <v>宗地形状</v>
      </c>
      <c r="R39" s="666" t="s">
        <v>14</v>
      </c>
      <c r="S39" s="667">
        <f t="shared" si="10"/>
        <v>100</v>
      </c>
      <c r="T39" s="666" t="s">
        <v>14</v>
      </c>
      <c r="U39" s="667">
        <f t="shared" si="11"/>
        <v>100</v>
      </c>
      <c r="V39" s="666" t="s">
        <v>14</v>
      </c>
      <c r="W39" s="667">
        <f t="shared" si="12"/>
        <v>100</v>
      </c>
      <c r="X39" s="1264"/>
      <c r="Y39" s="343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31"/>
      <c r="Q40" s="1262" t="str">
        <f t="shared" si="14"/>
        <v>临街宽度及深度</v>
      </c>
      <c r="R40" s="666" t="s">
        <v>14</v>
      </c>
      <c r="S40" s="667">
        <f t="shared" si="10"/>
        <v>100</v>
      </c>
      <c r="T40" s="666" t="s">
        <v>14</v>
      </c>
      <c r="U40" s="667">
        <f t="shared" si="11"/>
        <v>100</v>
      </c>
      <c r="V40" s="666" t="s">
        <v>14</v>
      </c>
      <c r="W40" s="667">
        <f t="shared" si="12"/>
        <v>100</v>
      </c>
      <c r="X40" s="1264"/>
      <c r="Y40" s="343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31"/>
      <c r="Q41" s="1262" t="str">
        <f t="shared" si="14"/>
        <v>宗地开发程度</v>
      </c>
      <c r="R41" s="663" t="s">
        <v>14</v>
      </c>
      <c r="S41" s="664">
        <f t="shared" si="10"/>
        <v>100</v>
      </c>
      <c r="T41" s="663" t="s">
        <v>14</v>
      </c>
      <c r="U41" s="664">
        <f t="shared" si="11"/>
        <v>100</v>
      </c>
      <c r="V41" s="663" t="s">
        <v>14</v>
      </c>
      <c r="W41" s="664">
        <f t="shared" si="12"/>
        <v>100</v>
      </c>
      <c r="X41" s="665"/>
      <c r="Y41" s="343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31" t="s">
        <v>1696</v>
      </c>
      <c r="Q42" s="1262" t="str">
        <f t="shared" si="14"/>
        <v>工程地质条件</v>
      </c>
      <c r="R42" s="666" t="s">
        <v>14</v>
      </c>
      <c r="S42" s="667">
        <f t="shared" si="10"/>
        <v>100</v>
      </c>
      <c r="T42" s="666" t="s">
        <v>14</v>
      </c>
      <c r="U42" s="667">
        <f t="shared" si="11"/>
        <v>100</v>
      </c>
      <c r="V42" s="666" t="s">
        <v>14</v>
      </c>
      <c r="W42" s="667">
        <f t="shared" si="12"/>
        <v>100</v>
      </c>
      <c r="X42" s="1264"/>
      <c r="Y42" s="343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31"/>
      <c r="Q43" s="1262">
        <f t="shared" si="14"/>
        <v>111</v>
      </c>
      <c r="R43" s="666" t="s">
        <v>14</v>
      </c>
      <c r="S43" s="667">
        <f t="shared" si="10"/>
        <v>100</v>
      </c>
      <c r="T43" s="666" t="s">
        <v>14</v>
      </c>
      <c r="U43" s="667">
        <f t="shared" si="11"/>
        <v>100</v>
      </c>
      <c r="V43" s="666" t="s">
        <v>14</v>
      </c>
      <c r="W43" s="667">
        <f t="shared" si="12"/>
        <v>100</v>
      </c>
      <c r="X43" s="1264"/>
      <c r="Y43" s="343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31"/>
      <c r="Q44" s="1262">
        <f t="shared" si="14"/>
        <v>111</v>
      </c>
      <c r="R44" s="666" t="s">
        <v>14</v>
      </c>
      <c r="S44" s="667">
        <f t="shared" si="10"/>
        <v>100</v>
      </c>
      <c r="T44" s="666" t="s">
        <v>14</v>
      </c>
      <c r="U44" s="667">
        <f t="shared" si="11"/>
        <v>100</v>
      </c>
      <c r="V44" s="666" t="s">
        <v>14</v>
      </c>
      <c r="W44" s="667">
        <f t="shared" si="12"/>
        <v>100</v>
      </c>
      <c r="X44" s="1264"/>
      <c r="Y44" s="3431"/>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31"/>
      <c r="Q45" s="1262">
        <f t="shared" si="14"/>
        <v>111</v>
      </c>
      <c r="R45" s="668" t="s">
        <v>14</v>
      </c>
      <c r="S45" s="669">
        <f t="shared" si="10"/>
        <v>100</v>
      </c>
      <c r="T45" s="668" t="s">
        <v>14</v>
      </c>
      <c r="U45" s="669">
        <f t="shared" si="11"/>
        <v>100</v>
      </c>
      <c r="V45" s="668" t="s">
        <v>14</v>
      </c>
      <c r="W45" s="669">
        <f t="shared" si="12"/>
        <v>100</v>
      </c>
      <c r="X45" s="670"/>
      <c r="Y45" s="3431"/>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425" t="str">
        <f>A46</f>
        <v>成交单价</v>
      </c>
      <c r="Q46" s="3425"/>
      <c r="R46" s="3420">
        <f>E46</f>
        <v>0</v>
      </c>
      <c r="S46" s="3420"/>
      <c r="T46" s="3420">
        <f>G46</f>
        <v>0</v>
      </c>
      <c r="U46" s="3420"/>
      <c r="V46" s="3420">
        <f>I46</f>
        <v>0</v>
      </c>
      <c r="W46" s="3420"/>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425" t="str">
        <f>A47</f>
        <v>比较价值（元/平方米）</v>
      </c>
      <c r="Q47" s="342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22" t="str">
        <f>A48</f>
        <v>估价对象XX用房的比较价值（楼面单价，元/平方米）</v>
      </c>
      <c r="Q48" s="3423"/>
      <c r="R48" s="3455" t="e">
        <f>ROUND(IF(D47="简单平均",AVERAGE(R47:W47),R47*F47+T47*H47+V47*J47),0)</f>
        <v>#DIV/0!</v>
      </c>
      <c r="S48" s="3455"/>
      <c r="T48" s="3455"/>
      <c r="U48" s="3455"/>
      <c r="V48" s="3455"/>
      <c r="W48" s="345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8" t="s">
        <v>1887</v>
      </c>
      <c r="H55" s="3456"/>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0</v>
      </c>
      <c r="F56" s="832" t="e">
        <f t="shared" ref="F56:F64" si="15">ROUND(B56*E56/10000,0)</f>
        <v>#DIV/0!</v>
      </c>
      <c r="G56" s="3407"/>
      <c r="H56" s="342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0</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2026-3-1</v>
      </c>
      <c r="D67" s="655">
        <f>EDATE(C67,-3)</f>
        <v>45992</v>
      </c>
      <c r="E67" s="655">
        <f>EDATE(D67,-3)</f>
        <v>45901</v>
      </c>
      <c r="F67" s="655">
        <f t="shared" ref="F67:O67" si="18">EDATE(E67,-3)</f>
        <v>45809</v>
      </c>
      <c r="G67" s="655">
        <f t="shared" si="18"/>
        <v>45717</v>
      </c>
      <c r="H67" s="655">
        <f t="shared" si="18"/>
        <v>45627</v>
      </c>
      <c r="I67" s="655">
        <f t="shared" si="18"/>
        <v>45536</v>
      </c>
      <c r="J67" s="655">
        <f t="shared" si="18"/>
        <v>45444</v>
      </c>
      <c r="K67" s="655">
        <f t="shared" si="18"/>
        <v>45352</v>
      </c>
      <c r="L67" s="655">
        <f t="shared" si="18"/>
        <v>45261</v>
      </c>
      <c r="M67" s="655">
        <f t="shared" si="18"/>
        <v>45170</v>
      </c>
      <c r="N67" s="655">
        <f t="shared" si="18"/>
        <v>45078</v>
      </c>
      <c r="O67" s="655">
        <f t="shared" si="18"/>
        <v>44986</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2026-1</v>
      </c>
      <c r="D69" s="1100" t="str">
        <f>YEAR(D67)&amp;"-"&amp;ROUNDUP(MONTH(D67)/3,0)</f>
        <v>2025-4</v>
      </c>
      <c r="E69" s="1100" t="str">
        <f t="shared" ref="E69:O69" si="19">YEAR(E67)&amp;"-"&amp;ROUNDUP(MONTH(E67)/3,0)</f>
        <v>2025-3</v>
      </c>
      <c r="F69" s="1100" t="str">
        <f t="shared" si="19"/>
        <v>2025-2</v>
      </c>
      <c r="G69" s="1100" t="str">
        <f t="shared" si="19"/>
        <v>2025-1</v>
      </c>
      <c r="H69" s="1100" t="str">
        <f t="shared" si="19"/>
        <v>2024-4</v>
      </c>
      <c r="I69" s="1100" t="str">
        <f t="shared" si="19"/>
        <v>2024-3</v>
      </c>
      <c r="J69" s="1100" t="str">
        <f t="shared" si="19"/>
        <v>2024-2</v>
      </c>
      <c r="K69" s="1100" t="str">
        <f t="shared" si="19"/>
        <v>2024-1</v>
      </c>
      <c r="L69" s="1100" t="str">
        <f t="shared" si="19"/>
        <v>2023-4</v>
      </c>
      <c r="M69" s="1100" t="str">
        <f t="shared" si="19"/>
        <v>2023-3</v>
      </c>
      <c r="N69" s="1100" t="str">
        <f t="shared" si="19"/>
        <v>2023-2</v>
      </c>
      <c r="O69" s="1100" t="str">
        <f t="shared" si="19"/>
        <v>2023-1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4"/>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4"/>
      <c r="Y5" s="3397"/>
      <c r="Z5" s="3398"/>
      <c r="AA5" s="3391"/>
      <c r="AB5" s="3391"/>
      <c r="AC5" s="3391"/>
    </row>
    <row r="6" spans="1:29" ht="15.75" thickBot="1">
      <c r="A6" s="350"/>
      <c r="B6" s="351"/>
      <c r="C6" s="3457" t="s">
        <v>1919</v>
      </c>
      <c r="D6" s="3458"/>
      <c r="E6" s="3459" t="s">
        <v>1919</v>
      </c>
      <c r="F6" s="3460"/>
      <c r="G6" s="3457" t="s">
        <v>1919</v>
      </c>
      <c r="H6" s="3458"/>
      <c r="I6" s="3457" t="s">
        <v>1919</v>
      </c>
      <c r="J6" s="3458"/>
      <c r="K6" s="537" t="s">
        <v>1678</v>
      </c>
      <c r="L6" s="2486"/>
      <c r="M6" s="2487"/>
      <c r="N6" s="2487"/>
      <c r="O6" s="2487"/>
      <c r="P6" s="3416"/>
      <c r="Q6" s="3417"/>
      <c r="R6" s="3397"/>
      <c r="S6" s="3398"/>
      <c r="T6" s="3418"/>
      <c r="U6" s="3419"/>
      <c r="V6" s="3420"/>
      <c r="W6" s="3420"/>
      <c r="X6" s="1264"/>
      <c r="Y6" s="3418"/>
      <c r="Z6" s="3419"/>
      <c r="AA6" s="3392"/>
      <c r="AB6" s="3392"/>
      <c r="AC6" s="3392"/>
    </row>
    <row r="7" spans="1:29" s="102" customFormat="1" ht="15.75" thickBot="1">
      <c r="A7" s="352" t="s">
        <v>1679</v>
      </c>
      <c r="B7" s="353"/>
      <c r="C7" s="354">
        <f>'数据-取费表'!B2</f>
        <v>46083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93" t="s">
        <v>1680</v>
      </c>
      <c r="Q7" s="3421"/>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3" t="s">
        <v>1683</v>
      </c>
      <c r="Q8" s="3394"/>
      <c r="R8" s="663" t="s">
        <v>14</v>
      </c>
      <c r="S8" s="664">
        <f t="shared" si="0"/>
        <v>0</v>
      </c>
      <c r="T8" s="663" t="s">
        <v>14</v>
      </c>
      <c r="U8" s="664">
        <f t="shared" si="1"/>
        <v>0</v>
      </c>
      <c r="V8" s="663" t="s">
        <v>14</v>
      </c>
      <c r="W8" s="664">
        <f t="shared" si="2"/>
        <v>0</v>
      </c>
      <c r="X8" s="665"/>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5" t="s">
        <v>1686</v>
      </c>
      <c r="Q9" s="530" t="str">
        <f t="shared" ref="Q9:Q15" si="6">B9</f>
        <v>用途</v>
      </c>
      <c r="R9" s="663" t="s">
        <v>14</v>
      </c>
      <c r="S9" s="664">
        <f t="shared" si="0"/>
        <v>100</v>
      </c>
      <c r="T9" s="663" t="s">
        <v>14</v>
      </c>
      <c r="U9" s="664">
        <f t="shared" si="1"/>
        <v>100</v>
      </c>
      <c r="V9" s="663" t="s">
        <v>14</v>
      </c>
      <c r="W9" s="664">
        <f t="shared" si="2"/>
        <v>100</v>
      </c>
      <c r="X9" s="665"/>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9"/>
      <c r="M10" s="2490"/>
      <c r="N10" s="2490"/>
      <c r="O10" s="2541"/>
      <c r="P10" s="3425"/>
      <c r="Q10" s="530" t="str">
        <f t="shared" si="6"/>
        <v>土地使用年限（年）</v>
      </c>
      <c r="R10" s="663" t="s">
        <v>14</v>
      </c>
      <c r="S10" s="664" t="e">
        <f t="shared" si="0"/>
        <v>#DIV/0!</v>
      </c>
      <c r="T10" s="663" t="s">
        <v>14</v>
      </c>
      <c r="U10" s="664" t="e">
        <f t="shared" si="1"/>
        <v>#DIV/0!</v>
      </c>
      <c r="V10" s="663" t="s">
        <v>14</v>
      </c>
      <c r="W10" s="664" t="e">
        <f t="shared" si="2"/>
        <v>#DIV/0!</v>
      </c>
      <c r="X10" s="665"/>
      <c r="Y10" s="333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25"/>
      <c r="Q11" s="530" t="str">
        <f t="shared" si="6"/>
        <v>容积率</v>
      </c>
      <c r="R11" s="663" t="s">
        <v>14</v>
      </c>
      <c r="S11" s="664" t="e">
        <f t="shared" si="0"/>
        <v>#N/A</v>
      </c>
      <c r="T11" s="663" t="s">
        <v>14</v>
      </c>
      <c r="U11" s="664" t="e">
        <f t="shared" si="1"/>
        <v>#N/A</v>
      </c>
      <c r="V11" s="663" t="s">
        <v>14</v>
      </c>
      <c r="W11" s="664" t="e">
        <f t="shared" si="2"/>
        <v>#N/A</v>
      </c>
      <c r="X11" s="665"/>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25"/>
      <c r="Q12" s="530">
        <f t="shared" si="6"/>
        <v>111</v>
      </c>
      <c r="R12" s="663" t="s">
        <v>14</v>
      </c>
      <c r="S12" s="664">
        <f t="shared" si="0"/>
        <v>100</v>
      </c>
      <c r="T12" s="663" t="s">
        <v>14</v>
      </c>
      <c r="U12" s="664">
        <f t="shared" si="1"/>
        <v>100</v>
      </c>
      <c r="V12" s="663" t="s">
        <v>14</v>
      </c>
      <c r="W12" s="664">
        <f t="shared" si="2"/>
        <v>100</v>
      </c>
      <c r="X12" s="665"/>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25"/>
      <c r="Q13" s="530">
        <f t="shared" si="6"/>
        <v>111</v>
      </c>
      <c r="R13" s="663" t="s">
        <v>14</v>
      </c>
      <c r="S13" s="664">
        <f t="shared" si="0"/>
        <v>100</v>
      </c>
      <c r="T13" s="663" t="s">
        <v>14</v>
      </c>
      <c r="U13" s="664">
        <f t="shared" si="1"/>
        <v>100</v>
      </c>
      <c r="V13" s="663" t="s">
        <v>14</v>
      </c>
      <c r="W13" s="664">
        <f t="shared" si="2"/>
        <v>100</v>
      </c>
      <c r="X13" s="665"/>
      <c r="Y13" s="333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25"/>
      <c r="Q14" s="530">
        <f t="shared" si="6"/>
        <v>111</v>
      </c>
      <c r="R14" s="663" t="s">
        <v>14</v>
      </c>
      <c r="S14" s="664">
        <f t="shared" si="0"/>
        <v>100</v>
      </c>
      <c r="T14" s="663" t="s">
        <v>14</v>
      </c>
      <c r="U14" s="664">
        <f t="shared" si="1"/>
        <v>100</v>
      </c>
      <c r="V14" s="663" t="s">
        <v>14</v>
      </c>
      <c r="W14" s="664">
        <f t="shared" si="2"/>
        <v>100</v>
      </c>
      <c r="X14" s="665"/>
      <c r="Y14" s="3337"/>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26" t="s">
        <v>1691</v>
      </c>
      <c r="Q15" s="1262" t="str">
        <f t="shared" si="6"/>
        <v>产业集聚程度</v>
      </c>
      <c r="R15" s="666" t="s">
        <v>14</v>
      </c>
      <c r="S15" s="667">
        <f t="shared" si="0"/>
        <v>100</v>
      </c>
      <c r="T15" s="666" t="s">
        <v>14</v>
      </c>
      <c r="U15" s="667">
        <f t="shared" si="1"/>
        <v>100</v>
      </c>
      <c r="V15" s="666" t="s">
        <v>14</v>
      </c>
      <c r="W15" s="667">
        <f t="shared" si="2"/>
        <v>100</v>
      </c>
      <c r="X15" s="1264"/>
      <c r="Y15" s="342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1"/>
      <c r="L16" s="2492"/>
      <c r="M16" s="2487"/>
      <c r="N16" s="2487"/>
      <c r="O16" s="2542"/>
      <c r="P16" s="3427"/>
      <c r="Q16" s="1262"/>
      <c r="R16" s="666"/>
      <c r="S16" s="667"/>
      <c r="T16" s="666"/>
      <c r="U16" s="667"/>
      <c r="V16" s="666"/>
      <c r="W16" s="667"/>
      <c r="X16" s="1264"/>
      <c r="Y16" s="342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27"/>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27"/>
      <c r="Q18" s="1262"/>
      <c r="R18" s="666"/>
      <c r="S18" s="667"/>
      <c r="T18" s="666"/>
      <c r="U18" s="667"/>
      <c r="V18" s="666"/>
      <c r="W18" s="667"/>
      <c r="X18" s="1264"/>
      <c r="Y18" s="342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27"/>
      <c r="Q19" s="1262" t="str">
        <f t="shared" ref="Q19:Q33" si="8">B19</f>
        <v>区域土地利用方向</v>
      </c>
      <c r="R19" s="666" t="s">
        <v>14</v>
      </c>
      <c r="S19" s="667">
        <f>F19</f>
        <v>100</v>
      </c>
      <c r="T19" s="666" t="s">
        <v>14</v>
      </c>
      <c r="U19" s="667">
        <f>H19</f>
        <v>100</v>
      </c>
      <c r="V19" s="666" t="s">
        <v>14</v>
      </c>
      <c r="W19" s="667">
        <f>J19</f>
        <v>100</v>
      </c>
      <c r="X19" s="1264"/>
      <c r="Y19" s="342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27"/>
      <c r="Q20" s="1262"/>
      <c r="R20" s="666"/>
      <c r="S20" s="667"/>
      <c r="T20" s="666"/>
      <c r="U20" s="667"/>
      <c r="V20" s="666"/>
      <c r="W20" s="667"/>
      <c r="X20" s="1264"/>
      <c r="Y20" s="342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27"/>
      <c r="Q21" s="1262" t="str">
        <f t="shared" si="8"/>
        <v>环境状况</v>
      </c>
      <c r="R21" s="666" t="s">
        <v>14</v>
      </c>
      <c r="S21" s="667">
        <f>F21</f>
        <v>100</v>
      </c>
      <c r="T21" s="666" t="s">
        <v>14</v>
      </c>
      <c r="U21" s="667">
        <f>H21</f>
        <v>100</v>
      </c>
      <c r="V21" s="666" t="s">
        <v>14</v>
      </c>
      <c r="W21" s="667">
        <f>J21</f>
        <v>100</v>
      </c>
      <c r="X21" s="1264"/>
      <c r="Y21" s="342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27"/>
      <c r="Q22" s="1262"/>
      <c r="R22" s="666"/>
      <c r="S22" s="667"/>
      <c r="T22" s="666"/>
      <c r="U22" s="667"/>
      <c r="V22" s="666"/>
      <c r="W22" s="667"/>
      <c r="X22" s="1264"/>
      <c r="Y22" s="342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27"/>
      <c r="Q23" s="530" t="str">
        <f t="shared" si="8"/>
        <v>公共配套设施</v>
      </c>
      <c r="R23" s="663" t="s">
        <v>14</v>
      </c>
      <c r="S23" s="664">
        <f>F23</f>
        <v>100</v>
      </c>
      <c r="T23" s="663" t="s">
        <v>14</v>
      </c>
      <c r="U23" s="664">
        <f>H23</f>
        <v>100</v>
      </c>
      <c r="V23" s="663" t="s">
        <v>14</v>
      </c>
      <c r="W23" s="664">
        <f>J23</f>
        <v>100</v>
      </c>
      <c r="X23" s="665"/>
      <c r="Y23" s="342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27"/>
      <c r="Q24" s="530"/>
      <c r="R24" s="663"/>
      <c r="S24" s="664"/>
      <c r="T24" s="663"/>
      <c r="U24" s="664"/>
      <c r="V24" s="663"/>
      <c r="W24" s="664"/>
      <c r="X24" s="665"/>
      <c r="Y24" s="342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27"/>
      <c r="Q25" s="530" t="str">
        <f t="shared" ref="Q25" si="9">B25</f>
        <v>基础设施水平</v>
      </c>
      <c r="R25" s="663" t="s">
        <v>14</v>
      </c>
      <c r="S25" s="664">
        <f>F25</f>
        <v>100</v>
      </c>
      <c r="T25" s="663" t="s">
        <v>14</v>
      </c>
      <c r="U25" s="664">
        <f>H25</f>
        <v>100</v>
      </c>
      <c r="V25" s="663" t="s">
        <v>14</v>
      </c>
      <c r="W25" s="664">
        <f>J25</f>
        <v>100</v>
      </c>
      <c r="X25" s="665"/>
      <c r="Y25" s="342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27"/>
      <c r="Q26" s="530"/>
      <c r="R26" s="663"/>
      <c r="S26" s="664"/>
      <c r="T26" s="663"/>
      <c r="U26" s="664"/>
      <c r="V26" s="663"/>
      <c r="W26" s="664"/>
      <c r="X26" s="665"/>
      <c r="Y26" s="34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2"/>
      <c r="L27" s="2492"/>
      <c r="M27" s="2487"/>
      <c r="N27" s="2487"/>
      <c r="O27" s="2542"/>
      <c r="P27" s="342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7"/>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27"/>
      <c r="Q28" s="1262" t="str">
        <f t="shared" si="8"/>
        <v>毗邻道路的类型与等级</v>
      </c>
      <c r="R28" s="666" t="s">
        <v>14</v>
      </c>
      <c r="S28" s="667">
        <f t="shared" si="10"/>
        <v>100</v>
      </c>
      <c r="T28" s="666" t="s">
        <v>14</v>
      </c>
      <c r="U28" s="667">
        <f t="shared" si="11"/>
        <v>100</v>
      </c>
      <c r="V28" s="666" t="s">
        <v>14</v>
      </c>
      <c r="W28" s="667">
        <f t="shared" si="12"/>
        <v>100</v>
      </c>
      <c r="X28" s="1264"/>
      <c r="Y28" s="342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27"/>
      <c r="Q29" s="1262"/>
      <c r="R29" s="666"/>
      <c r="S29" s="667"/>
      <c r="T29" s="666"/>
      <c r="U29" s="667"/>
      <c r="V29" s="666"/>
      <c r="W29" s="667"/>
      <c r="X29" s="1264"/>
      <c r="Y29" s="342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7"/>
      <c r="Q30" s="1262" t="str">
        <f t="shared" si="8"/>
        <v>土地级别</v>
      </c>
      <c r="R30" s="666" t="s">
        <v>14</v>
      </c>
      <c r="S30" s="667">
        <f t="shared" si="10"/>
        <v>100</v>
      </c>
      <c r="T30" s="666" t="s">
        <v>14</v>
      </c>
      <c r="U30" s="667">
        <f t="shared" si="11"/>
        <v>100</v>
      </c>
      <c r="V30" s="666" t="s">
        <v>14</v>
      </c>
      <c r="W30" s="667">
        <f t="shared" si="12"/>
        <v>100</v>
      </c>
      <c r="X30" s="1264"/>
      <c r="Y30" s="342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7"/>
      <c r="Q31" s="1262">
        <f t="shared" si="8"/>
        <v>111</v>
      </c>
      <c r="R31" s="666" t="s">
        <v>14</v>
      </c>
      <c r="S31" s="667">
        <f t="shared" si="10"/>
        <v>100</v>
      </c>
      <c r="T31" s="666" t="s">
        <v>14</v>
      </c>
      <c r="U31" s="667">
        <f t="shared" si="11"/>
        <v>100</v>
      </c>
      <c r="V31" s="666" t="s">
        <v>14</v>
      </c>
      <c r="W31" s="667">
        <f t="shared" si="12"/>
        <v>100</v>
      </c>
      <c r="X31" s="1264"/>
      <c r="Y31" s="3427"/>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0" t="s">
        <v>1696</v>
      </c>
      <c r="Q32" s="1262">
        <f t="shared" si="8"/>
        <v>111</v>
      </c>
      <c r="R32" s="666" t="s">
        <v>14</v>
      </c>
      <c r="S32" s="667">
        <f t="shared" si="10"/>
        <v>100</v>
      </c>
      <c r="T32" s="666" t="s">
        <v>14</v>
      </c>
      <c r="U32" s="667">
        <f t="shared" si="11"/>
        <v>100</v>
      </c>
      <c r="V32" s="666" t="s">
        <v>14</v>
      </c>
      <c r="W32" s="667">
        <f t="shared" si="12"/>
        <v>100</v>
      </c>
      <c r="X32" s="1264"/>
      <c r="Y32" s="3431"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31"/>
      <c r="Q33" s="1262">
        <f t="shared" si="8"/>
        <v>111</v>
      </c>
      <c r="R33" s="668" t="s">
        <v>14</v>
      </c>
      <c r="S33" s="669">
        <f t="shared" si="10"/>
        <v>100</v>
      </c>
      <c r="T33" s="668" t="s">
        <v>14</v>
      </c>
      <c r="U33" s="669">
        <f t="shared" si="11"/>
        <v>100</v>
      </c>
      <c r="V33" s="668" t="s">
        <v>14</v>
      </c>
      <c r="W33" s="669">
        <f t="shared" si="12"/>
        <v>100</v>
      </c>
      <c r="X33" s="670"/>
      <c r="Y33" s="343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31"/>
      <c r="Q34" s="1262" t="str">
        <f>B34</f>
        <v>宗地面积</v>
      </c>
      <c r="R34" s="666" t="s">
        <v>14</v>
      </c>
      <c r="S34" s="667" t="e">
        <f t="shared" si="10"/>
        <v>#N/A</v>
      </c>
      <c r="T34" s="666" t="s">
        <v>14</v>
      </c>
      <c r="U34" s="667" t="e">
        <f t="shared" si="11"/>
        <v>#N/A</v>
      </c>
      <c r="V34" s="666" t="s">
        <v>14</v>
      </c>
      <c r="W34" s="667" t="e">
        <f t="shared" si="12"/>
        <v>#N/A</v>
      </c>
      <c r="X34" s="1264"/>
      <c r="Y34" s="343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31"/>
      <c r="Q35" s="1262" t="str">
        <f t="shared" ref="Q35:Q40" si="14">B35</f>
        <v>宗地形状</v>
      </c>
      <c r="R35" s="666" t="s">
        <v>14</v>
      </c>
      <c r="S35" s="667">
        <f t="shared" si="10"/>
        <v>100</v>
      </c>
      <c r="T35" s="666" t="s">
        <v>14</v>
      </c>
      <c r="U35" s="667">
        <f t="shared" si="11"/>
        <v>100</v>
      </c>
      <c r="V35" s="666" t="s">
        <v>14</v>
      </c>
      <c r="W35" s="667">
        <f t="shared" si="12"/>
        <v>100</v>
      </c>
      <c r="X35" s="1264"/>
      <c r="Y35" s="343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31"/>
      <c r="Q36" s="1262" t="str">
        <f t="shared" si="14"/>
        <v>宗地开发程度</v>
      </c>
      <c r="R36" s="663" t="s">
        <v>14</v>
      </c>
      <c r="S36" s="664">
        <f t="shared" si="10"/>
        <v>100</v>
      </c>
      <c r="T36" s="663" t="s">
        <v>14</v>
      </c>
      <c r="U36" s="664">
        <f t="shared" si="11"/>
        <v>100</v>
      </c>
      <c r="V36" s="663" t="s">
        <v>14</v>
      </c>
      <c r="W36" s="664">
        <f t="shared" si="12"/>
        <v>100</v>
      </c>
      <c r="X36" s="665"/>
      <c r="Y36" s="343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31" t="s">
        <v>1696</v>
      </c>
      <c r="Q37" s="1262" t="str">
        <f t="shared" si="14"/>
        <v>工程地质条件</v>
      </c>
      <c r="R37" s="666" t="s">
        <v>14</v>
      </c>
      <c r="S37" s="667">
        <f t="shared" si="10"/>
        <v>100</v>
      </c>
      <c r="T37" s="666" t="s">
        <v>14</v>
      </c>
      <c r="U37" s="667">
        <f t="shared" si="11"/>
        <v>100</v>
      </c>
      <c r="V37" s="666" t="s">
        <v>14</v>
      </c>
      <c r="W37" s="667">
        <f t="shared" si="12"/>
        <v>100</v>
      </c>
      <c r="X37" s="1264"/>
      <c r="Y37" s="343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31"/>
      <c r="Q38" s="1262">
        <f t="shared" si="14"/>
        <v>111</v>
      </c>
      <c r="R38" s="666" t="s">
        <v>14</v>
      </c>
      <c r="S38" s="667">
        <f t="shared" si="10"/>
        <v>100</v>
      </c>
      <c r="T38" s="666" t="s">
        <v>14</v>
      </c>
      <c r="U38" s="667">
        <f t="shared" si="11"/>
        <v>100</v>
      </c>
      <c r="V38" s="666" t="s">
        <v>14</v>
      </c>
      <c r="W38" s="667">
        <f t="shared" si="12"/>
        <v>100</v>
      </c>
      <c r="X38" s="1264"/>
      <c r="Y38" s="343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31"/>
      <c r="Q39" s="1262">
        <f t="shared" si="14"/>
        <v>111</v>
      </c>
      <c r="R39" s="666" t="s">
        <v>14</v>
      </c>
      <c r="S39" s="667">
        <f t="shared" si="10"/>
        <v>100</v>
      </c>
      <c r="T39" s="666" t="s">
        <v>14</v>
      </c>
      <c r="U39" s="667">
        <f t="shared" si="11"/>
        <v>100</v>
      </c>
      <c r="V39" s="666" t="s">
        <v>14</v>
      </c>
      <c r="W39" s="667">
        <f t="shared" si="12"/>
        <v>100</v>
      </c>
      <c r="X39" s="1264"/>
      <c r="Y39" s="3431"/>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31"/>
      <c r="Q40" s="1262">
        <f t="shared" si="14"/>
        <v>111</v>
      </c>
      <c r="R40" s="668" t="s">
        <v>14</v>
      </c>
      <c r="S40" s="669">
        <f t="shared" si="10"/>
        <v>100</v>
      </c>
      <c r="T40" s="668" t="s">
        <v>14</v>
      </c>
      <c r="U40" s="669">
        <f t="shared" si="11"/>
        <v>100</v>
      </c>
      <c r="V40" s="668" t="s">
        <v>14</v>
      </c>
      <c r="W40" s="669">
        <f t="shared" si="12"/>
        <v>100</v>
      </c>
      <c r="X40" s="670"/>
      <c r="Y40" s="3431"/>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425" t="str">
        <f>A41</f>
        <v>成交单价</v>
      </c>
      <c r="Q41" s="3425"/>
      <c r="R41" s="3420">
        <f>E41</f>
        <v>0</v>
      </c>
      <c r="S41" s="3420"/>
      <c r="T41" s="3420">
        <f>G41</f>
        <v>0</v>
      </c>
      <c r="U41" s="3420"/>
      <c r="V41" s="3420">
        <f>I41</f>
        <v>0</v>
      </c>
      <c r="W41" s="3420"/>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425" t="str">
        <f>A42</f>
        <v>比较价值（元/平方米）</v>
      </c>
      <c r="Q42" s="342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22" t="str">
        <f>A43</f>
        <v>估价对象XX用房的比较价值（楼面单价，元/平方米）</v>
      </c>
      <c r="Q43" s="3423"/>
      <c r="R43" s="3455" t="e">
        <f>ROUND(IF(D42="简单平均",AVERAGE(R42:W42),R42*F42+T42*H42+V42*J42),0)</f>
        <v>#DIV/0!</v>
      </c>
      <c r="S43" s="3455"/>
      <c r="T43" s="3455"/>
      <c r="U43" s="3455"/>
      <c r="V43" s="3455"/>
      <c r="W43" s="345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08" t="s">
        <v>1887</v>
      </c>
      <c r="H50" s="3456"/>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0</v>
      </c>
      <c r="F51" s="610" t="e">
        <f t="shared" ref="F51:F60" si="15">ROUND(B51*E51/10000,0)</f>
        <v>#DIV/0!</v>
      </c>
      <c r="G51" s="3407"/>
      <c r="H51" s="342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t="e">
        <f>IF(B41="楼面地价",SUM(E51:E60),'数据-汇总表'!D3)</f>
        <v>#DIV/0!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2026-3-1</v>
      </c>
      <c r="D63" s="655">
        <f>EDATE(C63,-3)</f>
        <v>45992</v>
      </c>
      <c r="E63" s="655">
        <f>EDATE(D63,-3)</f>
        <v>45901</v>
      </c>
      <c r="F63" s="655">
        <f t="shared" ref="F63:O63" si="18">EDATE(E63,-3)</f>
        <v>45809</v>
      </c>
      <c r="G63" s="655">
        <f t="shared" si="18"/>
        <v>45717</v>
      </c>
      <c r="H63" s="655">
        <f t="shared" si="18"/>
        <v>45627</v>
      </c>
      <c r="I63" s="655">
        <f t="shared" si="18"/>
        <v>45536</v>
      </c>
      <c r="J63" s="655">
        <f t="shared" si="18"/>
        <v>45444</v>
      </c>
      <c r="K63" s="655">
        <f t="shared" si="18"/>
        <v>45352</v>
      </c>
      <c r="L63" s="655">
        <f t="shared" si="18"/>
        <v>45261</v>
      </c>
      <c r="M63" s="655">
        <f t="shared" si="18"/>
        <v>45170</v>
      </c>
      <c r="N63" s="655">
        <f t="shared" si="18"/>
        <v>45078</v>
      </c>
      <c r="O63" s="655">
        <f t="shared" si="18"/>
        <v>44986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2026-1</v>
      </c>
      <c r="D65" s="1100" t="str">
        <f t="shared" ref="D65:O65" si="19">YEAR(D63)&amp;"-"&amp;ROUNDUP(MONTH(D63)/3,0)</f>
        <v>2025-4</v>
      </c>
      <c r="E65" s="1100" t="str">
        <f t="shared" si="19"/>
        <v>2025-3</v>
      </c>
      <c r="F65" s="1100" t="str">
        <f t="shared" si="19"/>
        <v>2025-2</v>
      </c>
      <c r="G65" s="1100" t="str">
        <f t="shared" si="19"/>
        <v>2025-1</v>
      </c>
      <c r="H65" s="1100" t="str">
        <f t="shared" si="19"/>
        <v>2024-4</v>
      </c>
      <c r="I65" s="1100" t="str">
        <f t="shared" si="19"/>
        <v>2024-3</v>
      </c>
      <c r="J65" s="1100" t="str">
        <f t="shared" si="19"/>
        <v>2024-2</v>
      </c>
      <c r="K65" s="1100" t="str">
        <f t="shared" si="19"/>
        <v>2024-1</v>
      </c>
      <c r="L65" s="1100" t="str">
        <f t="shared" si="19"/>
        <v>2023-4</v>
      </c>
      <c r="M65" s="1100" t="str">
        <f t="shared" si="19"/>
        <v>2023-3</v>
      </c>
      <c r="N65" s="1100" t="str">
        <f t="shared" si="19"/>
        <v>2023-2</v>
      </c>
      <c r="O65" s="1100" t="str">
        <f t="shared" si="19"/>
        <v>2023-1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4" t="s">
        <v>2084</v>
      </c>
      <c r="D1" s="3465"/>
      <c r="E1" s="3465"/>
      <c r="F1" s="3465"/>
      <c r="G1" s="3465"/>
      <c r="H1" s="3465"/>
      <c r="I1" s="3465"/>
      <c r="J1" s="3465"/>
      <c r="K1" s="3465"/>
      <c r="L1" s="3465"/>
      <c r="M1" s="3465"/>
      <c r="N1" s="3465"/>
      <c r="O1" s="3465"/>
      <c r="P1" s="3465"/>
      <c r="Q1" s="3465"/>
      <c r="R1" s="3465"/>
      <c r="S1" s="346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4"/>
      <c r="B4" s="3475"/>
      <c r="C4" s="3475"/>
      <c r="D4" s="3476"/>
      <c r="E4" s="3476"/>
      <c r="F4" s="3476"/>
      <c r="G4" s="3476"/>
      <c r="H4" s="3476"/>
      <c r="I4" s="3476"/>
      <c r="J4" s="347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1" t="s">
        <v>1960</v>
      </c>
      <c r="X8" s="347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78" t="s">
        <v>3254</v>
      </c>
      <c r="B20" s="159" t="s">
        <v>1994</v>
      </c>
      <c r="C20" s="3031" t="e">
        <f>ROUND(IF(F21="与级别开发程度一致",0,(G21-E21)/C21),0)</f>
        <v>#DIV/0!</v>
      </c>
      <c r="D20" s="3046" t="s">
        <v>1998</v>
      </c>
      <c r="E20" s="3047"/>
      <c r="F20" s="3484" t="s">
        <v>1995</v>
      </c>
      <c r="G20" s="3485"/>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9"/>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46083</v>
      </c>
      <c r="H23" s="3048"/>
      <c r="I23" s="3049" t="str">
        <f>IF(H23="季度增幅（自定义）",SUMIF(N25:N28,E2,O25:O28),"")</f>
        <v/>
      </c>
      <c r="J23" s="3141"/>
      <c r="K23" s="1060"/>
      <c r="L23" s="1896" t="s">
        <v>2004</v>
      </c>
      <c r="M23" s="1240">
        <f>ROUND(SUMIF(地价!B2:G2,E2,地价!B16:G16),0)</f>
        <v>0</v>
      </c>
      <c r="N23" s="1897" t="s">
        <v>2005</v>
      </c>
      <c r="O23" s="718">
        <f>ROUNDDOWN(DATEDIF(E23,G23,"M")/3,0)</f>
        <v>20</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3333</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3255</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3258</v>
      </c>
      <c r="G33" s="1940"/>
      <c r="H33" s="1940"/>
      <c r="I33" s="1940"/>
      <c r="J33" s="1941"/>
      <c r="K33" s="1055"/>
      <c r="L33" s="3053" t="s">
        <v>3261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3262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2"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2"/>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4"/>
      <c r="K37" s="3061" t="s">
        <v>3264</v>
      </c>
      <c r="L37" s="1963"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3"/>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3"/>
      <c r="B39" s="1883" t="s">
        <v>3257</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3265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2612</v>
      </c>
      <c r="B91" s="3079">
        <f>1+E93</f>
        <v>1</v>
      </c>
      <c r="C91" s="3072"/>
      <c r="D91" s="3073"/>
      <c r="E91" s="1674"/>
      <c r="F91" s="1674"/>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3267</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3272</v>
      </c>
      <c r="B96" s="3086" t="s">
        <v>3283</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3273</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3274</v>
      </c>
      <c r="B98" s="3087" t="s">
        <v>3284</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3275</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3276</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3277</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0" t="s">
        <v>3292</v>
      </c>
      <c r="B103" s="3480"/>
      <c r="C103" s="3480"/>
      <c r="D103" s="3480"/>
      <c r="E103" s="3480"/>
      <c r="F103" s="3480"/>
      <c r="G103" s="3480"/>
      <c r="H103" s="3480"/>
      <c r="I103" s="3480"/>
      <c r="J103" s="3480"/>
      <c r="K103" s="1666"/>
      <c r="L103" s="1666"/>
      <c r="M103" s="1666"/>
      <c r="N103" s="1666"/>
    </row>
    <row r="104" spans="1:14">
      <c r="A104" s="3481" t="s">
        <v>3293</v>
      </c>
      <c r="B104" s="3481" t="s">
        <v>3294</v>
      </c>
      <c r="C104" s="3090" t="s">
        <v>3295</v>
      </c>
      <c r="D104" s="3091"/>
      <c r="E104" s="3091"/>
      <c r="F104" s="3091"/>
      <c r="G104" s="3091"/>
      <c r="H104" s="3091"/>
      <c r="I104" s="3091"/>
      <c r="J104" s="3092"/>
      <c r="K104" s="3093"/>
      <c r="L104" s="3093"/>
      <c r="M104" s="3093"/>
      <c r="N104" s="3093"/>
    </row>
    <row r="105" spans="1:14">
      <c r="A105" s="3481"/>
      <c r="B105" s="348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0" t="s">
        <v>3309</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0"/>
      <c r="B4" s="3183" t="s">
        <v>917</v>
      </c>
      <c r="C4" s="3183"/>
      <c r="D4" s="3183"/>
      <c r="E4" s="1390"/>
    </row>
    <row r="5" spans="1:5" ht="16.5" thickTop="1">
      <c r="B5" s="3181" t="s">
        <v>909</v>
      </c>
      <c r="C5" s="1391" t="s">
        <v>910</v>
      </c>
      <c r="D5" s="796" t="e">
        <f ca="1">结果表!H101</f>
        <v>#REF!</v>
      </c>
    </row>
    <row r="6" spans="1:5" ht="15.75">
      <c r="B6" s="3181"/>
      <c r="C6" s="1391" t="s">
        <v>911</v>
      </c>
      <c r="D6" s="796" t="e">
        <f ca="1">NUMBERSTRING(INT(D5*10000),2)&amp;"元整"</f>
        <v>#REF!</v>
      </c>
    </row>
    <row r="7" spans="1:5" ht="15.75">
      <c r="B7" s="3186"/>
      <c r="C7" s="1392" t="s">
        <v>912</v>
      </c>
      <c r="D7" s="797" t="e">
        <f ca="1">结果表!H102</f>
        <v>#REF!</v>
      </c>
    </row>
    <row r="8" spans="1:5" ht="15.75">
      <c r="B8" s="3187" t="str">
        <f>结果表!E103</f>
        <v>2.估价师知悉的法定优先受偿款</v>
      </c>
      <c r="C8" s="1393" t="s">
        <v>913</v>
      </c>
      <c r="D8" s="797">
        <f>结果表!H103</f>
        <v>0</v>
      </c>
    </row>
    <row r="9" spans="1:5" ht="15.75">
      <c r="B9" s="318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0" t="str">
        <f>结果表!E107</f>
        <v>3.房地产抵押价值</v>
      </c>
      <c r="C13" s="1396" t="s">
        <v>910</v>
      </c>
      <c r="D13" s="799" t="e">
        <f ca="1">结果表!H107</f>
        <v>#REF!</v>
      </c>
    </row>
    <row r="14" spans="1:5" ht="15.75">
      <c r="B14" s="3181"/>
      <c r="C14" s="1391" t="s">
        <v>911</v>
      </c>
      <c r="D14" s="796" t="e">
        <f ca="1">NUMBERSTRING(INT(D13*10000),2)&amp;"元整"</f>
        <v>#REF!</v>
      </c>
    </row>
    <row r="15" spans="1:5" ht="15">
      <c r="B15" s="3186"/>
      <c r="C15" s="1392" t="s">
        <v>921</v>
      </c>
      <c r="D15" s="805" t="e">
        <f ca="1">结果表!H108</f>
        <v>#REF!</v>
      </c>
    </row>
    <row r="16" spans="1:5" ht="15">
      <c r="B16" s="3187" t="str">
        <f>结果表!E109</f>
        <v>——</v>
      </c>
      <c r="C16" s="1396" t="s">
        <v>922</v>
      </c>
      <c r="D16" s="1397" t="str">
        <f>结果表!H109</f>
        <v>——</v>
      </c>
    </row>
    <row r="17" spans="1:5" ht="15.75">
      <c r="B17" s="3188"/>
      <c r="C17" s="1391" t="s">
        <v>923</v>
      </c>
      <c r="D17" s="796" t="e">
        <f>NUMBERSTRING(INT(D16*10000),2)&amp;"元整"</f>
        <v>#VALUE!</v>
      </c>
    </row>
    <row r="18" spans="1:5" ht="15">
      <c r="B18" s="3189"/>
      <c r="C18" s="1392" t="s">
        <v>912</v>
      </c>
      <c r="D18" s="805" t="str">
        <f>结果表!H110</f>
        <v>——</v>
      </c>
    </row>
    <row r="19" spans="1:5" ht="15.75">
      <c r="B19" s="3180" t="str">
        <f>结果表!E111</f>
        <v>——</v>
      </c>
      <c r="C19" s="1396" t="s">
        <v>910</v>
      </c>
      <c r="D19" s="797" t="str">
        <f>结果表!H111</f>
        <v>——</v>
      </c>
    </row>
    <row r="20" spans="1:5" ht="15.75">
      <c r="B20" s="3181"/>
      <c r="C20" s="1391" t="s">
        <v>923</v>
      </c>
      <c r="D20" s="796" t="e">
        <f>NUMBERSTRING(INT(D19*10000),2)&amp;"元整"</f>
        <v>#VALUE!</v>
      </c>
    </row>
    <row r="21" spans="1:5" ht="15.75" thickBot="1">
      <c r="B21" s="318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6" t="s">
        <v>2607</v>
      </c>
      <c r="B20" s="3486" t="s">
        <v>2628</v>
      </c>
      <c r="C20" s="3168" t="s">
        <v>2439</v>
      </c>
      <c r="D20" s="3168"/>
      <c r="E20" s="2844">
        <v>1</v>
      </c>
      <c r="F20" s="2845" t="s">
        <v>2440</v>
      </c>
      <c r="G20" s="2845"/>
    </row>
    <row r="21" spans="1:13" ht="19.5" customHeight="1">
      <c r="A21" s="3497"/>
      <c r="B21" s="3487"/>
      <c r="C21" s="2857" t="s">
        <v>2441</v>
      </c>
      <c r="D21" s="2857"/>
      <c r="E21" s="2848">
        <v>1</v>
      </c>
      <c r="F21" s="2845" t="s">
        <v>2442</v>
      </c>
      <c r="G21" s="2845"/>
    </row>
    <row r="22" spans="1:13" ht="19.5" customHeight="1">
      <c r="A22" s="3497"/>
      <c r="B22" s="3487"/>
      <c r="C22" s="2857" t="s">
        <v>2443</v>
      </c>
      <c r="D22" s="2857"/>
      <c r="E22" s="2848">
        <v>0.9</v>
      </c>
      <c r="F22" s="2845" t="s">
        <v>2444</v>
      </c>
      <c r="G22" s="2845"/>
    </row>
    <row r="23" spans="1:13" ht="19.5" customHeight="1">
      <c r="A23" s="3497"/>
      <c r="B23" s="3487"/>
      <c r="C23" s="2857" t="s">
        <v>2445</v>
      </c>
      <c r="D23" s="2857"/>
      <c r="E23" s="2848">
        <v>0.9</v>
      </c>
      <c r="F23" s="2845" t="s">
        <v>2446</v>
      </c>
      <c r="G23" s="2845"/>
    </row>
    <row r="24" spans="1:13" ht="19.5" customHeight="1">
      <c r="A24" s="3497"/>
      <c r="B24" s="3487"/>
      <c r="C24" s="2857" t="s">
        <v>2447</v>
      </c>
      <c r="D24" s="2857"/>
      <c r="E24" s="2848">
        <v>0.8</v>
      </c>
      <c r="F24" s="2845" t="s">
        <v>2448</v>
      </c>
      <c r="G24" s="2845"/>
    </row>
    <row r="25" spans="1:13" ht="19.5" customHeight="1">
      <c r="A25" s="3497"/>
      <c r="B25" s="3487"/>
      <c r="C25" s="2857" t="s">
        <v>2449</v>
      </c>
      <c r="D25" s="2857"/>
      <c r="E25" s="2848">
        <v>0.8</v>
      </c>
      <c r="F25" s="2845"/>
      <c r="G25" s="2845"/>
    </row>
    <row r="26" spans="1:13" ht="19.5" customHeight="1">
      <c r="A26" s="3497"/>
      <c r="B26" s="3487"/>
      <c r="C26" s="2857" t="s">
        <v>3407</v>
      </c>
      <c r="D26" s="2857"/>
      <c r="E26" s="2848">
        <v>0.43</v>
      </c>
      <c r="F26" s="2845"/>
      <c r="G26" s="2845"/>
    </row>
    <row r="27" spans="1:13" ht="19.5" customHeight="1" thickBot="1">
      <c r="A27" s="3498"/>
      <c r="B27" s="3488"/>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9" t="s">
        <v>2631</v>
      </c>
      <c r="B29" s="3492" t="s">
        <v>2612</v>
      </c>
      <c r="C29" s="2842" t="s">
        <v>2452</v>
      </c>
      <c r="D29" s="2843"/>
      <c r="E29" s="2844">
        <v>1</v>
      </c>
      <c r="F29" s="2845" t="s">
        <v>2453</v>
      </c>
      <c r="G29" s="2845"/>
    </row>
    <row r="30" spans="1:13" ht="19.5" customHeight="1">
      <c r="A30" s="3490"/>
      <c r="B30" s="3493"/>
      <c r="C30" s="2846" t="s">
        <v>2454</v>
      </c>
      <c r="D30" s="2847"/>
      <c r="E30" s="2848">
        <v>1</v>
      </c>
      <c r="F30" s="2845" t="s">
        <v>2455</v>
      </c>
      <c r="G30" s="2845"/>
    </row>
    <row r="31" spans="1:13" ht="19.5" customHeight="1">
      <c r="A31" s="3490"/>
      <c r="B31" s="3493"/>
      <c r="C31" s="2846" t="s">
        <v>2456</v>
      </c>
      <c r="D31" s="2847"/>
      <c r="E31" s="2848">
        <v>0.8</v>
      </c>
      <c r="F31" s="2845" t="s">
        <v>2457</v>
      </c>
      <c r="G31" s="2845"/>
    </row>
    <row r="32" spans="1:13" ht="19.5" customHeight="1">
      <c r="A32" s="3490"/>
      <c r="B32" s="3493"/>
      <c r="C32" s="2846" t="s">
        <v>2458</v>
      </c>
      <c r="D32" s="2847"/>
      <c r="E32" s="2848">
        <v>0.8</v>
      </c>
      <c r="F32" s="2845" t="s">
        <v>2459</v>
      </c>
      <c r="G32" s="2845"/>
    </row>
    <row r="33" spans="1:7" ht="19.5" customHeight="1">
      <c r="A33" s="3490"/>
      <c r="B33" s="3493"/>
      <c r="C33" s="2846" t="s">
        <v>2460</v>
      </c>
      <c r="D33" s="2847"/>
      <c r="E33" s="2848">
        <v>0.8</v>
      </c>
      <c r="F33" s="2845" t="s">
        <v>2461</v>
      </c>
      <c r="G33" s="2845"/>
    </row>
    <row r="34" spans="1:7" ht="19.5" customHeight="1">
      <c r="A34" s="3490"/>
      <c r="B34" s="3493"/>
      <c r="C34" s="2846" t="s">
        <v>2462</v>
      </c>
      <c r="D34" s="2847"/>
      <c r="E34" s="2848">
        <v>0.7</v>
      </c>
      <c r="F34" s="2845" t="s">
        <v>2463</v>
      </c>
      <c r="G34" s="2845"/>
    </row>
    <row r="35" spans="1:7" ht="19.5" customHeight="1">
      <c r="A35" s="3490"/>
      <c r="B35" s="3493"/>
      <c r="C35" s="2846" t="s">
        <v>2464</v>
      </c>
      <c r="D35" s="2847"/>
      <c r="E35" s="2848">
        <v>0.8</v>
      </c>
      <c r="F35" s="2845" t="s">
        <v>2465</v>
      </c>
      <c r="G35" s="2845"/>
    </row>
    <row r="36" spans="1:7" ht="19.5" customHeight="1">
      <c r="A36" s="3490"/>
      <c r="B36" s="3493"/>
      <c r="C36" s="2846" t="s">
        <v>2466</v>
      </c>
      <c r="D36" s="2847"/>
      <c r="E36" s="2848">
        <v>0.6</v>
      </c>
      <c r="F36" s="2845" t="s">
        <v>2467</v>
      </c>
      <c r="G36" s="2845"/>
    </row>
    <row r="37" spans="1:7" ht="19.5" customHeight="1">
      <c r="A37" s="3490"/>
      <c r="B37" s="3493"/>
      <c r="C37" s="2846" t="s">
        <v>2468</v>
      </c>
      <c r="D37" s="2847"/>
      <c r="E37" s="2848">
        <v>0.2</v>
      </c>
      <c r="F37" s="2845" t="s">
        <v>2469</v>
      </c>
      <c r="G37" s="2845"/>
    </row>
    <row r="38" spans="1:7" ht="19.5" customHeight="1">
      <c r="A38" s="3490"/>
      <c r="B38" s="3493"/>
      <c r="C38" s="2846" t="s">
        <v>2470</v>
      </c>
      <c r="D38" s="2847"/>
      <c r="E38" s="2848">
        <v>0.2</v>
      </c>
      <c r="F38" s="2845" t="s">
        <v>2471</v>
      </c>
      <c r="G38" s="2845"/>
    </row>
    <row r="39" spans="1:7" ht="19.5" customHeight="1">
      <c r="A39" s="3490"/>
      <c r="B39" s="3494" t="s">
        <v>2632</v>
      </c>
      <c r="C39" s="2846" t="s">
        <v>2472</v>
      </c>
      <c r="D39" s="2847"/>
      <c r="E39" s="2848">
        <v>0.6</v>
      </c>
      <c r="F39" s="2845" t="s">
        <v>2473</v>
      </c>
      <c r="G39" s="2845"/>
    </row>
    <row r="40" spans="1:7" ht="19.5" customHeight="1">
      <c r="A40" s="3490"/>
      <c r="B40" s="3493"/>
      <c r="C40" s="2846" t="s">
        <v>2474</v>
      </c>
      <c r="D40" s="2847"/>
      <c r="E40" s="2848">
        <v>0.6</v>
      </c>
      <c r="F40" s="2845" t="s">
        <v>2475</v>
      </c>
      <c r="G40" s="2845"/>
    </row>
    <row r="41" spans="1:7" ht="19.5" customHeight="1" thickBot="1">
      <c r="A41" s="3491"/>
      <c r="B41" s="3495"/>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6" t="s">
        <v>2610</v>
      </c>
      <c r="B43" s="3492" t="s">
        <v>2634</v>
      </c>
      <c r="C43" s="2842" t="s">
        <v>2479</v>
      </c>
      <c r="D43" s="2843"/>
      <c r="E43" s="2844">
        <v>1</v>
      </c>
      <c r="F43" s="2845" t="s">
        <v>2480</v>
      </c>
      <c r="G43" s="2845"/>
    </row>
    <row r="44" spans="1:7" ht="19.5" customHeight="1">
      <c r="A44" s="3497"/>
      <c r="B44" s="3493"/>
      <c r="C44" s="2846" t="s">
        <v>2481</v>
      </c>
      <c r="D44" s="2847"/>
      <c r="E44" s="2848">
        <v>1</v>
      </c>
      <c r="F44" s="2845" t="s">
        <v>2482</v>
      </c>
      <c r="G44" s="2845"/>
    </row>
    <row r="45" spans="1:7" ht="19.5" customHeight="1">
      <c r="A45" s="3497"/>
      <c r="B45" s="3499"/>
      <c r="C45" s="2846" t="s">
        <v>2483</v>
      </c>
      <c r="D45" s="2847"/>
      <c r="E45" s="2848">
        <v>1.5</v>
      </c>
      <c r="F45" s="2845" t="s">
        <v>2484</v>
      </c>
      <c r="G45" s="2845"/>
    </row>
    <row r="46" spans="1:7" ht="19.5" customHeight="1">
      <c r="A46" s="3497"/>
      <c r="B46" s="2857" t="s">
        <v>2635</v>
      </c>
      <c r="C46" s="2846" t="s">
        <v>2636</v>
      </c>
      <c r="D46" s="2847"/>
      <c r="E46" s="2848">
        <v>2</v>
      </c>
      <c r="F46" s="2845" t="s">
        <v>2485</v>
      </c>
      <c r="G46" s="2845"/>
    </row>
    <row r="47" spans="1:7" ht="19.5" customHeight="1">
      <c r="A47" s="3497"/>
      <c r="B47" s="3494" t="s">
        <v>2637</v>
      </c>
      <c r="C47" s="2846" t="s">
        <v>2486</v>
      </c>
      <c r="D47" s="2847"/>
      <c r="E47" s="2848">
        <v>1</v>
      </c>
      <c r="F47" s="2845" t="s">
        <v>2487</v>
      </c>
      <c r="G47" s="2845"/>
    </row>
    <row r="48" spans="1:7" ht="19.5" customHeight="1">
      <c r="A48" s="3497"/>
      <c r="B48" s="3493"/>
      <c r="C48" s="2846" t="s">
        <v>2488</v>
      </c>
      <c r="D48" s="2847"/>
      <c r="E48" s="2848">
        <v>1</v>
      </c>
      <c r="F48" s="2845" t="s">
        <v>2489</v>
      </c>
      <c r="G48" s="2845"/>
    </row>
    <row r="49" spans="1:7" ht="19.5" customHeight="1">
      <c r="A49" s="3497"/>
      <c r="B49" s="3493"/>
      <c r="C49" s="2846" t="s">
        <v>2490</v>
      </c>
      <c r="D49" s="2847"/>
      <c r="E49" s="2848">
        <v>1</v>
      </c>
      <c r="F49" s="2845" t="s">
        <v>2491</v>
      </c>
      <c r="G49" s="2845"/>
    </row>
    <row r="50" spans="1:7" ht="19.5" customHeight="1">
      <c r="A50" s="3497"/>
      <c r="B50" s="3493"/>
      <c r="C50" s="2846" t="s">
        <v>2492</v>
      </c>
      <c r="D50" s="2847"/>
      <c r="E50" s="2848">
        <v>1</v>
      </c>
      <c r="F50" s="2845" t="s">
        <v>2493</v>
      </c>
      <c r="G50" s="2845"/>
    </row>
    <row r="51" spans="1:7" ht="19.5" customHeight="1">
      <c r="A51" s="3497"/>
      <c r="B51" s="3493"/>
      <c r="C51" s="2846" t="s">
        <v>2494</v>
      </c>
      <c r="D51" s="2847"/>
      <c r="E51" s="2848">
        <v>1</v>
      </c>
      <c r="F51" s="2845" t="s">
        <v>2495</v>
      </c>
      <c r="G51" s="2845"/>
    </row>
    <row r="52" spans="1:7" ht="19.5" customHeight="1">
      <c r="A52" s="3497"/>
      <c r="B52" s="3493"/>
      <c r="C52" s="2846" t="s">
        <v>2496</v>
      </c>
      <c r="D52" s="2847"/>
      <c r="E52" s="2848">
        <v>1</v>
      </c>
      <c r="F52" s="2845" t="s">
        <v>2497</v>
      </c>
      <c r="G52" s="2845"/>
    </row>
    <row r="53" spans="1:7" ht="19.5" customHeight="1" thickBot="1">
      <c r="A53" s="3498"/>
      <c r="B53" s="3495"/>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494" t="s">
        <v>2651</v>
      </c>
      <c r="C75" s="2831" t="s">
        <v>2652</v>
      </c>
      <c r="D75" s="2831" t="s">
        <v>2653</v>
      </c>
      <c r="E75" s="2857">
        <v>0.2</v>
      </c>
      <c r="F75" s="2857">
        <v>25</v>
      </c>
    </row>
    <row r="76" spans="1:7" ht="24">
      <c r="A76" s="2857">
        <v>2</v>
      </c>
      <c r="B76" s="3493"/>
      <c r="C76" s="2831" t="s">
        <v>2654</v>
      </c>
      <c r="D76" s="2831" t="s">
        <v>2655</v>
      </c>
      <c r="E76" s="2857">
        <v>0.2</v>
      </c>
      <c r="F76" s="2857">
        <v>25</v>
      </c>
    </row>
    <row r="77" spans="1:7" ht="24">
      <c r="A77" s="2857">
        <v>3</v>
      </c>
      <c r="B77" s="3493"/>
      <c r="C77" s="2831" t="s">
        <v>2656</v>
      </c>
      <c r="D77" s="2831" t="s">
        <v>2657</v>
      </c>
      <c r="E77" s="2857">
        <v>0.2</v>
      </c>
      <c r="F77" s="2857">
        <v>25</v>
      </c>
    </row>
    <row r="78" spans="1:7" ht="13.5">
      <c r="A78" s="2857">
        <v>4</v>
      </c>
      <c r="B78" s="3493"/>
      <c r="C78" s="2831" t="s">
        <v>2658</v>
      </c>
      <c r="D78" s="2831" t="s">
        <v>2659</v>
      </c>
      <c r="E78" s="2857">
        <v>0.15</v>
      </c>
      <c r="F78" s="2857">
        <v>20</v>
      </c>
    </row>
    <row r="79" spans="1:7" ht="24">
      <c r="A79" s="2857">
        <v>5</v>
      </c>
      <c r="B79" s="3493"/>
      <c r="C79" s="2831" t="s">
        <v>2660</v>
      </c>
      <c r="D79" s="2831" t="s">
        <v>2661</v>
      </c>
      <c r="E79" s="2857">
        <v>0.15</v>
      </c>
      <c r="F79" s="2857">
        <v>20</v>
      </c>
    </row>
    <row r="80" spans="1:7" ht="24">
      <c r="A80" s="2857">
        <v>6</v>
      </c>
      <c r="B80" s="3493"/>
      <c r="C80" s="2831" t="s">
        <v>2662</v>
      </c>
      <c r="D80" s="2831" t="s">
        <v>2663</v>
      </c>
      <c r="E80" s="2857">
        <v>0.15</v>
      </c>
      <c r="F80" s="2857">
        <v>20</v>
      </c>
    </row>
    <row r="81" spans="1:6" ht="24">
      <c r="A81" s="2857">
        <v>7</v>
      </c>
      <c r="B81" s="3493"/>
      <c r="C81" s="2831" t="s">
        <v>2664</v>
      </c>
      <c r="D81" s="2831" t="s">
        <v>2665</v>
      </c>
      <c r="E81" s="2857">
        <v>0.15</v>
      </c>
      <c r="F81" s="2857">
        <v>20</v>
      </c>
    </row>
    <row r="82" spans="1:6" ht="24">
      <c r="A82" s="2857">
        <v>8</v>
      </c>
      <c r="B82" s="3493"/>
      <c r="C82" s="2831" t="s">
        <v>2666</v>
      </c>
      <c r="D82" s="2831" t="s">
        <v>2667</v>
      </c>
      <c r="E82" s="2857">
        <v>0.1</v>
      </c>
      <c r="F82" s="2857">
        <v>15</v>
      </c>
    </row>
    <row r="83" spans="1:6" ht="24">
      <c r="A83" s="2857">
        <v>9</v>
      </c>
      <c r="B83" s="3493"/>
      <c r="C83" s="2831" t="s">
        <v>2668</v>
      </c>
      <c r="D83" s="2831" t="s">
        <v>2669</v>
      </c>
      <c r="E83" s="2857">
        <v>0.1</v>
      </c>
      <c r="F83" s="2857">
        <v>15</v>
      </c>
    </row>
    <row r="84" spans="1:6" ht="24">
      <c r="A84" s="2857">
        <v>10</v>
      </c>
      <c r="B84" s="3493"/>
      <c r="C84" s="2831" t="s">
        <v>2670</v>
      </c>
      <c r="D84" s="2831" t="s">
        <v>2671</v>
      </c>
      <c r="E84" s="2857">
        <v>0.1</v>
      </c>
      <c r="F84" s="2857">
        <v>15</v>
      </c>
    </row>
    <row r="85" spans="1:6" ht="24">
      <c r="A85" s="2857">
        <v>11</v>
      </c>
      <c r="B85" s="3493"/>
      <c r="C85" s="2831" t="s">
        <v>2672</v>
      </c>
      <c r="D85" s="2831" t="s">
        <v>2673</v>
      </c>
      <c r="E85" s="2857">
        <v>0.1</v>
      </c>
      <c r="F85" s="2857">
        <v>15</v>
      </c>
    </row>
    <row r="86" spans="1:6" ht="24">
      <c r="A86" s="2857">
        <v>12</v>
      </c>
      <c r="B86" s="3493"/>
      <c r="C86" s="2831" t="s">
        <v>2674</v>
      </c>
      <c r="D86" s="2831" t="s">
        <v>2675</v>
      </c>
      <c r="E86" s="2857">
        <v>0.1</v>
      </c>
      <c r="F86" s="2857">
        <v>15</v>
      </c>
    </row>
    <row r="87" spans="1:6" ht="13.5">
      <c r="A87" s="2857">
        <v>13</v>
      </c>
      <c r="B87" s="3493"/>
      <c r="C87" s="2831" t="s">
        <v>2676</v>
      </c>
      <c r="D87" s="2831" t="s">
        <v>2677</v>
      </c>
      <c r="E87" s="2857">
        <v>0.1</v>
      </c>
      <c r="F87" s="2857">
        <v>15</v>
      </c>
    </row>
    <row r="88" spans="1:6" ht="13.5">
      <c r="A88" s="2857">
        <v>14</v>
      </c>
      <c r="B88" s="3493"/>
      <c r="C88" s="2831" t="s">
        <v>2678</v>
      </c>
      <c r="D88" s="2831" t="s">
        <v>2679</v>
      </c>
      <c r="E88" s="2857">
        <v>0.1</v>
      </c>
      <c r="F88" s="2857">
        <v>15</v>
      </c>
    </row>
    <row r="89" spans="1:6" ht="13.5">
      <c r="A89" s="2857">
        <v>15</v>
      </c>
      <c r="B89" s="3493"/>
      <c r="C89" s="2831" t="s">
        <v>2680</v>
      </c>
      <c r="D89" s="2831" t="s">
        <v>2681</v>
      </c>
      <c r="E89" s="2857">
        <v>0.1</v>
      </c>
      <c r="F89" s="2857">
        <v>15</v>
      </c>
    </row>
    <row r="90" spans="1:6" ht="24">
      <c r="A90" s="2857">
        <v>16</v>
      </c>
      <c r="B90" s="3493"/>
      <c r="C90" s="2831" t="s">
        <v>2682</v>
      </c>
      <c r="D90" s="2831" t="s">
        <v>2683</v>
      </c>
      <c r="E90" s="2857">
        <v>0.1</v>
      </c>
      <c r="F90" s="2857">
        <v>15</v>
      </c>
    </row>
    <row r="91" spans="1:6" ht="24">
      <c r="A91" s="2857">
        <v>17</v>
      </c>
      <c r="B91" s="3499"/>
      <c r="C91" s="2831" t="s">
        <v>2684</v>
      </c>
      <c r="D91" s="2831" t="s">
        <v>2685</v>
      </c>
      <c r="E91" s="2857">
        <v>0.1</v>
      </c>
      <c r="F91" s="2857">
        <v>15</v>
      </c>
    </row>
    <row r="92" spans="1:6" ht="13.5">
      <c r="A92" s="2857">
        <v>18</v>
      </c>
      <c r="B92" s="3494" t="s">
        <v>2686</v>
      </c>
      <c r="C92" s="2831" t="s">
        <v>2687</v>
      </c>
      <c r="D92" s="2831" t="s">
        <v>2688</v>
      </c>
      <c r="E92" s="2857">
        <v>0.2</v>
      </c>
      <c r="F92" s="2857">
        <v>25</v>
      </c>
    </row>
    <row r="93" spans="1:6" ht="24">
      <c r="A93" s="2857">
        <v>19</v>
      </c>
      <c r="B93" s="3493"/>
      <c r="C93" s="2831" t="s">
        <v>2689</v>
      </c>
      <c r="D93" s="2831" t="s">
        <v>2690</v>
      </c>
      <c r="E93" s="2857">
        <v>0.2</v>
      </c>
      <c r="F93" s="2857">
        <v>25</v>
      </c>
    </row>
    <row r="94" spans="1:6" ht="13.5">
      <c r="A94" s="2857">
        <v>20</v>
      </c>
      <c r="B94" s="3493"/>
      <c r="C94" s="2831" t="s">
        <v>2691</v>
      </c>
      <c r="D94" s="2831" t="s">
        <v>2692</v>
      </c>
      <c r="E94" s="2857">
        <v>0.15</v>
      </c>
      <c r="F94" s="2857">
        <v>20</v>
      </c>
    </row>
    <row r="95" spans="1:6" ht="13.5">
      <c r="A95" s="2857">
        <v>21</v>
      </c>
      <c r="B95" s="3493"/>
      <c r="C95" s="2831" t="s">
        <v>2693</v>
      </c>
      <c r="D95" s="2831" t="s">
        <v>2694</v>
      </c>
      <c r="E95" s="2857">
        <v>0.15</v>
      </c>
      <c r="F95" s="2857">
        <v>20</v>
      </c>
    </row>
    <row r="96" spans="1:6" ht="13.5">
      <c r="A96" s="2857">
        <v>22</v>
      </c>
      <c r="B96" s="3493"/>
      <c r="C96" s="2831" t="s">
        <v>2695</v>
      </c>
      <c r="D96" s="2831" t="s">
        <v>2696</v>
      </c>
      <c r="E96" s="2857">
        <v>0.15</v>
      </c>
      <c r="F96" s="2857">
        <v>20</v>
      </c>
    </row>
    <row r="97" spans="1:6" ht="36">
      <c r="A97" s="2857">
        <v>23</v>
      </c>
      <c r="B97" s="3493"/>
      <c r="C97" s="2831" t="s">
        <v>2697</v>
      </c>
      <c r="D97" s="2831" t="s">
        <v>2698</v>
      </c>
      <c r="E97" s="2857">
        <v>0.15</v>
      </c>
      <c r="F97" s="2857">
        <v>20</v>
      </c>
    </row>
    <row r="98" spans="1:6" ht="13.5">
      <c r="A98" s="2857">
        <v>24</v>
      </c>
      <c r="B98" s="3493"/>
      <c r="C98" s="2831" t="s">
        <v>2699</v>
      </c>
      <c r="D98" s="2831" t="s">
        <v>2700</v>
      </c>
      <c r="E98" s="2857">
        <v>0.1</v>
      </c>
      <c r="F98" s="2857">
        <v>15</v>
      </c>
    </row>
    <row r="99" spans="1:6" ht="13.5">
      <c r="A99" s="2857">
        <v>25</v>
      </c>
      <c r="B99" s="3493"/>
      <c r="C99" s="2831" t="s">
        <v>2701</v>
      </c>
      <c r="D99" s="2831" t="s">
        <v>2702</v>
      </c>
      <c r="E99" s="2857">
        <v>0.1</v>
      </c>
      <c r="F99" s="2857">
        <v>15</v>
      </c>
    </row>
    <row r="100" spans="1:6" ht="24">
      <c r="A100" s="2857">
        <v>26</v>
      </c>
      <c r="B100" s="3493"/>
      <c r="C100" s="2831" t="s">
        <v>2703</v>
      </c>
      <c r="D100" s="2831" t="s">
        <v>2704</v>
      </c>
      <c r="E100" s="2857">
        <v>0.1</v>
      </c>
      <c r="F100" s="2857">
        <v>15</v>
      </c>
    </row>
    <row r="101" spans="1:6" ht="24">
      <c r="A101" s="2857">
        <v>27</v>
      </c>
      <c r="B101" s="3493"/>
      <c r="C101" s="2831" t="s">
        <v>2705</v>
      </c>
      <c r="D101" s="2831" t="s">
        <v>2706</v>
      </c>
      <c r="E101" s="2857">
        <v>0.1</v>
      </c>
      <c r="F101" s="2857">
        <v>15</v>
      </c>
    </row>
    <row r="102" spans="1:6" ht="13.5">
      <c r="A102" s="2857">
        <v>28</v>
      </c>
      <c r="B102" s="3493"/>
      <c r="C102" s="2831" t="s">
        <v>2707</v>
      </c>
      <c r="D102" s="2831" t="s">
        <v>2708</v>
      </c>
      <c r="E102" s="2857">
        <v>0.1</v>
      </c>
      <c r="F102" s="2857">
        <v>15</v>
      </c>
    </row>
    <row r="103" spans="1:6" ht="13.5">
      <c r="A103" s="2857">
        <v>29</v>
      </c>
      <c r="B103" s="3493"/>
      <c r="C103" s="2831" t="s">
        <v>2709</v>
      </c>
      <c r="D103" s="2831" t="s">
        <v>2710</v>
      </c>
      <c r="E103" s="2857">
        <v>0.1</v>
      </c>
      <c r="F103" s="2857">
        <v>15</v>
      </c>
    </row>
    <row r="104" spans="1:6" ht="13.5">
      <c r="A104" s="2857">
        <v>30</v>
      </c>
      <c r="B104" s="3493"/>
      <c r="C104" s="2831" t="s">
        <v>2711</v>
      </c>
      <c r="D104" s="2831" t="s">
        <v>2712</v>
      </c>
      <c r="E104" s="2857">
        <v>0.1</v>
      </c>
      <c r="F104" s="2857">
        <v>15</v>
      </c>
    </row>
    <row r="105" spans="1:6" ht="24">
      <c r="A105" s="2857">
        <v>31</v>
      </c>
      <c r="B105" s="3493"/>
      <c r="C105" s="2831" t="s">
        <v>2713</v>
      </c>
      <c r="D105" s="2831" t="s">
        <v>2714</v>
      </c>
      <c r="E105" s="2857">
        <v>0.1</v>
      </c>
      <c r="F105" s="2857">
        <v>15</v>
      </c>
    </row>
    <row r="106" spans="1:6" ht="24">
      <c r="A106" s="2857">
        <v>32</v>
      </c>
      <c r="B106" s="3493"/>
      <c r="C106" s="2831" t="s">
        <v>2715</v>
      </c>
      <c r="D106" s="2831" t="s">
        <v>2716</v>
      </c>
      <c r="E106" s="2857">
        <v>0.1</v>
      </c>
      <c r="F106" s="2857">
        <v>15</v>
      </c>
    </row>
    <row r="107" spans="1:6" ht="24">
      <c r="A107" s="2857">
        <v>33</v>
      </c>
      <c r="B107" s="3493"/>
      <c r="C107" s="2831" t="s">
        <v>2717</v>
      </c>
      <c r="D107" s="2831" t="s">
        <v>2718</v>
      </c>
      <c r="E107" s="2857">
        <v>0.1</v>
      </c>
      <c r="F107" s="2857">
        <v>15</v>
      </c>
    </row>
    <row r="108" spans="1:6" ht="24">
      <c r="A108" s="2857">
        <v>34</v>
      </c>
      <c r="B108" s="3499"/>
      <c r="C108" s="2831" t="s">
        <v>2719</v>
      </c>
      <c r="D108" s="2831" t="s">
        <v>2720</v>
      </c>
      <c r="E108" s="2857">
        <v>0.1</v>
      </c>
      <c r="F108" s="2857">
        <v>15</v>
      </c>
    </row>
    <row r="109" spans="1:6" ht="24">
      <c r="A109" s="2857">
        <v>35</v>
      </c>
      <c r="B109" s="3494" t="s">
        <v>2721</v>
      </c>
      <c r="C109" s="2857" t="s">
        <v>2722</v>
      </c>
      <c r="D109" s="2831" t="s">
        <v>2723</v>
      </c>
      <c r="E109" s="2857">
        <v>0.15</v>
      </c>
      <c r="F109" s="2857">
        <v>20</v>
      </c>
    </row>
    <row r="110" spans="1:6" ht="13.5">
      <c r="A110" s="2857">
        <v>36</v>
      </c>
      <c r="B110" s="3493"/>
      <c r="C110" s="2857" t="s">
        <v>2724</v>
      </c>
      <c r="D110" s="2831" t="s">
        <v>2725</v>
      </c>
      <c r="E110" s="2857">
        <v>0.15</v>
      </c>
      <c r="F110" s="2857">
        <v>20</v>
      </c>
    </row>
    <row r="111" spans="1:6" ht="13.5">
      <c r="A111" s="2857">
        <v>37</v>
      </c>
      <c r="B111" s="3493"/>
      <c r="C111" s="2857" t="s">
        <v>2726</v>
      </c>
      <c r="D111" s="2831" t="s">
        <v>2727</v>
      </c>
      <c r="E111" s="2857">
        <v>0.15</v>
      </c>
      <c r="F111" s="2857">
        <v>20</v>
      </c>
    </row>
    <row r="112" spans="1:6" ht="13.5">
      <c r="A112" s="2857">
        <v>38</v>
      </c>
      <c r="B112" s="3493"/>
      <c r="C112" s="2857" t="s">
        <v>2728</v>
      </c>
      <c r="D112" s="2831" t="s">
        <v>2729</v>
      </c>
      <c r="E112" s="2857">
        <v>0.1</v>
      </c>
      <c r="F112" s="2857">
        <v>15</v>
      </c>
    </row>
    <row r="113" spans="1:6" ht="24">
      <c r="A113" s="2857">
        <v>39</v>
      </c>
      <c r="B113" s="3493"/>
      <c r="C113" s="2857" t="s">
        <v>2730</v>
      </c>
      <c r="D113" s="2831" t="s">
        <v>2731</v>
      </c>
      <c r="E113" s="2857">
        <v>0.1</v>
      </c>
      <c r="F113" s="2857">
        <v>15</v>
      </c>
    </row>
    <row r="114" spans="1:6" ht="24">
      <c r="A114" s="2857">
        <v>40</v>
      </c>
      <c r="B114" s="3499"/>
      <c r="C114" s="2857" t="s">
        <v>2732</v>
      </c>
      <c r="D114" s="2831" t="s">
        <v>2733</v>
      </c>
      <c r="E114" s="2857">
        <v>0.1</v>
      </c>
      <c r="F114" s="2857">
        <v>15</v>
      </c>
    </row>
    <row r="115" spans="1:6" ht="13.5">
      <c r="A115" s="2857">
        <v>41</v>
      </c>
      <c r="B115" s="3487" t="s">
        <v>2734</v>
      </c>
      <c r="C115" s="2857" t="s">
        <v>2735</v>
      </c>
      <c r="D115" s="2831" t="s">
        <v>2736</v>
      </c>
      <c r="E115" s="2857">
        <v>0.1</v>
      </c>
      <c r="F115" s="2857">
        <v>15</v>
      </c>
    </row>
    <row r="116" spans="1:6" ht="13.5">
      <c r="A116" s="2857">
        <v>42</v>
      </c>
      <c r="B116" s="3487"/>
      <c r="C116" s="2857" t="s">
        <v>2737</v>
      </c>
      <c r="D116" s="2831" t="s">
        <v>2738</v>
      </c>
      <c r="E116" s="2857">
        <v>0.1</v>
      </c>
      <c r="F116" s="2857">
        <v>15</v>
      </c>
    </row>
    <row r="117" spans="1:6" ht="24">
      <c r="A117" s="2857">
        <v>43</v>
      </c>
      <c r="B117" s="3487"/>
      <c r="C117" s="2857" t="s">
        <v>2739</v>
      </c>
      <c r="D117" s="2831" t="s">
        <v>2740</v>
      </c>
      <c r="E117" s="2857">
        <v>0.1</v>
      </c>
      <c r="F117" s="2857">
        <v>15</v>
      </c>
    </row>
    <row r="118" spans="1:6" ht="13.5">
      <c r="A118" s="2857">
        <v>44</v>
      </c>
      <c r="B118" s="3494" t="s">
        <v>2741</v>
      </c>
      <c r="C118" s="2857" t="s">
        <v>2742</v>
      </c>
      <c r="D118" s="2831" t="s">
        <v>2743</v>
      </c>
      <c r="E118" s="2857">
        <v>0.1</v>
      </c>
      <c r="F118" s="2857">
        <v>15</v>
      </c>
    </row>
    <row r="119" spans="1:6" ht="24">
      <c r="A119" s="2857">
        <v>45</v>
      </c>
      <c r="B119" s="3499"/>
      <c r="C119" s="2831" t="s">
        <v>2744</v>
      </c>
      <c r="D119" s="2831" t="s">
        <v>2745</v>
      </c>
      <c r="E119" s="2857">
        <v>0.1</v>
      </c>
      <c r="F119" s="2857">
        <v>15</v>
      </c>
    </row>
    <row r="120" spans="1:6" ht="24">
      <c r="A120" s="2857">
        <v>46</v>
      </c>
      <c r="B120" s="3494" t="s">
        <v>2746</v>
      </c>
      <c r="C120" s="2857" t="s">
        <v>2747</v>
      </c>
      <c r="D120" s="2831" t="s">
        <v>2748</v>
      </c>
      <c r="E120" s="2857">
        <v>0.1</v>
      </c>
      <c r="F120" s="2857">
        <v>15</v>
      </c>
    </row>
    <row r="121" spans="1:6" ht="24">
      <c r="A121" s="2857">
        <v>47</v>
      </c>
      <c r="B121" s="3499"/>
      <c r="C121" s="2857" t="s">
        <v>2749</v>
      </c>
      <c r="D121" s="2831" t="s">
        <v>2750</v>
      </c>
      <c r="E121" s="2857">
        <v>0.1</v>
      </c>
      <c r="F121" s="2857">
        <v>15</v>
      </c>
    </row>
    <row r="122" spans="1:6" ht="13.5">
      <c r="A122" s="2857">
        <v>48</v>
      </c>
      <c r="B122" s="3494" t="s">
        <v>2751</v>
      </c>
      <c r="C122" s="2857" t="s">
        <v>2752</v>
      </c>
      <c r="D122" s="2831" t="s">
        <v>2753</v>
      </c>
      <c r="E122" s="2857">
        <v>0.1</v>
      </c>
      <c r="F122" s="2857">
        <v>15</v>
      </c>
    </row>
    <row r="123" spans="1:6" ht="13.5">
      <c r="A123" s="2857">
        <v>49</v>
      </c>
      <c r="B123" s="3499"/>
      <c r="C123" s="2857" t="s">
        <v>2754</v>
      </c>
      <c r="D123" s="2831" t="s">
        <v>2755</v>
      </c>
      <c r="E123" s="2857">
        <v>0.1</v>
      </c>
      <c r="F123" s="2857">
        <v>15</v>
      </c>
    </row>
    <row r="124" spans="1:6" ht="24">
      <c r="A124" s="2857">
        <v>50</v>
      </c>
      <c r="B124" s="3487" t="s">
        <v>2756</v>
      </c>
      <c r="C124" s="2857" t="s">
        <v>2757</v>
      </c>
      <c r="D124" s="2831" t="s">
        <v>2758</v>
      </c>
      <c r="E124" s="2857">
        <v>0.1</v>
      </c>
      <c r="F124" s="2857">
        <v>15</v>
      </c>
    </row>
    <row r="125" spans="1:6" ht="24">
      <c r="A125" s="2857">
        <v>51</v>
      </c>
      <c r="B125" s="3487"/>
      <c r="C125" s="2857" t="s">
        <v>2759</v>
      </c>
      <c r="D125" s="2831" t="s">
        <v>2760</v>
      </c>
      <c r="E125" s="2857">
        <v>0.1</v>
      </c>
      <c r="F125" s="2857">
        <v>15</v>
      </c>
    </row>
    <row r="126" spans="1:6" ht="24">
      <c r="A126" s="2857">
        <v>52</v>
      </c>
      <c r="B126" s="3487" t="s">
        <v>2761</v>
      </c>
      <c r="C126" s="2857" t="s">
        <v>2762</v>
      </c>
      <c r="D126" s="2831" t="s">
        <v>2763</v>
      </c>
      <c r="E126" s="2857">
        <v>0.1</v>
      </c>
      <c r="F126" s="2857">
        <v>15</v>
      </c>
    </row>
    <row r="127" spans="1:6" ht="24">
      <c r="A127" s="2857">
        <v>53</v>
      </c>
      <c r="B127" s="3487"/>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487" t="s">
        <v>2769</v>
      </c>
      <c r="C129" s="2857" t="s">
        <v>2770</v>
      </c>
      <c r="D129" s="2831" t="s">
        <v>2771</v>
      </c>
      <c r="E129" s="2857">
        <v>0.1</v>
      </c>
      <c r="F129" s="2857">
        <v>15</v>
      </c>
    </row>
    <row r="130" spans="1:6" ht="13.5">
      <c r="A130" s="2857">
        <v>56</v>
      </c>
      <c r="B130" s="3487"/>
      <c r="C130" s="2857" t="s">
        <v>2772</v>
      </c>
      <c r="D130" s="2831" t="s">
        <v>2773</v>
      </c>
      <c r="E130" s="2857">
        <v>0.1</v>
      </c>
      <c r="F130" s="2857">
        <v>15</v>
      </c>
    </row>
    <row r="131" spans="1:6" ht="24">
      <c r="A131" s="2857">
        <v>57</v>
      </c>
      <c r="B131" s="3487"/>
      <c r="C131" s="2857" t="s">
        <v>2774</v>
      </c>
      <c r="D131" s="2831" t="s">
        <v>2775</v>
      </c>
      <c r="E131" s="2857">
        <v>0.1</v>
      </c>
      <c r="F131" s="2857">
        <v>15</v>
      </c>
    </row>
    <row r="132" spans="1:6" ht="24">
      <c r="A132" s="2857">
        <v>58</v>
      </c>
      <c r="B132" s="3487" t="s">
        <v>2776</v>
      </c>
      <c r="C132" s="2857" t="s">
        <v>2777</v>
      </c>
      <c r="D132" s="2831" t="s">
        <v>2778</v>
      </c>
      <c r="E132" s="2857">
        <v>0.1</v>
      </c>
      <c r="F132" s="2857">
        <v>15</v>
      </c>
    </row>
    <row r="133" spans="1:6" ht="13.5">
      <c r="A133" s="2857">
        <v>59</v>
      </c>
      <c r="B133" s="3487"/>
      <c r="C133" s="2857" t="s">
        <v>2779</v>
      </c>
      <c r="D133" s="2831" t="s">
        <v>2780</v>
      </c>
      <c r="E133" s="2857">
        <v>0.1</v>
      </c>
      <c r="F133" s="2857">
        <v>15</v>
      </c>
    </row>
    <row r="134" spans="1:6" ht="13.5">
      <c r="A134" s="2857">
        <v>60</v>
      </c>
      <c r="B134" s="3494" t="s">
        <v>2781</v>
      </c>
      <c r="C134" s="2857" t="s">
        <v>2782</v>
      </c>
      <c r="D134" s="2831" t="s">
        <v>2783</v>
      </c>
      <c r="E134" s="2857">
        <v>0.1</v>
      </c>
      <c r="F134" s="2857">
        <v>15</v>
      </c>
    </row>
    <row r="135" spans="1:6" ht="13.5">
      <c r="A135" s="2857">
        <v>61</v>
      </c>
      <c r="B135" s="3499"/>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487" t="s">
        <v>2789</v>
      </c>
      <c r="C137" s="2857" t="s">
        <v>2790</v>
      </c>
      <c r="D137" s="2831" t="s">
        <v>2791</v>
      </c>
      <c r="E137" s="2857">
        <v>0.1</v>
      </c>
      <c r="F137" s="2857">
        <v>15</v>
      </c>
    </row>
    <row r="138" spans="1:6" ht="13.5">
      <c r="A138" s="2857">
        <v>64</v>
      </c>
      <c r="B138" s="3487"/>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1"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61" t="s">
        <v>94</v>
      </c>
    </row>
    <row r="43" spans="1:7" ht="13.5" customHeight="1">
      <c r="A43" s="733" t="s">
        <v>347</v>
      </c>
      <c r="B43" s="207" t="s">
        <v>426</v>
      </c>
      <c r="C43" s="230" t="e">
        <f ca="1">ROUND(IF('数据-取费表'!B22&lt;=1,C39*F22*'数据-取费表'!B21/2,C39*(POWER((1+F22),'数据-取费表'!B21/2)-1)),0)</f>
        <v>#VALUE!</v>
      </c>
      <c r="D43" s="230"/>
      <c r="E43" s="230"/>
      <c r="F43" s="231"/>
      <c r="G43" s="3362"/>
    </row>
    <row r="44" spans="1:7" ht="13.5" customHeight="1">
      <c r="A44" s="733" t="s">
        <v>348</v>
      </c>
      <c r="B44" s="207" t="s">
        <v>428</v>
      </c>
      <c r="C44" s="230" t="e">
        <f ca="1">ROUND(IF('数据-取费表'!B22&lt;=1,C40*F22*'数据-取费表'!B21/2,C40*(POWER((1+F22),'数据-取费表'!B21/2)-1)),4)</f>
        <v>#VALUE!</v>
      </c>
      <c r="D44" s="230"/>
      <c r="E44" s="230"/>
      <c r="F44" s="231"/>
      <c r="G44" s="3363"/>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0" t="s">
        <v>3181</v>
      </c>
      <c r="B1" s="3500"/>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501" t="s">
        <v>3232</v>
      </c>
      <c r="B1" s="3501"/>
      <c r="C1" s="3501"/>
      <c r="D1" s="3501"/>
      <c r="E1" s="3501"/>
      <c r="F1" s="3502"/>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46083</v>
      </c>
      <c r="B1" s="2929" t="s">
        <v>3376</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3415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3406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3405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3379</v>
      </c>
    </row>
    <row r="27" spans="1:44">
      <c r="I27" s="1404" t="s">
        <v>2825</v>
      </c>
    </row>
    <row r="29" spans="1:44" s="2008" customFormat="1" ht="12.75">
      <c r="B29" s="2929" t="s">
        <v>3377</v>
      </c>
      <c r="C29" s="2930"/>
      <c r="D29" s="2930"/>
      <c r="E29" s="2930"/>
      <c r="F29" s="2930"/>
      <c r="G29" s="2930"/>
      <c r="H29" s="2930"/>
      <c r="I29" s="2930"/>
      <c r="J29" s="2896"/>
      <c r="K29" s="2930" t="s">
        <v>2826</v>
      </c>
      <c r="L29" s="2930"/>
      <c r="M29" s="2930"/>
      <c r="N29" s="2930"/>
      <c r="O29" s="2930"/>
      <c r="P29" s="2930"/>
      <c r="Q29" s="2896"/>
      <c r="R29" s="3503" t="s">
        <v>2827</v>
      </c>
      <c r="S29" s="3504"/>
      <c r="T29" s="3504"/>
      <c r="U29" s="3504"/>
      <c r="V29" s="3504"/>
      <c r="W29" s="3504"/>
      <c r="X29" s="2896"/>
      <c r="Y29" s="3503" t="s">
        <v>2828</v>
      </c>
      <c r="Z29" s="3504"/>
      <c r="AA29" s="3504"/>
      <c r="AB29" s="3504"/>
      <c r="AC29" s="3504"/>
      <c r="AD29" s="3504"/>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3402</v>
      </c>
      <c r="AJ30"/>
      <c r="AK30" t="s">
        <v>3403</v>
      </c>
      <c r="AN30" t="s">
        <v>673</v>
      </c>
      <c r="AO30" t="s">
        <v>21</v>
      </c>
      <c r="AP30" t="s">
        <v>3402</v>
      </c>
      <c r="AQ30"/>
      <c r="AR30" t="s">
        <v>3403</v>
      </c>
    </row>
    <row r="31" spans="1:44" s="2886" customFormat="1" ht="12.75">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3415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3404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3405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6" t="s">
        <v>2839</v>
      </c>
      <c r="B1" s="3516"/>
      <c r="C1" s="3516"/>
      <c r="D1" s="3516"/>
      <c r="E1" s="3516"/>
      <c r="F1" s="3516"/>
      <c r="G1" s="351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1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46083</v>
      </c>
      <c r="D1" s="1216" t="s">
        <v>603</v>
      </c>
      <c r="E1" s="1211">
        <f>'数据-取费表'!B22</f>
        <v>0</v>
      </c>
      <c r="F1" s="1216" t="s">
        <v>604</v>
      </c>
      <c r="G1" s="1212" t="e">
        <f ca="1">IF(OR(C1&lt;C27,E1&lt;=1),INDIRECT("d"&amp;$K$1)/100,ROUND((D5+(E1-C5)*(D7-D5)/(C7-C5))/100,4))</f>
        <v>#VALUE!</v>
      </c>
      <c r="H1" s="1216" t="s">
        <v>634</v>
      </c>
      <c r="I1" s="1212">
        <f ca="1">F4/100</f>
        <v>1.4999999999999999E-2</v>
      </c>
      <c r="J1" s="1217">
        <f>IF(C1&gt;C13,0,MATCH(C1,C$13:C$115,-1))+IF(SUMIF(C13:C115,C1,D13:D115)=0,13,12)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800" t="s">
        <v>925</v>
      </c>
      <c r="E3" s="800" t="s">
        <v>931</v>
      </c>
      <c r="F3" s="800" t="s">
        <v>925</v>
      </c>
      <c r="G3" s="800" t="s">
        <v>926</v>
      </c>
      <c r="H3" s="800" t="s">
        <v>925</v>
      </c>
      <c r="I3" s="800" t="s">
        <v>926</v>
      </c>
    </row>
    <row r="4" spans="1:9" ht="15">
      <c r="A4" s="1402" t="str">
        <f>项目基本情况!S2</f>
        <v>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房地产抵押价值</v>
      </c>
      <c r="B8" s="3193"/>
      <c r="C8" s="3193"/>
      <c r="D8" s="3193" t="e">
        <f ca="1">结果表!D122</f>
        <v>#REF!</v>
      </c>
      <c r="E8" s="3193"/>
      <c r="F8" s="3193"/>
      <c r="G8" s="3193"/>
      <c r="H8" s="3193"/>
      <c r="I8" s="3193"/>
    </row>
    <row r="9" spans="1:9" ht="15">
      <c r="A9" s="3192" t="s">
        <v>927</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9" t="s">
        <v>949</v>
      </c>
      <c r="B1" s="3199"/>
      <c r="C1" s="3199"/>
      <c r="D1" s="3199"/>
    </row>
    <row r="2" spans="1:4" ht="18">
      <c r="A2" s="3200" t="s">
        <v>933</v>
      </c>
      <c r="B2" s="3200"/>
      <c r="C2" s="3200"/>
      <c r="D2" s="320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0" t="s">
        <v>939</v>
      </c>
      <c r="B6" s="3200"/>
      <c r="C6" s="3200"/>
      <c r="D6" s="320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202" t="str">
        <f>IF(项目基本情况!B8="抵押","3.抵押双方在办理抵押登记手续时，应使用本公司出具的正式《房地产评估报告》，特提醒报告使用者注意。","——")</f>
        <v>——</v>
      </c>
      <c r="B13" s="3203"/>
      <c r="C13" s="3203"/>
      <c r="D13" s="3203"/>
    </row>
    <row r="14" spans="1:4" ht="15.75" customHeight="1">
      <c r="A14" s="3202" t="str">
        <f>IF(项目基本情况!B8="抵押","4.本次评估估价师所知悉的法定优先受偿款情况说明如下：","——")</f>
        <v>——</v>
      </c>
      <c r="B14" s="3203"/>
      <c r="C14" s="3203"/>
      <c r="D14" s="3203"/>
    </row>
    <row r="15" spans="1:4" ht="42" customHeight="1">
      <c r="A15" s="3202" t="str">
        <f>IF(项目基本情况!B8="抵押","（1）"&amp;CONCATENATE(项目基本情况!L20,项目基本情况!L21,项目基本情况!L22),"——")</f>
        <v>——</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3" t="s">
        <v>956</v>
      </c>
      <c r="B15" s="3208" t="s">
        <v>109</v>
      </c>
      <c r="C15" s="3209"/>
    </row>
    <row r="16" spans="1:7" ht="13.5">
      <c r="A16" s="3214"/>
      <c r="B16" s="3208" t="s">
        <v>42</v>
      </c>
      <c r="C16" s="3209"/>
    </row>
    <row r="17" spans="1:3" ht="13.5">
      <c r="A17" s="3214"/>
      <c r="B17" s="3211" t="s">
        <v>957</v>
      </c>
      <c r="C17" s="1428" t="s">
        <v>956</v>
      </c>
    </row>
    <row r="18" spans="1:3" ht="13.5">
      <c r="A18" s="3214"/>
      <c r="B18" s="3211"/>
      <c r="C18" s="1428" t="s">
        <v>958</v>
      </c>
    </row>
    <row r="19" spans="1:3" ht="13.5">
      <c r="A19" s="3214"/>
      <c r="B19" s="3211"/>
      <c r="C19" s="1428" t="s">
        <v>959</v>
      </c>
    </row>
    <row r="20" spans="1:3" ht="13.5">
      <c r="A20" s="3215"/>
      <c r="B20" s="3210" t="s">
        <v>960</v>
      </c>
      <c r="C20" s="3209"/>
    </row>
    <row r="21" spans="1:3" ht="13.5">
      <c r="A21" s="1429" t="s">
        <v>961</v>
      </c>
      <c r="B21" s="1430"/>
      <c r="C21" s="1431"/>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8" t="s">
        <v>967</v>
      </c>
    </row>
    <row r="26" spans="1:3" ht="13.5">
      <c r="A26" s="3212"/>
      <c r="B26" s="3211"/>
      <c r="C26" s="1428" t="s">
        <v>968</v>
      </c>
    </row>
    <row r="27" spans="1:3" ht="13.5">
      <c r="A27" s="3212"/>
      <c r="B27" s="3211"/>
      <c r="C27" s="1428" t="s">
        <v>969</v>
      </c>
    </row>
    <row r="28" spans="1:3" ht="13.5">
      <c r="A28" s="3212"/>
      <c r="B28" s="3211"/>
      <c r="C28" s="1428" t="s">
        <v>970</v>
      </c>
    </row>
    <row r="29" spans="1:3" ht="13.5">
      <c r="A29" s="3212"/>
      <c r="B29" s="3211"/>
      <c r="C29" s="1428" t="s">
        <v>971</v>
      </c>
    </row>
    <row r="30" spans="1:3" ht="13.5">
      <c r="A30" s="3212"/>
      <c r="B30" s="3211"/>
      <c r="C30" s="1428" t="s">
        <v>972</v>
      </c>
    </row>
    <row r="31" spans="1:3" ht="13.5">
      <c r="A31" s="3212"/>
      <c r="B31" s="3211"/>
      <c r="C31" s="1428" t="s">
        <v>973</v>
      </c>
    </row>
    <row r="32" spans="1:3" ht="13.5">
      <c r="A32" s="3212"/>
      <c r="B32" s="3211"/>
      <c r="C32" s="1428" t="s">
        <v>974</v>
      </c>
    </row>
    <row r="33" spans="1:3" ht="13.5">
      <c r="A33" s="3212"/>
      <c r="B33" s="321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46098</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比较法-车位月租</vt:lpstr>
      <vt:lpstr>比较法-车位时租</vt:lpstr>
      <vt:lpstr>Sheet1</vt:lpstr>
      <vt:lpstr>Sheet2</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'比较法-车位时租'!Print_Area</vt:lpstr>
      <vt:lpstr>'比较法-车位月租'!Print_Area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'比较法-车位时租'!车位公共部分装修</vt:lpstr>
      <vt:lpstr>车位公共部分装修</vt:lpstr>
      <vt:lpstr>'比较法-车位时租'!车位交易情况</vt:lpstr>
      <vt:lpstr>车位交易情况</vt:lpstr>
      <vt:lpstr>'比较法-车位时租'!车位类型</vt:lpstr>
      <vt:lpstr>车位类型</vt:lpstr>
      <vt:lpstr>'比较法-车位时租'!车位楼层</vt:lpstr>
      <vt:lpstr>车位楼层</vt:lpstr>
      <vt:lpstr>'比较法-车位时租'!车位配套类型</vt:lpstr>
      <vt:lpstr>车位配套类型</vt:lpstr>
      <vt:lpstr>'比较法-车位时租'!车位物业等级</vt:lpstr>
      <vt:lpstr>车位物业等级</vt:lpstr>
      <vt:lpstr>'比较法-车位时租'!车位用途</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'比较法-车位时租'!是否直接入户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2026-03-17T08:15:08Z</dcterms:modified>
</cp:coreProperties>
</file>