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46" hidden="1">Sheet2!$A$1:$BA$151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9" l="1"/>
  <c r="G5" i="39"/>
  <c r="E5" i="39"/>
  <c r="E70" i="39"/>
  <c r="F70" i="39" s="1"/>
  <c r="G70" i="39" s="1"/>
  <c r="H70" i="39" s="1"/>
  <c r="I70" i="39" s="1"/>
  <c r="J70" i="39" s="1"/>
  <c r="K70" i="39" s="1"/>
  <c r="L70" i="39" s="1"/>
  <c r="M70" i="39" s="1"/>
  <c r="D70" i="39"/>
  <c r="I7" i="39"/>
  <c r="G7" i="39"/>
  <c r="E7" i="39"/>
  <c r="I11" i="39"/>
  <c r="G11" i="39"/>
  <c r="E11" i="39"/>
  <c r="C117" i="39"/>
  <c r="G117" i="39"/>
  <c r="H117" i="39" s="1"/>
  <c r="F117" i="39"/>
  <c r="D117" i="39"/>
  <c r="I38" i="39"/>
  <c r="G38" i="39"/>
  <c r="E38" i="39"/>
  <c r="I46" i="39"/>
  <c r="G46" i="39"/>
  <c r="E46" i="39"/>
  <c r="M44" i="80" l="1"/>
  <c r="M41" i="80"/>
  <c r="M39" i="80"/>
  <c r="J52" i="15"/>
  <c r="D33" i="43"/>
  <c r="G19" i="43"/>
  <c r="E19" i="43"/>
  <c r="Y6" i="1" l="1"/>
  <c r="N6" i="1"/>
  <c r="I7" i="6"/>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F16" i="15"/>
  <c r="F37" i="15"/>
  <c r="F7" i="73"/>
  <c r="E2" i="69"/>
  <c r="C76" i="15"/>
  <c r="D4" i="73"/>
  <c r="B10" i="76"/>
  <c r="D3" i="73"/>
  <c r="F13" i="15"/>
  <c r="F42" i="67"/>
  <c r="M23" i="67"/>
  <c r="F37" i="67"/>
  <c r="F7" i="67"/>
  <c r="D7" i="73"/>
  <c r="F26" i="67"/>
  <c r="E10" i="76"/>
  <c r="B13" i="76"/>
  <c r="B9" i="76"/>
  <c r="F6" i="73"/>
  <c r="M26" i="67"/>
  <c r="E2" i="68"/>
  <c r="C76" i="67"/>
  <c r="E9" i="76"/>
  <c r="F16" i="67"/>
  <c r="F43" i="67"/>
  <c r="J15" i="67"/>
  <c r="D34" i="9"/>
  <c r="E13" i="76"/>
  <c r="F40" i="15"/>
  <c r="M22" i="67"/>
  <c r="M6" i="15"/>
  <c r="B11" i="76"/>
  <c r="F43" i="15"/>
  <c r="M28" i="15"/>
  <c r="M9" i="15"/>
  <c r="D6" i="73"/>
  <c r="M29" i="15"/>
  <c r="F8" i="67"/>
  <c r="F9" i="15"/>
  <c r="F13" i="67"/>
  <c r="L47" i="67"/>
  <c r="F26" i="15"/>
  <c r="M9" i="67"/>
  <c r="F9" i="67"/>
  <c r="F20" i="31"/>
  <c r="M24" i="15"/>
  <c r="E11" i="76"/>
  <c r="F38" i="15"/>
  <c r="M8" i="67"/>
  <c r="F36" i="15"/>
  <c r="F40" i="67"/>
  <c r="F42" i="15"/>
  <c r="E12" i="76"/>
  <c r="L47" i="15"/>
  <c r="M24" i="67"/>
  <c r="F4" i="73"/>
  <c r="M23" i="15"/>
  <c r="F3" i="73"/>
  <c r="D35" i="9"/>
  <c r="B12" i="76"/>
  <c r="F38" i="67"/>
  <c r="F5" i="73"/>
  <c r="M8" i="15"/>
  <c r="E7" i="76"/>
  <c r="B7" i="76"/>
  <c r="M29" i="67"/>
  <c r="M28" i="67"/>
  <c r="F36" i="67"/>
  <c r="F7" i="15"/>
  <c r="F8" i="15"/>
  <c r="F6" i="15"/>
  <c r="F6" i="67"/>
  <c r="J15" i="15"/>
  <c r="M22" i="15"/>
  <c r="M6" i="67"/>
  <c r="M26" i="15"/>
  <c r="AO13" i="1"/>
  <c r="E8" i="76"/>
  <c r="D5" i="73"/>
  <c r="L48" i="15"/>
  <c r="L48" i="67"/>
  <c r="AB13" i="39" l="1"/>
  <c r="AC11" i="39"/>
  <c r="S11" i="39"/>
  <c r="C28" i="67"/>
  <c r="C21" i="68"/>
  <c r="C40" i="69"/>
  <c r="BA5" i="3"/>
  <c r="BL5" i="3"/>
  <c r="AZ15"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N370" i="46" l="1"/>
  <c r="F26" i="43"/>
  <c r="N94" i="46"/>
  <c r="E26" i="43"/>
  <c r="J26" i="43"/>
  <c r="K16" i="1"/>
  <c r="E59" i="40"/>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3" i="43" s="1"/>
  <c r="V13"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41" i="43" l="1"/>
  <c r="G41" i="43" s="1"/>
  <c r="I41" i="43" s="1"/>
  <c r="T4" i="43"/>
  <c r="V4" i="43" s="1"/>
  <c r="C42" i="43"/>
  <c r="E42" i="43" s="1"/>
  <c r="T5" i="43"/>
  <c r="V5" i="43" s="1"/>
  <c r="T14" i="43"/>
  <c r="V14" i="43" s="1"/>
  <c r="T11" i="43"/>
  <c r="V11" i="43" s="1"/>
  <c r="C38" i="43"/>
  <c r="E38" i="43" s="1"/>
  <c r="C39" i="43"/>
  <c r="E39" i="43" s="1"/>
  <c r="C40" i="43"/>
  <c r="G40" i="43" s="1"/>
  <c r="I40" i="43" s="1"/>
  <c r="T2" i="43"/>
  <c r="V2" i="43" s="1"/>
  <c r="T10" i="43"/>
  <c r="V10" i="43" s="1"/>
  <c r="T7" i="43"/>
  <c r="V7" i="43" s="1"/>
  <c r="T15" i="43"/>
  <c r="V15" i="43" s="1"/>
  <c r="C37" i="43"/>
  <c r="E37" i="43" s="1"/>
  <c r="C33" i="43"/>
  <c r="T6" i="43"/>
  <c r="V6" i="43" s="1"/>
  <c r="T3" i="43"/>
  <c r="V3" i="43" s="1"/>
  <c r="T8" i="43"/>
  <c r="V8" i="43" s="1"/>
  <c r="T12" i="43"/>
  <c r="V12" i="43" s="1"/>
  <c r="T16" i="43"/>
  <c r="V16" i="43" s="1"/>
  <c r="T9" i="43"/>
  <c r="V9"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G38" i="43" l="1"/>
  <c r="I38" i="43" s="1"/>
  <c r="E40" i="43"/>
  <c r="E41" i="43"/>
  <c r="G39" i="43"/>
  <c r="I39" i="43" s="1"/>
  <c r="G42" i="43"/>
  <c r="I42" i="43" s="1"/>
  <c r="G37" i="43"/>
  <c r="I37"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0" i="43" l="1"/>
  <c r="B2" i="43" s="1"/>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E6" i="76"/>
  <c r="B6" i="76"/>
  <c r="B2" i="76" l="1"/>
  <c r="B3" i="43"/>
  <c r="E2" i="76"/>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3" i="76"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L51" i="15"/>
  <c r="D2" i="35"/>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D19" i="9"/>
  <c r="AO10" i="1"/>
  <c r="AO9" i="1"/>
  <c r="AO6" i="1"/>
  <c r="AO7" i="1"/>
  <c r="AO8" i="1"/>
  <c r="AO12" i="1"/>
  <c r="R48" i="39" l="1"/>
  <c r="C48" i="39" s="1"/>
  <c r="D102" i="9"/>
  <c r="D21" i="9"/>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C47" i="39" l="1"/>
  <c r="D103" i="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E14" i="74"/>
  <c r="F14" i="74"/>
  <c r="B5" i="74"/>
  <c r="D5" i="74" s="1"/>
  <c r="C28" i="68" l="1"/>
  <c r="C27" i="68" s="1"/>
  <c r="C25" i="68"/>
  <c r="C22" i="68" s="1"/>
  <c r="B6" i="74"/>
  <c r="D6" i="74" s="1"/>
  <c r="C31" i="68" l="1"/>
  <c r="C52" i="68" s="1"/>
  <c r="B2" i="68" l="1"/>
  <c r="C57" i="68"/>
  <c r="C56" i="68" s="1"/>
  <c r="C19" i="9"/>
  <c r="C21" i="9" l="1"/>
  <c r="C102" i="9"/>
  <c r="D22" i="9"/>
  <c r="G19" i="9"/>
  <c r="G21" i="9" s="1"/>
  <c r="B3" i="68"/>
  <c r="C20" i="9"/>
  <c r="C103" i="9" l="1"/>
  <c r="G20" i="9"/>
  <c r="C32" i="9" s="1"/>
  <c r="C35" i="9" s="1"/>
  <c r="C34" i="9" s="1"/>
  <c r="C104" i="9"/>
  <c r="H4" i="52"/>
  <c r="E97" i="9"/>
  <c r="C105" i="9"/>
  <c r="I4" i="52"/>
  <c r="D52" i="9"/>
  <c r="D53" i="9"/>
  <c r="N61" i="9"/>
  <c r="N60" i="9"/>
  <c r="P57" i="9"/>
  <c r="N58" i="9"/>
  <c r="N59" i="9"/>
  <c r="D9" i="52"/>
  <c r="C6" i="74"/>
  <c r="B21" i="72"/>
  <c r="B32" i="72"/>
  <c r="M48" i="9"/>
  <c r="M55" i="9"/>
  <c r="C5" i="74"/>
  <c r="H102" i="9"/>
  <c r="D7" i="53"/>
  <c r="D56" i="9"/>
  <c r="M54" i="9"/>
  <c r="C81" i="9"/>
  <c r="G4" i="52"/>
  <c r="B52" i="72"/>
  <c r="C78" i="9"/>
  <c r="C73" i="9"/>
  <c r="B30" i="72"/>
  <c r="D13" i="53"/>
  <c r="D14" i="53"/>
  <c r="D123" i="9"/>
  <c r="D122" i="9"/>
  <c r="D8" i="52"/>
  <c r="B51" i="72"/>
  <c r="F4" i="52"/>
  <c r="D59" i="9"/>
  <c r="C93" i="9"/>
  <c r="C86" i="9"/>
  <c r="E81" i="9"/>
  <c r="B47" i="72"/>
  <c r="C97" i="9"/>
  <c r="D58" i="9"/>
  <c r="E4" i="52"/>
  <c r="B48" i="72"/>
  <c r="B20" i="72"/>
  <c r="D55" i="9"/>
  <c r="M53" i="9"/>
  <c r="N57" i="9"/>
  <c r="C68" i="9"/>
  <c r="D54" i="9"/>
  <c r="B53" i="72"/>
  <c r="H107" i="9"/>
  <c r="H108" i="9"/>
  <c r="D15" i="53"/>
  <c r="B31" i="72"/>
  <c r="G118" i="9"/>
  <c r="F118" i="9"/>
  <c r="F119" i="9"/>
  <c r="F5" i="52"/>
  <c r="C85" i="9"/>
  <c r="C95" i="9"/>
  <c r="C96" i="9"/>
  <c r="E96" i="9"/>
  <c r="C64" i="9"/>
  <c r="C63" i="9"/>
  <c r="C67" i="9"/>
  <c r="C80" i="9"/>
  <c r="E80" i="9"/>
  <c r="D4" i="52"/>
  <c r="E118" i="9"/>
  <c r="D118" i="9"/>
  <c r="D119" i="9"/>
  <c r="D5" i="52"/>
  <c r="B49" i="72"/>
  <c r="D45" i="9"/>
  <c r="C72" i="9"/>
  <c r="C79" i="9"/>
  <c r="H101" i="9"/>
  <c r="D5" i="53"/>
  <c r="D6" i="53"/>
  <c r="B22" i="72"/>
  <c r="I118" i="9"/>
  <c r="H118" i="9"/>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<sst xmlns="http://schemas.openxmlformats.org/spreadsheetml/2006/main" count="12493" uniqueCount="4687">
  <si>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</si>
  <si>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</si>
  <si>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</si>
  <si>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</si>
  <si>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</si>
  <si>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</si>
  <si>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</si>
  <si>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</si>
  <si>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</si>
  <si>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</si>
  <si>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</si>
  <si>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</si>
  <si>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</si>
  <si>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</si>
  <si>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</si>
  <si>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</si>
  <si>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</si>
  <si>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</si>
  <si>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</si>
  <si>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</si>
  <si>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</si>
  <si>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</si>
  <si>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</si>
  <si>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</si>
  <si>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</si>
  <si>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</si>
  <si>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</si>
  <si>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</si>
  <si>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</si>
  <si>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</si>
  <si>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</si>
  <si>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</si>
  <si>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</si>
  <si>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</si>
  <si>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</si>
  <si>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</si>
  <si>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</si>
  <si>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</si>
  <si>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</si>
  <si>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</si>
  <si>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</si>
  <si>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</si>
  <si>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</si>
  <si>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</si>
  <si>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</si>
  <si>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</si>
  <si>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</si>
  <si>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</si>
  <si>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</si>
  <si>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</si>
  <si>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</si>
  <si>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</si>
  <si>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</si>
  <si>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</si>
  <si>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</si>
  <si>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</si>
  <si>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</si>
  <si>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</si>
  <si>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</si>
  <si>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</si>
  <si>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</si>
  <si>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</si>
  <si>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</si>
  <si>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</si>
  <si>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</si>
  <si>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</si>
  <si>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</si>
  <si>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</si>
  <si>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</si>
  <si>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</si>
  <si>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</si>
  <si>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</si>
  <si>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</si>
  <si>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</si>
  <si>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</si>
  <si>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</si>
  <si>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</si>
  <si>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</si>
  <si>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</si>
  <si>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</si>
  <si>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</si>
  <si>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</si>
  <si>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</si>
  <si>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</si>
  <si>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</si>
  <si>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</si>
  <si>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</si>
  <si>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</si>
  <si>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</si>
  <si>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</si>
  <si>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</si>
  <si>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</si>
  <si>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</si>
  <si>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</si>
  <si>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</si>
  <si>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</si>
  <si>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</si>
  <si>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</si>
  <si>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</si>
  <si>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</si>
  <si>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</si>
  <si>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</si>
  <si>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</si>
  <si>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</si>
  <si>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</si>
  <si>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</si>
  <si>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</si>
  <si>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</si>
  <si>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</si>
  <si>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</si>
  <si>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</si>
  <si>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</si>
  <si>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</si>
  <si>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</si>
  <si>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</si>
  <si>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</si>
  <si>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</si>
  <si>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</si>
  <si>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</si>
  <si>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</si>
  <si>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</si>
  <si>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</si>
  <si>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</si>
  <si>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</si>
  <si>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</si>
  <si>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</si>
  <si>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</si>
  <si>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</si>
  <si>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</si>
  <si>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</si>
  <si>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</si>
  <si>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</si>
  <si>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</si>
  <si>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</si>
  <si>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</si>
  <si>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</si>
  <si>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</si>
  <si>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</si>
  <si>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</si>
  <si>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</si>
  <si>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</si>
  <si>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</si>
  <si>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</si>
  <si>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</si>
  <si>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</si>
  <si>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</si>
  <si>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</si>
  <si>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</si>
  <si>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</si>
  <si>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</si>
  <si>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</si>
  <si>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</si>
  <si>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</si>
  <si>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</si>
  <si>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</si>
  <si>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</si>
  <si>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</si>
  <si>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</si>
  <si>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</si>
  <si>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</si>
  <si>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</si>
  <si>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</si>
  <si>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</si>
  <si>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</si>
  <si>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</si>
  <si>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</si>
  <si>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</si>
  <si>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</si>
  <si>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</si>
  <si>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</si>
  <si>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</si>
  <si>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</si>
  <si>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</si>
  <si>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</si>
  <si>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</si>
  <si>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</si>
  <si>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</si>
  <si>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</si>
  <si>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</si>
  <si>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</si>
  <si>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</si>
  <si>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</si>
  <si>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</si>
  <si>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</si>
  <si>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</si>
  <si>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</si>
  <si>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</si>
  <si>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</si>
  <si>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</si>
  <si>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</si>
  <si>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</si>
  <si>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</si>
  <si>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</si>
  <si>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</si>
  <si>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</si>
  <si>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</si>
  <si>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</si>
  <si>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</si>
  <si>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</si>
  <si>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</si>
  <si>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</si>
  <si>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</si>
  <si>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</si>
  <si>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</si>
  <si>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</si>
  <si>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</si>
  <si>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</si>
  <si>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</si>
  <si>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</si>
  <si>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</si>
  <si>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</si>
  <si>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</si>
  <si>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</si>
  <si>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</si>
  <si>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</si>
  <si>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</si>
  <si>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</si>
  <si>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</si>
  <si>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</si>
  <si>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</si>
  <si>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</si>
  <si>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</si>
  <si>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</si>
  <si>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</si>
  <si>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</si>
  <si>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</si>
  <si>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</si>
  <si>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</si>
  <si>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</si>
  <si>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</si>
  <si>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</si>
  <si>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</si>
  <si>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</si>
  <si>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</si>
  <si>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</si>
  <si>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</si>
  <si>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</si>
  <si>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</si>
  <si>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</si>
  <si>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</si>
  <si>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</si>
  <si>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</si>
  <si>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</si>
  <si>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</si>
  <si>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</si>
  <si>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</si>
  <si>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</si>
  <si>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</si>
  <si>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</si>
  <si>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</si>
  <si>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</si>
  <si>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</si>
  <si>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</si>
  <si>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</si>
  <si>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</si>
  <si>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</si>
  <si>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</si>
  <si>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</si>
  <si>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</si>
  <si>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</si>
  <si>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</si>
  <si>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</si>
  <si>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</si>
  <si>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</si>
  <si>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</si>
  <si>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</si>
  <si>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</si>
  <si>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</si>
  <si>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</si>
  <si>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</si>
  <si>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</si>
  <si>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</si>
  <si>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</si>
  <si>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</si>
  <si>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</si>
  <si>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</si>
  <si>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</si>
  <si>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</si>
  <si>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</si>
  <si>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</si>
  <si>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</si>
  <si>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</si>
  <si>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</si>
  <si>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</si>
  <si>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</si>
  <si>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</si>
  <si>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</si>
  <si>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</si>
  <si>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</si>
  <si>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</si>
  <si>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</si>
  <si>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</si>
  <si>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</si>
  <si>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</si>
  <si>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</si>
  <si>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</si>
  <si>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</si>
  <si>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</si>
  <si>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</si>
  <si>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</si>
  <si>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</si>
  <si>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</si>
  <si>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</si>
  <si>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</si>
  <si>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</si>
  <si>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</si>
  <si>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</si>
  <si>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</si>
  <si>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</si>
  <si>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</si>
  <si>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</si>
  <si>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</si>
  <si>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</si>
  <si>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</si>
  <si>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</si>
  <si>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</si>
  <si>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</si>
  <si>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</si>
  <si>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</si>
  <si>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</si>
  <si>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</si>
  <si>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</si>
  <si>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</si>
  <si>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</si>
  <si>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</si>
  <si>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</si>
  <si>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</si>
  <si>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</si>
  <si>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</si>
  <si>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</si>
  <si>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</si>
  <si>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</si>
  <si>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</si>
  <si>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</si>
  <si>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</si>
  <si>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</si>
  <si>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</si>
  <si>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</si>
  <si>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</si>
  <si>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</si>
  <si>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</si>
  <si>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</si>
  <si>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</si>
  <si>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</si>
  <si>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</si>
  <si>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</si>
  <si>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</si>
  <si>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</si>
  <si>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</si>
  <si>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</si>
  <si>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</si>
  <si>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</si>
  <si>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</si>
  <si>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</si>
  <si>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</si>
  <si>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</si>
  <si>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</si>
  <si>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</si>
  <si>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</si>
  <si>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</si>
  <si>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</si>
  <si>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</si>
  <si>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</si>
  <si>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</si>
  <si>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</si>
  <si>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</si>
  <si>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</si>
  <si>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</si>
  <si>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</si>
  <si>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</si>
  <si>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</si>
  <si>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</si>
  <si>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</si>
  <si>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</si>
  <si>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</si>
  <si>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</si>
  <si>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</si>
  <si>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</si>
  <si>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</si>
  <si>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</si>
  <si>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</si>
  <si>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</si>
  <si>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</si>
  <si>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</si>
  <si>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</si>
  <si>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</si>
  <si>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</si>
  <si>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</si>
  <si>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</si>
  <si>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</si>
  <si>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</si>
  <si>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</si>
  <si>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</si>
  <si>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</si>
  <si>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</si>
  <si>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</si>
  <si>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</si>
  <si>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</si>
  <si>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</si>
  <si>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</si>
  <si>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</si>
  <si>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</si>
  <si>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</si>
  <si>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</si>
  <si>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</si>
  <si>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</si>
  <si>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</si>
  <si>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</si>
  <si>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</si>
  <si>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</si>
  <si>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</si>
  <si>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</si>
  <si>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</si>
  <si>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</si>
  <si>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</si>
  <si>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</si>
  <si>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</si>
  <si>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</si>
  <si>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</si>
  <si>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</si>
  <si>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</si>
  <si>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</si>
  <si>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</si>
  <si>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</si>
  <si>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</si>
  <si>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</si>
  <si>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</si>
  <si>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</si>
  <si>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</si>
  <si>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</si>
  <si>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</si>
  <si>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</si>
  <si>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</si>
  <si>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</si>
  <si>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</si>
  <si>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</si>
  <si>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</si>
  <si>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</si>
  <si>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</si>
  <si>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</si>
  <si>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</si>
  <si>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</si>
  <si>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</si>
  <si>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</si>
  <si>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</si>
  <si>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</si>
  <si>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</si>
  <si>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</si>
  <si>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</si>
  <si>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</si>
  <si>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</si>
  <si>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</si>
  <si>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</si>
  <si>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</si>
  <si>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</si>
  <si>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</si>
  <si>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</si>
  <si>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</si>
  <si>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</si>
  <si>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</si>
  <si>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</si>
  <si>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</si>
  <si>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</si>
  <si>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</si>
  <si>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</si>
  <si>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</si>
  <si>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</si>
  <si>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</si>
  <si>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</si>
  <si>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</si>
  <si>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</si>
  <si>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</si>
  <si>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</si>
  <si>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</si>
  <si>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</si>
  <si>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</si>
  <si>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</si>
  <si>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</si>
  <si>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</si>
  <si>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</si>
  <si>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</si>
  <si>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</si>
  <si>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</si>
  <si>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</si>
  <si>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</si>
  <si>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</si>
  <si>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</si>
  <si>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</si>
  <si>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</si>
  <si>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</si>
  <si>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</si>
  <si>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</si>
  <si>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</si>
  <si>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</si>
  <si>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</si>
  <si>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</si>
  <si>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</si>
  <si>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</si>
  <si>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</si>
  <si>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</si>
  <si>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</si>
  <si>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</si>
  <si>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</si>
  <si>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</si>
  <si>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</si>
  <si>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</si>
  <si>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</si>
  <si>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</si>
  <si>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</si>
  <si>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</si>
  <si>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</si>
  <si>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</si>
  <si>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</si>
  <si>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</si>
  <si>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</si>
  <si>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</si>
  <si>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</si>
  <si>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</si>
  <si>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</si>
  <si>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</si>
  <si>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</si>
  <si>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</si>
  <si>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</si>
  <si>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</si>
  <si>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</si>
  <si>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</si>
  <si>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</si>
  <si>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</si>
  <si>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</si>
  <si>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</si>
  <si>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</si>
  <si>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</si>
  <si>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</si>
  <si>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</si>
  <si>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</si>
  <si>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</si>
  <si>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</si>
  <si>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</si>
  <si>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</si>
  <si>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</si>
  <si>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</si>
  <si>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</si>
  <si>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</si>
  <si>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</si>
  <si>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</si>
  <si>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</si>
  <si>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</si>
  <si>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</si>
  <si>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</si>
  <si>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</si>
  <si>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</si>
  <si>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</si>
  <si>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</si>
  <si>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</si>
  <si>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</si>
  <si>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</si>
  <si>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</si>
  <si>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</si>
  <si>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</si>
  <si>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</si>
  <si>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</si>
  <si>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</si>
  <si>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</si>
  <si>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</si>
  <si>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</si>
  <si>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</si>
  <si>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</si>
  <si>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</si>
  <si>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</si>
  <si>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</si>
  <si>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</si>
  <si>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</si>
  <si>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</si>
  <si>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</si>
  <si>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</si>
  <si>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</si>
  <si>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</si>
  <si>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</si>
  <si>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</si>
  <si>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</si>
  <si>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</si>
  <si>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</si>
  <si>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</si>
  <si>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</si>
  <si>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</si>
  <si>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</si>
  <si>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</si>
  <si>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</si>
  <si>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</si>
  <si>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</si>
  <si>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</si>
  <si>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</si>
  <si>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</si>
  <si>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</si>
  <si>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</si>
  <si>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</si>
  <si>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</si>
  <si>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</si>
  <si>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</si>
  <si>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</si>
  <si>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</si>
  <si>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</si>
  <si>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</si>
  <si>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</si>
  <si>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</si>
  <si>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</si>
  <si>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</si>
  <si>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</si>
  <si>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</si>
  <si>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</si>
  <si>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</si>
  <si>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</si>
  <si>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</si>
  <si>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</si>
  <si>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</si>
  <si>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</si>
  <si>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</si>
  <si>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</si>
  <si>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</si>
  <si>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</si>
  <si>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</si>
  <si>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</si>
  <si>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</si>
  <si>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</si>
  <si>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</si>
  <si>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</si>
  <si>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</si>
  <si>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</si>
  <si>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</si>
  <si>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</si>
  <si>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</si>
  <si>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</si>
  <si>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</si>
  <si>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</si>
  <si>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</si>
  <si>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</si>
  <si>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</si>
  <si>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</si>
  <si>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</si>
  <si>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</si>
  <si>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</si>
  <si>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</si>
  <si>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</si>
  <si>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</si>
  <si>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</si>
  <si>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</si>
  <si>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</si>
  <si>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</si>
  <si>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</si>
  <si>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</si>
  <si>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</si>
  <si>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</si>
  <si>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</si>
  <si>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</si>
  <si>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</si>
  <si>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</si>
  <si>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</si>
  <si>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</si>
  <si>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</si>
  <si>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</si>
  <si>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</si>
  <si>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</si>
  <si>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</si>
  <si>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</si>
  <si>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</si>
  <si>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</si>
  <si>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</si>
  <si>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</si>
  <si>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</si>
  <si>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</si>
  <si>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</si>
  <si>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</si>
  <si>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</si>
  <si>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</si>
  <si>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</si>
  <si>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</si>
  <si>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</si>
  <si>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</si>
  <si>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</si>
  <si>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</si>
  <si>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</si>
  <si>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</si>
  <si>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</si>
  <si>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</si>
  <si>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</si>
  <si>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</si>
  <si>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</si>
  <si>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</si>
  <si>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</si>
  <si>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</si>
  <si>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</si>
  <si>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</si>
  <si>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</si>
  <si>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</si>
  <si>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</si>
  <si>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</si>
  <si>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</si>
  <si>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</si>
  <si>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</si>
  <si>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</si>
  <si>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</si>
  <si>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</si>
  <si>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</si>
  <si>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</si>
  <si>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</si>
  <si>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</si>
  <si>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</si>
  <si>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</si>
  <si>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</si>
  <si>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</si>
  <si>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</si>
  <si>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</si>
  <si>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</si>
  <si>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</si>
  <si>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</si>
  <si>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</si>
  <si>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</si>
  <si>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</si>
  <si>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</si>
  <si>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</si>
  <si>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</si>
  <si>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</si>
  <si>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</si>
  <si>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</si>
  <si>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</si>
  <si>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</si>
  <si>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</si>
  <si>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</si>
  <si>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</si>
  <si>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</si>
  <si>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</si>
  <si>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</si>
  <si>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</si>
  <si>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</si>
  <si>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</si>
  <si>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</si>
  <si>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</si>
  <si>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</si>
  <si>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</si>
  <si>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</si>
  <si>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</si>
  <si>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</si>
  <si>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</si>
  <si>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</si>
  <si>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</si>
  <si>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</si>
  <si>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</si>
  <si>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</si>
  <si>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</si>
  <si>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</si>
  <si>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</si>
  <si>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</si>
  <si>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</si>
  <si>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</si>
  <si>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</si>
  <si>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</si>
  <si>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</si>
  <si>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</si>
  <si>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</si>
  <si>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</si>
  <si>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</si>
  <si>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</si>
  <si>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</si>
  <si>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</si>
  <si>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</si>
  <si>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</si>
  <si>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</si>
  <si>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</si>
  <si>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</si>
  <si>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</si>
  <si>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</si>
  <si>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</si>
  <si>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</si>
  <si>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</si>
  <si>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</si>
  <si>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</si>
  <si>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</si>
  <si>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</si>
  <si>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</si>
  <si>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</si>
  <si>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</si>
  <si>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</si>
  <si>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</si>
  <si>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</si>
  <si>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</si>
  <si>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</si>
  <si>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</si>
  <si>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</si>
  <si>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</si>
  <si>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</si>
  <si>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</si>
  <si>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</si>
  <si>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</si>
  <si>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</si>
  <si>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</si>
  <si>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</si>
  <si>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</si>
  <si>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</si>
  <si>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</si>
  <si>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</si>
  <si>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</si>
  <si>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</si>
  <si>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</si>
  <si>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</si>
  <si>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</si>
  <si>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</si>
  <si>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</si>
  <si>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</si>
  <si>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</si>
  <si>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</si>
  <si>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</si>
  <si>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</si>
  <si>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</si>
  <si>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</si>
  <si>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</si>
  <si>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</si>
  <si>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</si>
  <si>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</si>
  <si>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</si>
  <si>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</si>
  <si>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</si>
  <si>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</si>
  <si>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</si>
  <si>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</si>
  <si>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</si>
  <si>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</si>
  <si>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</si>
  <si>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</si>
  <si>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</si>
  <si>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</si>
  <si>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</si>
  <si>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</si>
  <si>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</si>
  <si>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</si>
  <si>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</si>
  <si>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</si>
  <si>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</si>
  <si>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</si>
  <si>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</si>
  <si>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</si>
  <si>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</si>
  <si>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</si>
  <si>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</si>
  <si>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</si>
  <si>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</si>
  <si>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</si>
  <si>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</si>
  <si>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</si>
  <si>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</si>
  <si>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</si>
  <si>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</si>
  <si>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</si>
  <si>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</si>
  <si>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</si>
  <si>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</si>
  <si>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</si>
  <si>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</si>
  <si>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</si>
  <si>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</si>
  <si>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</si>
  <si>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</si>
  <si>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</si>
  <si>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</si>
  <si>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</si>
  <si>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</si>
  <si>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</si>
  <si>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</si>
  <si>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</si>
  <si>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</si>
  <si>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</si>
  <si>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</si>
  <si>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</si>
  <si>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</si>
  <si>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</si>
  <si>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</si>
  <si>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</si>
  <si>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</si>
  <si>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</si>
  <si>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</si>
  <si>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</si>
  <si>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</si>
  <si>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</si>
  <si>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</si>
  <si>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</si>
  <si>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</si>
  <si>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</si>
  <si>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</si>
  <si>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</si>
  <si>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</si>
  <si>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</si>
  <si>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</si>
  <si>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</si>
  <si>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</si>
  <si>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</si>
  <si>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</si>
  <si>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</si>
  <si>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</si>
  <si>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</si>
  <si>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</si>
  <si>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</si>
  <si>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</si>
  <si>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</si>
  <si>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</si>
  <si>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</si>
  <si>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</si>
  <si>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</si>
  <si>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</si>
  <si>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</si>
  <si>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</si>
  <si>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</si>
  <si>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</si>
  <si>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</si>
  <si>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</si>
  <si>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</si>
  <si>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</si>
  <si>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</si>
  <si>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</si>
  <si>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</si>
  <si>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</si>
  <si>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</si>
  <si>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</si>
  <si>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</si>
  <si>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</si>
  <si>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</si>
  <si>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</si>
  <si>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</si>
  <si>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</si>
  <si>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</si>
  <si>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</si>
  <si>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</si>
  <si>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</si>
  <si>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</si>
  <si>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</si>
  <si>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</si>
  <si>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</si>
  <si>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</si>
  <si>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</si>
  <si>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</si>
  <si>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</si>
  <si>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</si>
  <si>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</si>
  <si>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</si>
  <si>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</si>
  <si>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</si>
  <si>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</si>
  <si>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</si>
  <si>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</si>
  <si>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</si>
  <si>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</si>
  <si>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</si>
  <si>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</si>
  <si>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</si>
  <si>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</si>
  <si>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</si>
  <si>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</si>
  <si>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</si>
  <si>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</si>
  <si>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</si>
  <si>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</si>
  <si>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</si>
  <si>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</si>
  <si>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</si>
  <si>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</si>
  <si>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</si>
  <si>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</si>
  <si>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</si>
  <si>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</si>
  <si>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</si>
  <si>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</si>
  <si>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</si>
  <si>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</si>
  <si>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</si>
  <si>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</si>
  <si>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</si>
  <si>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</si>
  <si>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</si>
  <si>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</si>
  <si>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</si>
  <si>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</si>
  <si>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</si>
  <si>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</si>
  <si>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</si>
  <si>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</si>
  <si>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</si>
  <si>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</si>
  <si>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</si>
  <si>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</si>
  <si>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</si>
  <si>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</si>
  <si>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</si>
  <si>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</si>
  <si>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</si>
  <si>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</si>
  <si>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</si>
  <si>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</si>
  <si>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</si>
  <si>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</si>
  <si>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</si>
  <si>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</si>
  <si>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</si>
  <si>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</si>
  <si>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</si>
  <si>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</si>
  <si>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</si>
  <si>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</si>
  <si>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</si>
  <si>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</si>
  <si>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</si>
  <si>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</si>
  <si>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</si>
  <si>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</si>
  <si>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</si>
  <si>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</si>
  <si>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</si>
  <si>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</si>
  <si>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</si>
  <si>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</si>
  <si>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</si>
  <si>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</si>
  <si>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</si>
  <si>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</si>
  <si>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</si>
  <si>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</si>
  <si>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</si>
  <si>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</si>
  <si>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</si>
  <si>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</si>
  <si>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</si>
  <si>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</si>
  <si>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</si>
  <si>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</si>
  <si>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</si>
  <si>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</si>
  <si>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</si>
  <si>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</si>
  <si>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</si>
  <si>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</si>
  <si>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</si>
  <si>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</si>
  <si>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</si>
  <si>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</si>
  <si>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</si>
  <si>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</si>
  <si>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</si>
  <si>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</si>
  <si>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</si>
  <si>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</si>
  <si>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</si>
  <si>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</si>
  <si>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</si>
  <si>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</si>
  <si>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</si>
  <si>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</si>
  <si>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</si>
  <si>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</si>
  <si>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</si>
  <si>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</si>
  <si>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</si>
  <si>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</si>
  <si>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</si>
  <si>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</si>
  <si>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</si>
  <si>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</si>
  <si>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</si>
  <si>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</si>
  <si>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</si>
  <si>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</si>
  <si>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</si>
  <si>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</si>
  <si>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</si>
  <si>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</si>
  <si>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</si>
  <si>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</si>
  <si>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</si>
  <si>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</si>
  <si>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</si>
  <si>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</si>
  <si>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</si>
  <si>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</si>
  <si>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</si>
  <si>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</si>
  <si>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</si>
  <si>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</si>
  <si>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</si>
  <si>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</si>
  <si>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</si>
  <si>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</si>
  <si>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</si>
  <si>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</si>
  <si>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</si>
  <si>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</si>
  <si>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</si>
  <si>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</si>
  <si>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</si>
  <si>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</si>
  <si>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</si>
  <si>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</si>
  <si>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</si>
  <si>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</si>
  <si>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</si>
  <si>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</si>
  <si>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</si>
  <si>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</si>
  <si>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</si>
  <si>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</si>
  <si>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</si>
  <si>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</si>
  <si>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</si>
  <si>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</si>
  <si>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</si>
  <si>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</si>
  <si>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</si>
  <si>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</si>
  <si>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</si>
  <si>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</si>
  <si>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</si>
  <si>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</si>
  <si>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</si>
  <si>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</si>
  <si>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</si>
  <si>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</si>
  <si>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</si>
  <si>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</si>
  <si>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</si>
  <si>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</si>
  <si>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</si>
  <si>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</si>
  <si>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</si>
  <si>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</si>
  <si>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</si>
  <si>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</si>
  <si>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</si>
  <si>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</si>
  <si>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</si>
  <si>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</si>
  <si>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</si>
  <si>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</si>
  <si>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</si>
  <si>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</si>
  <si>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</si>
  <si>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</si>
  <si>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</si>
  <si>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</si>
  <si>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</si>
  <si>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</si>
  <si>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</si>
  <si>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</si>
  <si>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</si>
  <si>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</si>
  <si>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</si>
  <si>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</si>
  <si>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</si>
  <si>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</si>
  <si>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</si>
  <si>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</si>
  <si>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</si>
  <si>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</si>
  <si>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</si>
  <si>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</si>
  <si>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</si>
  <si>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</si>
  <si>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</si>
  <si>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</si>
  <si>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</si>
  <si>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</si>
  <si>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</si>
  <si>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</si>
  <si>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</si>
  <si>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</si>
  <si>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</si>
  <si>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</si>
  <si>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</si>
  <si>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</si>
  <si>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</si>
  <si>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</si>
  <si>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</si>
  <si>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</si>
  <si>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</si>
  <si>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</si>
  <si>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</si>
  <si>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</si>
  <si>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</si>
  <si>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</si>
  <si>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</si>
  <si>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</si>
  <si>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</si>
  <si>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</si>
  <si>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</si>
  <si>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</si>
  <si>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</si>
  <si>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</si>
  <si>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</si>
  <si>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</si>
  <si>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</si>
  <si>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</si>
  <si>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</si>
  <si>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</si>
  <si>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</si>
  <si>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</si>
  <si>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</si>
  <si>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</si>
  <si>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</si>
  <si>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</si>
  <si>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</si>
  <si>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</si>
  <si>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</si>
  <si>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</si>
  <si>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</si>
  <si>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</si>
  <si>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</si>
  <si>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</si>
  <si>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</si>
  <si>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</si>
  <si>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</si>
  <si>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</si>
  <si>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</si>
  <si>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</si>
  <si>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</si>
  <si>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</si>
  <si>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</si>
  <si>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</si>
  <si>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</si>
  <si>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</si>
  <si>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</si>
  <si>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</si>
  <si>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</si>
  <si>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</si>
  <si>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</si>
  <si>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</si>
  <si>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</si>
  <si>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</si>
  <si>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</si>
  <si>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</si>
  <si>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</si>
  <si>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</si>
  <si>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</si>
  <si>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</si>
  <si>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</si>
  <si>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</si>
  <si>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</si>
  <si>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</si>
  <si>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</si>
  <si>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</si>
  <si>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</si>
  <si>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</si>
  <si>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</si>
  <si>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</si>
  <si>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</si>
  <si>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</si>
  <si>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</si>
  <si>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</si>
  <si>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</si>
  <si>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</si>
  <si>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</si>
  <si>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</si>
  <si>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</si>
  <si>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</si>
  <si>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</si>
  <si>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</si>
  <si>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</si>
  <si>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</si>
  <si>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</si>
  <si>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</si>
  <si>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</si>
  <si>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</si>
  <si>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</si>
  <si>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</si>
  <si>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</si>
  <si>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</si>
  <si>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</si>
  <si>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</si>
  <si>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</si>
  <si>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</si>
  <si>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</si>
  <si>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</si>
  <si>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</si>
  <si>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</si>
  <si>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</si>
  <si>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</si>
  <si>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</si>
  <si>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</si>
  <si>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</si>
  <si>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</si>
  <si>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</si>
  <si>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</si>
  <si>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</si>
  <si>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</si>
  <si>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</si>
  <si>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</si>
  <si>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</si>
  <si>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</si>
  <si>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</si>
  <si>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</si>
  <si>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</si>
  <si>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</si>
  <si>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</si>
  <si>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</si>
  <si>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</si>
  <si>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</si>
  <si>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</si>
  <si>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</si>
  <si>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</si>
  <si>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</si>
  <si>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</si>
  <si>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</si>
  <si>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</si>
  <si>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</si>
  <si>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</si>
  <si>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</si>
  <si>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</si>
  <si>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</si>
  <si>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</si>
  <si>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</si>
  <si>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</si>
  <si>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</si>
  <si>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</si>
  <si>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</si>
  <si>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</si>
  <si>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</si>
  <si>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</si>
  <si>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</si>
  <si>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</si>
  <si>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</si>
  <si>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</si>
  <si>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</si>
  <si>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</si>
  <si>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</si>
  <si>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</si>
  <si>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</si>
  <si>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</si>
  <si>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</si>
  <si>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</si>
  <si>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</si>
  <si>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</si>
  <si>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</si>
  <si>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</si>
  <si>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</si>
  <si>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</si>
  <si>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</si>
  <si>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</si>
  <si>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</si>
  <si>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</si>
  <si>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</si>
  <si>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</si>
  <si>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</si>
  <si>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</si>
  <si>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</si>
  <si>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</si>
  <si>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</si>
  <si>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</si>
  <si>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</si>
  <si>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</si>
  <si>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</si>
  <si>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</si>
  <si>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</si>
  <si>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</si>
  <si>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</si>
  <si>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</si>
  <si>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</si>
  <si>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</si>
  <si>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</si>
  <si>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</si>
  <si>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</si>
  <si>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</si>
  <si>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</si>
  <si>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</si>
  <si>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</si>
  <si>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</si>
  <si>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</si>
  <si>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</si>
  <si>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</si>
  <si>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</si>
  <si>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</si>
  <si>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</si>
  <si>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</si>
  <si>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</si>
  <si>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</si>
  <si>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</si>
  <si>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</si>
  <si>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</si>
  <si>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</si>
  <si>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</si>
  <si>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</si>
  <si>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</si>
  <si>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</si>
  <si>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</si>
  <si>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</si>
  <si>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</si>
  <si>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</si>
  <si>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</si>
  <si>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</si>
  <si>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</si>
  <si>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</si>
  <si>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</si>
  <si>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</si>
  <si>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</si>
  <si>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</si>
  <si>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</si>
  <si>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</si>
  <si>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</si>
  <si>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</si>
  <si>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</si>
  <si>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</si>
  <si>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</si>
  <si>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</si>
  <si>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</si>
  <si>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</si>
  <si>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</si>
  <si>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</si>
  <si>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</si>
  <si>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</si>
  <si>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</si>
  <si>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</si>
  <si>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</si>
  <si>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</si>
  <si>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</si>
  <si>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</si>
  <si>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</si>
  <si>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</si>
  <si>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</si>
  <si>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</si>
  <si>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</si>
  <si>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</si>
  <si>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</si>
  <si>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</si>
  <si>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</si>
  <si>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</si>
  <si>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</si>
  <si>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</si>
  <si>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</si>
  <si>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</si>
  <si>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</si>
  <si>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</si>
  <si>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</si>
  <si>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</si>
  <si>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</si>
  <si>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</si>
  <si>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</si>
  <si>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</si>
  <si>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</si>
  <si>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</si>
  <si>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</si>
  <si>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</si>
  <si>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</si>
  <si>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</si>
  <si>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</si>
  <si>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</si>
  <si>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</si>
  <si>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</si>
  <si>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</si>
  <si>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</si>
  <si>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</si>
  <si>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</si>
  <si>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</si>
  <si>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</si>
  <si>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</si>
  <si>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</si>
  <si>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</si>
  <si>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</si>
  <si>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</si>
  <si>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</si>
  <si>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</si>
  <si>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</si>
  <si>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</si>
  <si>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</si>
  <si>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</si>
  <si>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</si>
  <si>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</si>
  <si>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</si>
  <si>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</si>
  <si>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</si>
  <si>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</si>
  <si>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</si>
  <si>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</si>
  <si>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</si>
  <si>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</si>
  <si>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</si>
  <si>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</si>
  <si>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</si>
  <si>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</si>
  <si>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</si>
  <si>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</si>
  <si>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</si>
  <si>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</si>
  <si>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</si>
  <si>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</si>
  <si>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</si>
  <si>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</si>
  <si>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</si>
  <si>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</si>
  <si>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</si>
  <si>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</si>
  <si>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</si>
  <si>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</si>
  <si>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</si>
  <si>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</si>
  <si>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</si>
  <si>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</si>
  <si>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</si>
  <si>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</si>
  <si>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</si>
  <si>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</si>
  <si>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</si>
  <si>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</si>
  <si>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</si>
  <si>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</si>
  <si>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</si>
  <si>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</si>
  <si>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</si>
  <si>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</si>
  <si>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</si>
  <si>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</si>
  <si>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</si>
  <si>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</si>
  <si>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</si>
  <si>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</si>
  <si>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</si>
  <si>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</si>
  <si>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</si>
  <si>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</si>
  <si>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</si>
  <si>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</si>
  <si>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</si>
  <si>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</si>
  <si>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</si>
  <si>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</si>
  <si>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</si>
  <si>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</si>
  <si>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</si>
  <si>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</si>
  <si>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</si>
  <si>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</si>
  <si>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</si>
  <si>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</si>
  <si>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</si>
  <si>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</si>
  <si>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</si>
  <si>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</si>
  <si>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</si>
  <si>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</si>
  <si>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</si>
  <si>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</si>
  <si>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</si>
  <si>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</si>
  <si>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</si>
  <si>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</si>
  <si>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</si>
  <si>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</si>
  <si>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</si>
  <si>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</si>
  <si>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</si>
  <si>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</si>
  <si>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</si>
  <si>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</si>
  <si>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</si>
  <si>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</si>
  <si>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</si>
  <si>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</si>
  <si>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</si>
  <si>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</si>
  <si>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</si>
  <si>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</si>
  <si>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</si>
  <si>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</si>
  <si>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</si>
  <si>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</si>
  <si>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</si>
  <si>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</si>
  <si>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</si>
  <si>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</si>
  <si>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</si>
  <si>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</si>
  <si>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</si>
  <si>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</si>
  <si>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</si>
  <si>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</si>
  <si>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</si>
  <si>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</si>
  <si>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</si>
  <si>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</si>
  <si>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</si>
  <si>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</si>
  <si>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</si>
  <si>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</si>
  <si>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</si>
  <si>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</si>
  <si>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</si>
  <si>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</si>
  <si>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</si>
  <si>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</si>
  <si>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</si>
  <si>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</si>
  <si>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</si>
  <si>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</si>
  <si>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</si>
  <si>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</si>
  <si>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</si>
  <si>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</si>
  <si>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</si>
  <si>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</si>
  <si>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</si>
  <si>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</si>
  <si>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</si>
  <si>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</si>
  <si>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</si>
  <si>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</si>
  <si>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</si>
  <si>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</si>
  <si>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</si>
  <si>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</si>
  <si>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</si>
  <si>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</si>
  <si>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</si>
  <si>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</si>
  <si>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</si>
  <si>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</si>
  <si>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</si>
  <si>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</si>
  <si>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</si>
  <si>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</si>
  <si>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</si>
  <si>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</si>
  <si>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</si>
  <si>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</si>
  <si>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</si>
  <si>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</si>
  <si>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</si>
  <si>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</si>
  <si>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</si>
  <si>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</si>
  <si>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</si>
  <si>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</si>
  <si>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</si>
  <si>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</si>
  <si>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</si>
  <si>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</si>
  <si>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</si>
  <si>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</si>
  <si>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</si>
  <si>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</si>
  <si>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</si>
  <si>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</si>
  <si>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</si>
  <si>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</si>
  <si>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</si>
  <si>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</si>
  <si>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</si>
  <si>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</si>
  <si>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</si>
  <si>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</si>
  <si>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</si>
  <si>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</si>
  <si>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</si>
  <si>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</si>
  <si>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</si>
  <si>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</si>
  <si>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</si>
  <si>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</si>
  <si>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</si>
  <si>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</si>
  <si>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</si>
  <si>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</si>
  <si>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</si>
  <si>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</si>
  <si>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</si>
  <si>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</si>
  <si>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</si>
  <si>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</si>
  <si>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</si>
  <si>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</si>
  <si>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</si>
  <si>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</si>
  <si>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</si>
  <si>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</si>
  <si>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</si>
  <si>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</si>
  <si>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</si>
  <si>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</si>
  <si>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</si>
  <si>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</si>
  <si>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</si>
  <si>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</si>
  <si>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</si>
  <si>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</si>
  <si>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</si>
  <si>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</si>
  <si>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</si>
  <si>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</si>
  <si>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</si>
  <si>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</si>
  <si>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</si>
  <si>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</si>
  <si>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</si>
  <si>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</si>
  <si>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</si>
  <si>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</si>
  <si>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</si>
  <si>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</si>
  <si>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</si>
  <si>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</si>
  <si>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</si>
  <si>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</si>
  <si>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</si>
  <si>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</si>
  <si>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</si>
  <si>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</si>
  <si>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</si>
  <si>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</si>
  <si>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</si>
  <si>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</si>
  <si>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</si>
  <si>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</si>
  <si>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</si>
  <si>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</si>
  <si>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</si>
  <si>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</si>
  <si>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</si>
  <si>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</si>
  <si>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</si>
  <si>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</si>
  <si>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</si>
  <si>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</si>
  <si>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</si>
  <si>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</si>
  <si>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</si>
  <si>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</si>
  <si>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</si>
  <si>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</si>
  <si>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</si>
  <si>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</si>
  <si>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</si>
  <si>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</si>
  <si>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</si>
  <si>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</si>
  <si>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</si>
  <si>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</si>
  <si>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</si>
  <si>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</si>
  <si>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</si>
  <si>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</si>
  <si>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</si>
  <si>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</si>
  <si>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</si>
  <si>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</si>
  <si>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</si>
  <si>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</si>
  <si>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</si>
  <si>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</si>
  <si>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</si>
  <si>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</si>
  <si>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</si>
  <si>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</si>
  <si>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</si>
  <si>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</si>
  <si>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</si>
  <si>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</si>
  <si>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</si>
  <si>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</si>
  <si>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</si>
  <si>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</si>
  <si>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</si>
  <si>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</si>
  <si>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</si>
  <si>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</si>
  <si>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</si>
  <si>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</si>
  <si>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</si>
  <si>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</si>
  <si>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</si>
  <si>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</si>
  <si>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</si>
  <si>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</si>
  <si>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</si>
  <si>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</si>
  <si>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</si>
  <si>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</si>
  <si>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</si>
  <si>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</si>
  <si>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</si>
  <si>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</si>
  <si>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</si>
  <si>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</si>
  <si>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</si>
  <si>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</si>
  <si>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</si>
  <si>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</si>
  <si>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</si>
  <si>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</si>
  <si>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</si>
  <si>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</si>
  <si>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</si>
  <si>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</si>
  <si>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</si>
  <si>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</si>
  <si>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</si>
  <si>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</si>
  <si>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</si>
  <si>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</si>
  <si>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</si>
  <si>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</si>
  <si>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</si>
  <si>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</si>
  <si>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</si>
  <si>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</si>
  <si>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</si>
  <si>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</si>
  <si>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</si>
  <si>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</si>
  <si>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</si>
  <si>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</si>
  <si>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</si>
  <si>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</si>
  <si>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</si>
  <si>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</si>
  <si>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</si>
  <si>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</si>
  <si>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</si>
  <si>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</si>
  <si>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</si>
  <si>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</si>
  <si>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</si>
  <si>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</si>
  <si>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</si>
  <si>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</si>
  <si>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</si>
  <si>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</si>
  <si>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</si>
  <si>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</si>
  <si>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</si>
  <si>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</si>
  <si>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</si>
  <si>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</si>
  <si>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</si>
  <si>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</si>
  <si>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</si>
  <si>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</si>
  <si>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</si>
  <si>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</si>
  <si>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</si>
  <si>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</si>
  <si>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</si>
  <si>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</si>
  <si>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</si>
  <si>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</si>
  <si>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</si>
  <si>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</si>
  <si>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</si>
  <si>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</si>
  <si>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</si>
  <si>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</si>
  <si>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</si>
  <si>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</si>
  <si>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</si>
  <si>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</si>
  <si>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</si>
  <si>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</si>
  <si>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</si>
  <si>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</si>
  <si>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</si>
  <si>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</si>
  <si>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</si>
  <si>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</si>
  <si>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</si>
  <si>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</si>
  <si>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</si>
  <si>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</si>
  <si>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</si>
  <si>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</si>
  <si>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</si>
  <si>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</si>
  <si>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</si>
  <si>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</si>
  <si>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</si>
  <si>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</si>
  <si>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</si>
  <si>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</si>
  <si>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</si>
  <si>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</si>
  <si>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</si>
  <si>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</si>
  <si>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</si>
  <si>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</si>
  <si>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</si>
  <si>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</si>
  <si>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</si>
  <si>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</si>
  <si>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</si>
  <si>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</si>
  <si>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</si>
  <si>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</si>
  <si>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</si>
  <si>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</si>
  <si>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</si>
  <si>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</si>
  <si>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</si>
  <si>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</si>
  <si>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</si>
  <si>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</si>
  <si>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</si>
  <si>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</si>
  <si>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</si>
  <si>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</si>
  <si>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</si>
  <si>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</si>
  <si>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</si>
  <si>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</si>
  <si>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</si>
  <si>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</si>
  <si>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</si>
  <si>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</si>
  <si>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</si>
  <si>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</si>
  <si>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</si>
  <si>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</si>
  <si>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</si>
  <si>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</si>
  <si>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</si>
  <si>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</si>
  <si>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</si>
  <si>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</si>
  <si>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</si>
  <si>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</si>
  <si>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</si>
  <si>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</si>
  <si>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</si>
  <si>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</si>
  <si>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</si>
  <si>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</si>
  <si>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</si>
  <si>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</si>
  <si>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</si>
  <si>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</si>
  <si>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</si>
  <si>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</si>
  <si>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</si>
  <si>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</si>
  <si>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</si>
  <si>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</si>
  <si>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</si>
  <si>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</si>
  <si>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</si>
  <si>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</si>
  <si>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</si>
  <si>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</si>
  <si>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</si>
  <si>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</si>
  <si>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</si>
  <si>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</si>
  <si>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</si>
  <si>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</si>
  <si>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</si>
  <si>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</si>
  <si>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</si>
  <si>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</si>
  <si>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</si>
  <si>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</si>
  <si>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</si>
  <si>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</si>
  <si>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</si>
  <si>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</si>
  <si>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</si>
  <si>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</si>
  <si>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</si>
  <si>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</si>
  <si>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</si>
  <si>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</si>
  <si>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</si>
  <si>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</si>
  <si>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</si>
  <si>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</si>
  <si>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</si>
  <si>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</si>
  <si>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</si>
  <si>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</si>
  <si>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</si>
  <si>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</si>
  <si>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</si>
  <si>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</si>
  <si>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</si>
  <si>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</si>
  <si>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</si>
  <si>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</si>
  <si>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</si>
  <si>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</si>
  <si>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</si>
  <si>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</si>
  <si>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</si>
  <si>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</si>
  <si>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</si>
  <si>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</si>
  <si>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</si>
  <si>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</si>
  <si>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</si>
  <si>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</si>
  <si>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</si>
  <si>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</si>
  <si>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</si>
  <si>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</si>
  <si>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</si>
  <si>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</si>
  <si>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</si>
  <si>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</si>
  <si>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</si>
  <si>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</si>
  <si>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</si>
  <si>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</si>
  <si>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</si>
  <si>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</si>
  <si>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</si>
  <si>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</si>
  <si>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</si>
  <si>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</si>
  <si>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</si>
  <si>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</si>
  <si>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</si>
  <si>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</si>
  <si>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</si>
  <si>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</si>
  <si>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</si>
  <si>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</si>
  <si>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</si>
  <si>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</si>
  <si>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</si>
  <si>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</si>
  <si>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</si>
  <si>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</si>
  <si>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</si>
  <si>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</si>
  <si>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</si>
  <si>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</si>
  <si>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</si>
  <si>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</si>
  <si>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</si>
  <si>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</si>
  <si>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</si>
  <si>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</si>
  <si>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</si>
  <si>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</si>
  <si>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</si>
  <si>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</si>
  <si>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</si>
  <si>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</si>
  <si>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</si>
  <si>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</si>
  <si>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</si>
  <si>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</si>
  <si>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</si>
  <si>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</si>
  <si>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</si>
  <si>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</si>
  <si>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</si>
  <si>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</si>
  <si>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</si>
  <si>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</si>
  <si>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</si>
  <si>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</si>
  <si>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</si>
  <si>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</si>
  <si>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</si>
  <si>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</si>
  <si>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</si>
  <si>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</si>
  <si>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</si>
  <si>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</si>
  <si>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</si>
  <si>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</si>
  <si>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</si>
  <si>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</si>
  <si>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</si>
  <si>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</si>
  <si>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</si>
  <si>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</si>
  <si>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</si>
  <si>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</si>
  <si>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</si>
  <si>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</si>
  <si>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</si>
  <si>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</si>
  <si>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</si>
  <si>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</si>
  <si>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</si>
  <si>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</si>
  <si>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</si>
  <si>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</si>
  <si>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</si>
  <si>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</si>
  <si>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</si>
  <si>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</si>
  <si>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</si>
  <si>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</si>
  <si>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</si>
  <si>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</si>
  <si>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</si>
  <si>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</si>
  <si>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</si>
  <si>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</si>
  <si>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</si>
  <si>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</si>
  <si>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</si>
  <si>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</si>
  <si>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</si>
  <si>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</si>
  <si>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</si>
  <si>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</si>
  <si>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</si>
  <si>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</si>
  <si>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</si>
  <si>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</si>
  <si>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</si>
  <si>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</si>
  <si>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</si>
  <si>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</si>
  <si>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</si>
  <si>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</si>
  <si>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</si>
  <si>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</si>
  <si>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</si>
  <si>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</si>
  <si>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</si>
  <si>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</si>
  <si>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</si>
  <si>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</si>
  <si>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</si>
  <si>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</si>
  <si>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</si>
  <si>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</si>
  <si>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</si>
  <si>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</si>
  <si>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</si>
  <si>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</si>
  <si>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</si>
  <si>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</si>
  <si>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</si>
  <si>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</si>
  <si>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</si>
  <si>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</si>
  <si>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</si>
  <si>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</si>
  <si>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</si>
  <si>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</si>
  <si>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</si>
  <si>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</si>
  <si>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</si>
  <si>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</si>
  <si>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</si>
  <si>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</si>
  <si>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</si>
  <si>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</si>
  <si>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</si>
  <si>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</si>
  <si>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</si>
  <si>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</si>
  <si>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</si>
  <si>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</si>
  <si>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</si>
  <si>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</si>
  <si>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</si>
  <si>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</si>
  <si>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</si>
  <si>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</si>
  <si>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</si>
  <si>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</si>
  <si>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</si>
  <si>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</si>
  <si>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</si>
  <si>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</si>
  <si>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</si>
  <si>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</si>
  <si>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</si>
  <si>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</si>
  <si>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</si>
  <si>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</si>
  <si>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</si>
  <si>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</si>
  <si>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</si>
  <si>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</si>
  <si>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</si>
  <si>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</si>
  <si>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</si>
  <si>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</si>
  <si>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</si>
  <si>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</si>
  <si>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</si>
  <si>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</si>
  <si>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</si>
  <si>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</si>
  <si>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</si>
  <si>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</si>
  <si>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</si>
  <si>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</si>
  <si>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</si>
  <si>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</si>
  <si>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</si>
  <si>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</si>
  <si>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</si>
  <si>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</si>
  <si>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</si>
  <si>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</si>
  <si>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</si>
  <si>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</si>
  <si>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</si>
  <si>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</si>
  <si>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</si>
  <si>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</si>
  <si>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</si>
  <si>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</si>
  <si>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</si>
  <si>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</si>
  <si>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</si>
  <si>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</si>
  <si>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</si>
  <si>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</si>
  <si>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</si>
  <si>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</si>
  <si>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</si>
  <si>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</si>
  <si>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</si>
  <si>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</si>
  <si>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</si>
  <si>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</si>
  <si>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</si>
  <si>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</si>
  <si>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</si>
  <si>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</si>
  <si>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</si>
  <si>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</si>
  <si>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</si>
  <si>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</si>
  <si>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</si>
  <si>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</si>
  <si>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</si>
  <si>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</si>
  <si>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</si>
  <si>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</si>
  <si>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</si>
  <si>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</si>
  <si>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</si>
  <si>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</si>
  <si>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</si>
  <si>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</si>
  <si>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</si>
  <si>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</si>
  <si>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</si>
  <si>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</si>
  <si>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</si>
  <si>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</si>
  <si>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</si>
  <si>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</si>
  <si>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</si>
  <si>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</si>
  <si>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</si>
  <si>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</si>
  <si>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</si>
  <si>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</si>
  <si>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</si>
  <si>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</si>
  <si>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</si>
  <si>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</si>
  <si>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</si>
  <si>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</si>
  <si>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</si>
  <si>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</si>
  <si>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</si>
  <si>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</si>
  <si>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</si>
  <si>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</si>
  <si>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</si>
  <si>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</si>
  <si>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</si>
  <si>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</si>
  <si>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</si>
  <si>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</si>
  <si>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</si>
  <si>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</si>
  <si>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</si>
  <si>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</si>
  <si>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</si>
  <si>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</si>
  <si>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</si>
  <si>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</si>
  <si>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</si>
  <si>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</si>
  <si>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</si>
  <si>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</si>
  <si>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</si>
  <si>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</si>
  <si>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</si>
  <si>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</si>
  <si>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</si>
  <si>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</si>
  <si>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</si>
  <si>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</si>
  <si>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</si>
  <si>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</si>
  <si>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</si>
  <si>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</si>
  <si>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</si>
  <si>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</si>
  <si>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</si>
  <si>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</si>
  <si>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</si>
  <si>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</si>
  <si>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</si>
  <si>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</si>
  <si>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</si>
  <si>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</si>
  <si>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</si>
  <si>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</si>
  <si>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</si>
  <si>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</si>
  <si>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</si>
  <si>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</si>
  <si>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</si>
  <si>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</si>
  <si>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</si>
  <si>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</si>
  <si>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</si>
  <si>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</si>
  <si>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</si>
  <si>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</si>
  <si>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</si>
  <si>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</si>
  <si>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</si>
  <si>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</si>
  <si>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</si>
  <si>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</si>
  <si>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</si>
  <si>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</si>
  <si>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</si>
  <si>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</si>
  <si>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</si>
  <si>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</si>
  <si>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</si>
  <si>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</si>
  <si>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</si>
  <si>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</si>
  <si>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</si>
  <si>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</si>
  <si>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</si>
  <si>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</si>
  <si>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</si>
  <si>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</si>
  <si>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</si>
  <si>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</si>
  <si>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</si>
  <si>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</si>
  <si>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</si>
  <si>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</si>
  <si>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</si>
  <si>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</si>
  <si>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</si>
  <si>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</si>
  <si>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</si>
  <si>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</si>
  <si>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</si>
  <si>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</si>
  <si>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</si>
  <si>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</si>
  <si>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</si>
  <si>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</si>
  <si>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</si>
  <si>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</si>
  <si>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</si>
  <si>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</si>
  <si>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</si>
  <si>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</si>
  <si>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</si>
  <si>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</si>
  <si>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</si>
  <si>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</si>
  <si>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</si>
  <si>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</si>
  <si>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</si>
  <si>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</si>
  <si>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</si>
  <si>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</si>
  <si>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</si>
  <si>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</si>
  <si>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</si>
  <si>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</si>
  <si>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</si>
  <si>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</si>
  <si>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</si>
  <si>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</si>
  <si>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</si>
  <si>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</si>
  <si>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</si>
  <si>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</si>
  <si>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</si>
  <si>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</si>
  <si>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</si>
  <si>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</si>
  <si>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</si>
  <si>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</si>
  <si>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</si>
  <si>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</si>
  <si>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</si>
  <si>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</si>
  <si>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</si>
  <si>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</si>
  <si>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</si>
  <si>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</si>
  <si>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</si>
  <si>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</si>
  <si>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</si>
  <si>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</si>
  <si>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</si>
  <si>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</si>
  <si>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</si>
  <si>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</si>
  <si>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</si>
  <si>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</si>
  <si>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</si>
  <si>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</si>
  <si>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</si>
  <si>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</si>
  <si>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</si>
  <si>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</si>
  <si>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</si>
  <si>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</si>
  <si>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</si>
  <si>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</si>
  <si>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</si>
  <si>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</si>
  <si>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</si>
  <si>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</si>
  <si>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</si>
  <si>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</si>
  <si>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</si>
  <si>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</si>
  <si>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</si>
  <si>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</si>
  <si>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</si>
  <si>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</si>
  <si>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</si>
  <si>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</si>
  <si>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</si>
  <si>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</si>
  <si>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</si>
  <si>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</si>
  <si>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</si>
  <si>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</si>
  <si>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</si>
  <si>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</si>
  <si>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</si>
  <si>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</si>
  <si>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</si>
  <si>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</si>
  <si>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</si>
  <si>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</si>
  <si>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</si>
  <si>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</si>
  <si>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</si>
  <si>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</si>
  <si>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</si>
  <si>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</si>
  <si>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</si>
  <si>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</si>
  <si>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</si>
  <si>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</si>
  <si>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</si>
  <si>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</si>
  <si>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</si>
  <si>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</si>
  <si>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</si>
  <si>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</si>
  <si>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</si>
  <si>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</si>
  <si>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</si>
  <si>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</si>
  <si>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</si>
  <si>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</si>
  <si>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</si>
  <si>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</si>
  <si>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</si>
  <si>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</si>
  <si>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</si>
  <si>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</si>
  <si>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</si>
  <si>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</si>
  <si>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</si>
  <si>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</si>
  <si>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</si>
  <si>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</si>
  <si>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</si>
  <si>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</si>
  <si>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</si>
  <si>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</si>
  <si>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</si>
  <si>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</si>
  <si>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</si>
  <si>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</si>
  <si>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</si>
  <si>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</si>
  <si>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</si>
  <si>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</si>
  <si>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</si>
  <si>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</si>
  <si>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</si>
  <si>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</si>
  <si>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</si>
  <si>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</si>
  <si>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</si>
  <si>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</si>
  <si>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</si>
  <si>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</si>
  <si>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</si>
  <si>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</si>
  <si>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</si>
  <si>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</si>
  <si>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</si>
  <si>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</si>
  <si>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</si>
  <si>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</si>
  <si>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</si>
  <si>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</si>
  <si>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</si>
  <si>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</si>
  <si>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</si>
  <si>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</si>
  <si>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</si>
  <si>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</si>
  <si>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</si>
  <si>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</si>
  <si>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</si>
  <si>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</si>
  <si>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</si>
  <si>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</si>
  <si>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</si>
  <si>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</si>
  <si>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</si>
  <si>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</si>
  <si>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</si>
  <si>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</si>
  <si>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</si>
  <si>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</si>
  <si>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</si>
  <si>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</si>
  <si>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</si>
  <si>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</si>
  <si>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</si>
  <si>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</si>
  <si>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</si>
  <si>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</si>
  <si>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</si>
  <si>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</si>
  <si>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</si>
  <si>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</si>
  <si>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</si>
  <si>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</si>
  <si>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</si>
  <si>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</si>
  <si>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</si>
  <si>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</si>
  <si>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</si>
  <si>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</si>
  <si>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</si>
  <si>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</si>
  <si>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</si>
  <si>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</si>
  <si>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</si>
  <si>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</si>
  <si>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</si>
  <si>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</si>
  <si>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</si>
  <si>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</si>
  <si>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</si>
  <si>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</si>
  <si>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</si>
  <si>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</si>
  <si>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</si>
  <si>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</si>
  <si>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</si>
  <si>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</si>
  <si>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</si>
  <si>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</si>
  <si>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</si>
  <si>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</si>
  <si>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</si>
  <si>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</si>
  <si>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</si>
  <si>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</si>
  <si>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</si>
  <si>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</si>
  <si>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</si>
  <si>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</si>
  <si>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</si>
  <si>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</si>
  <si>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</si>
  <si>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</si>
  <si>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</si>
  <si>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</si>
  <si>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</si>
  <si>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</si>
  <si>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</si>
  <si>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</si>
  <si>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</si>
  <si>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</si>
  <si>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</si>
  <si>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</si>
  <si>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</si>
  <si>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</si>
  <si>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</si>
  <si>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</si>
  <si>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</si>
  <si>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</si>
  <si>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</si>
  <si>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</si>
  <si>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</si>
  <si>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</si>
  <si>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</si>
  <si>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</si>
  <si>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</si>
  <si>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</si>
  <si>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</si>
  <si>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</si>
  <si>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</si>
  <si>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</si>
  <si>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</si>
  <si>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</si>
  <si>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</si>
  <si>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</si>
  <si>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</si>
  <si>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</si>
  <si>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</si>
  <si>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</si>
  <si>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</si>
  <si>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</si>
  <si>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</si>
  <si>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</si>
  <si>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</si>
  <si>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</si>
  <si>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</si>
  <si>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</si>
  <si>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</si>
  <si>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</si>
  <si>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</si>
  <si>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</si>
  <si>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</si>
  <si>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</si>
  <si>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</si>
  <si>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</si>
  <si>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</si>
  <si>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</si>
  <si>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</si>
  <si>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</si>
  <si>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</si>
  <si>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</si>
  <si>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</si>
  <si>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</si>
  <si>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</si>
  <si>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</si>
  <si>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</si>
  <si>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</si>
  <si>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</si>
  <si>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</si>
  <si>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</si>
  <si>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</si>
  <si>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</si>
  <si>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</si>
  <si>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</si>
  <si>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</si>
  <si>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</si>
  <si>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</si>
  <si>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</si>
  <si>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</si>
  <si>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</si>
  <si>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</si>
  <si>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</si>
  <si>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</si>
  <si>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</si>
  <si>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</si>
  <si>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</si>
  <si>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</si>
  <si>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</si>
  <si>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</si>
  <si>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</si>
  <si>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</si>
  <si>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</si>
  <si>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</si>
  <si>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</si>
  <si>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</si>
  <si>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</si>
  <si>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</si>
  <si>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</si>
  <si>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</si>
  <si>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</si>
  <si>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</si>
  <si>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</si>
  <si>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</si>
  <si>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</si>
  <si>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</si>
  <si>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</si>
  <si>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</si>
  <si>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</si>
  <si>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</si>
  <si>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</si>
  <si>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</si>
  <si>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</si>
  <si>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</si>
  <si>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</si>
  <si>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</si>
  <si>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</si>
  <si>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</si>
  <si>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</si>
  <si>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</si>
  <si>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</si>
  <si>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</si>
  <si>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</si>
  <si>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</si>
  <si>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</si>
  <si>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</si>
  <si>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</si>
  <si>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</si>
  <si>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</si>
  <si>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</si>
  <si>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</si>
  <si>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</si>
  <si>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</si>
  <si>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</si>
  <si>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</si>
  <si>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</si>
  <si>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</si>
  <si>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</si>
  <si>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</si>
  <si>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</si>
  <si>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</si>
  <si>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</si>
  <si>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</si>
  <si>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</si>
  <si>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</si>
  <si>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</si>
  <si>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</si>
  <si>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</si>
  <si>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</si>
  <si>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</si>
  <si>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</si>
  <si>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</si>
  <si>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</si>
  <si>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</si>
  <si>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</si>
  <si>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</si>
  <si>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</si>
  <si>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</si>
  <si>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</si>
  <si>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</si>
  <si>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</si>
  <si>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</si>
  <si>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</si>
  <si>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</si>
  <si>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</si>
  <si>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</si>
  <si>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</si>
  <si>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</si>
  <si>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</si>
  <si>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</si>
  <si>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</si>
  <si>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</si>
  <si>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</si>
  <si>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</si>
  <si>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</si>
  <si>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</si>
  <si>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</si>
  <si>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</si>
  <si>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</si>
  <si>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</si>
  <si>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</si>
  <si>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</si>
  <si>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</si>
  <si>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</si>
  <si>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</si>
  <si>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</si>
  <si>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</si>
  <si>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</si>
  <si>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</si>
  <si>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</si>
  <si>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</si>
  <si>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</si>
  <si>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</si>
  <si>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</si>
  <si>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</si>
  <si>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</si>
  <si>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</si>
  <si>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</si>
  <si>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</si>
  <si>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</si>
  <si>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</si>
  <si>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</si>
  <si>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</si>
  <si>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</si>
  <si>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</si>
  <si>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</si>
  <si>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</si>
  <si>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</si>
  <si>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</si>
  <si>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</si>
  <si>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</si>
  <si>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</si>
  <si>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</si>
  <si>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</si>
  <si>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</si>
  <si>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</si>
  <si>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</si>
  <si>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</si>
  <si>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</si>
  <si>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</si>
  <si>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</si>
  <si>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</si>
  <si>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</si>
  <si>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</si>
  <si>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</si>
  <si>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</si>
  <si>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</si>
  <si>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</si>
  <si>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</si>
  <si>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</si>
  <si>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</si>
  <si>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</si>
  <si>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</si>
  <si>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</si>
  <si>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</si>
  <si>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</si>
  <si>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</si>
  <si>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</si>
  <si>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</si>
  <si>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</si>
  <si>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</si>
  <si>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</si>
  <si>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</si>
  <si>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</si>
  <si>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</si>
  <si>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</si>
  <si>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</si>
  <si>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</si>
  <si>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</si>
  <si>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</si>
  <si>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</si>
  <si>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</si>
  <si>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</si>
  <si>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</si>
  <si>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</si>
  <si>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</si>
  <si>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</si>
  <si>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</si>
  <si>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</si>
  <si>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</si>
  <si>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</si>
  <si>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</si>
  <si>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</si>
  <si>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</si>
  <si>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</si>
  <si>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</si>
  <si>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</si>
  <si>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</si>
  <si>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</si>
  <si>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</si>
  <si>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</si>
  <si>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</si>
  <si>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</si>
  <si>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</si>
  <si>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</si>
  <si>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</si>
  <si>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</si>
  <si>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</si>
  <si>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</si>
  <si>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</si>
  <si>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</si>
  <si>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</si>
  <si>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</si>
  <si>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</si>
  <si>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</si>
  <si>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</si>
  <si>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</si>
  <si>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</si>
  <si>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</si>
  <si>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</si>
  <si>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</si>
  <si>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</si>
  <si>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</si>
  <si>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</si>
  <si>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</si>
  <si>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</si>
  <si>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</si>
  <si>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</si>
  <si>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</si>
  <si>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</si>
  <si>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</si>
  <si>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</si>
  <si>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</si>
  <si>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</si>
  <si>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</si>
  <si>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</si>
  <si>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</si>
  <si>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</si>
  <si>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</si>
  <si>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</si>
  <si>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</si>
  <si>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</si>
  <si>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</si>
  <si>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</si>
  <si>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</si>
  <si>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</si>
  <si>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</si>
  <si>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</si>
  <si>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</si>
  <si>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</si>
  <si>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</si>
  <si>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</si>
  <si>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</si>
  <si>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</si>
  <si>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</si>
  <si>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</si>
  <si>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</si>
  <si>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</si>
  <si>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</si>
  <si>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</si>
  <si>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</si>
  <si>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</si>
  <si>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</si>
  <si>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</si>
  <si>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</si>
  <si>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</si>
  <si>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</si>
  <si>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</si>
  <si>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</si>
  <si>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</si>
  <si>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</si>
  <si>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</si>
  <si>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</si>
  <si>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</si>
  <si>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</si>
  <si>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</si>
  <si>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</si>
  <si>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</si>
  <si>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</si>
  <si>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</si>
  <si>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</si>
  <si>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</si>
  <si>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</si>
  <si>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</si>
  <si>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</si>
  <si>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</si>
  <si>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</si>
  <si>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</si>
  <si>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</si>
  <si>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</si>
  <si>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</si>
  <si>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</si>
  <si>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</si>
  <si>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</si>
  <si>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</si>
  <si>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</si>
  <si>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</si>
  <si>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</si>
  <si>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</si>
  <si>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</si>
  <si>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</si>
  <si>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</si>
  <si>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</si>
  <si>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</si>
  <si>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</si>
  <si>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</si>
  <si>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</si>
  <si>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</si>
  <si>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</si>
  <si>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</si>
  <si>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</si>
  <si>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</si>
  <si>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</si>
  <si>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</si>
  <si>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</si>
  <si>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</si>
  <si>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</si>
  <si>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</si>
  <si>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</si>
  <si>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</si>
  <si>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</si>
  <si>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</si>
  <si>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</si>
  <si>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</si>
  <si>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</si>
  <si>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</si>
  <si>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</si>
  <si>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</si>
  <si>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</si>
  <si>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</si>
  <si>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</si>
  <si>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</si>
  <si>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</si>
  <si>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</si>
  <si>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</si>
  <si>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</si>
  <si>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</si>
  <si>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</si>
  <si>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</si>
  <si>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</si>
  <si>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</si>
  <si>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</si>
  <si>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</si>
  <si>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</si>
  <si>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</si>
  <si>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</si>
  <si>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</si>
  <si>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</si>
  <si>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</si>
  <si>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</si>
  <si>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</si>
  <si>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</si>
  <si>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</si>
  <si>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</si>
  <si>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</si>
  <si>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</si>
  <si>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</si>
  <si>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</si>
  <si>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</si>
  <si>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</si>
  <si>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</si>
  <si>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</si>
  <si>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</si>
  <si>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</si>
  <si>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</si>
  <si>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</si>
  <si>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</si>
  <si>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</si>
  <si>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</si>
  <si>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</si>
  <si>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</si>
  <si>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</si>
  <si>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</si>
  <si>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</si>
  <si>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</si>
  <si>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</si>
  <si>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</si>
  <si>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</si>
  <si>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</si>
  <si>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</si>
  <si>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</si>
  <si>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</si>
  <si>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</si>
  <si>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</si>
  <si>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</si>
  <si>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</si>
  <si>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</si>
  <si>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</si>
  <si>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</si>
  <si>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</si>
  <si>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</si>
  <si>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</si>
  <si>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</si>
  <si>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</si>
  <si>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</si>
  <si>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</si>
  <si>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</si>
  <si>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</si>
  <si>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</si>
  <si>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</si>
  <si>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</si>
  <si>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</si>
  <si>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</si>
  <si>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</si>
  <si>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</si>
  <si>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</si>
  <si>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</si>
  <si>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</si>
  <si>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</si>
  <si>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</si>
  <si>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</si>
  <si>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</si>
  <si>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</si>
  <si>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</si>
  <si>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</si>
  <si>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</si>
  <si>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</si>
  <si>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</si>
  <si>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</si>
  <si>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</si>
  <si>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</si>
  <si>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</si>
  <si>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</si>
  <si>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</si>
  <si>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</si>
  <si>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</si>
  <si>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</si>
  <si>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</si>
  <si>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</si>
  <si>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</si>
  <si>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</si>
  <si>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</si>
  <si>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</si>
  <si>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</si>
  <si>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</si>
  <si>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</si>
  <si>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</si>
  <si>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</si>
  <si>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</si>
  <si>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</si>
  <si>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</si>
  <si>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</si>
  <si>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</si>
  <si>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</si>
  <si>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</si>
  <si>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</si>
  <si>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</si>
  <si>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</si>
  <si>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</si>
  <si>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</si>
  <si>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</si>
  <si>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</si>
  <si>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</si>
  <si>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</si>
  <si>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</si>
  <si>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</si>
  <si>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</si>
  <si>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</si>
  <si>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</si>
  <si>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</si>
  <si>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</si>
  <si>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</si>
  <si>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</si>
  <si>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</si>
  <si>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</si>
  <si>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</si>
  <si>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</si>
  <si>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</si>
  <si>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</si>
  <si>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</si>
  <si>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</si>
  <si>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</si>
  <si>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</si>
  <si>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</si>
  <si>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</si>
  <si>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</si>
  <si>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</si>
  <si>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</si>
  <si>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</si>
  <si>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</si>
  <si>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</si>
  <si>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</si>
  <si>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</si>
  <si>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</si>
  <si>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</si>
  <si>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</si>
  <si>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</si>
  <si>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</si>
  <si>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</si>
  <si>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</si>
  <si>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</si>
  <si>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</si>
  <si>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</si>
  <si>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</si>
  <si>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</si>
  <si>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</si>
  <si>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</si>
  <si>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</si>
  <si>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</si>
  <si>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</si>
  <si>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</si>
  <si>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</si>
  <si>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</si>
  <si>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</si>
  <si>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</si>
  <si>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</si>
  <si>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</si>
  <si>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</si>
  <si>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</si>
  <si>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</si>
  <si>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</si>
  <si>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</si>
  <si>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</si>
  <si>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</si>
  <si>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</si>
  <si>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</si>
  <si>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</si>
  <si>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</si>
  <si>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</si>
  <si>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</si>
  <si>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</si>
  <si>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</si>
  <si>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</si>
  <si>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</si>
  <si>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</si>
  <si>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</si>
  <si>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</si>
  <si>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</si>
  <si>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</si>
  <si>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</si>
  <si>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</si>
  <si>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</si>
  <si>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</si>
  <si>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</si>
  <si>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</si>
  <si>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</si>
  <si>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</si>
  <si>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</si>
  <si>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</si>
  <si>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</si>
  <si>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</si>
  <si>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</si>
  <si>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</si>
  <si>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</si>
  <si>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</si>
  <si>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</si>
  <si>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</si>
  <si>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</si>
  <si>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</si>
  <si>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</si>
  <si>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</si>
  <si>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</si>
  <si>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</si>
  <si>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</si>
  <si>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</si>
  <si>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</si>
  <si>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</si>
  <si>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</si>
  <si>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</si>
  <si>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</si>
  <si>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</si>
  <si>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</si>
  <si>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</si>
  <si>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</si>
  <si>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</si>
  <si>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</si>
  <si>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</si>
  <si>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</si>
  <si>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</si>
  <si>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</si>
  <si>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</si>
  <si>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</si>
  <si>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</si>
  <si>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</si>
  <si>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</si>
  <si>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</si>
  <si>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</si>
  <si>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</si>
  <si>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</si>
  <si>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</si>
  <si>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</si>
  <si>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</si>
  <si>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</si>
  <si>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</si>
  <si>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</si>
  <si>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</si>
  <si>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</si>
  <si>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</si>
  <si>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</si>
  <si>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</si>
  <si>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</si>
  <si>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</si>
  <si>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</si>
  <si>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</si>
  <si>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</si>
  <si>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</si>
  <si>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</si>
  <si>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</si>
  <si>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</si>
  <si>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</si>
  <si>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</si>
  <si>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</si>
  <si>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</si>
  <si>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</si>
  <si>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</si>
  <si>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</si>
  <si>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</si>
  <si>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</si>
  <si>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</si>
  <si>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</si>
  <si>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</si>
  <si>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</si>
  <si>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</si>
  <si>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</si>
  <si>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</si>
  <si>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</si>
  <si>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</si>
  <si>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</si>
  <si>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</si>
  <si>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</si>
  <si>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</si>
  <si>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</si>
  <si>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</si>
  <si>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</si>
  <si>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</si>
  <si>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</si>
  <si>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</si>
  <si>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</si>
  <si>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</si>
  <si>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</si>
  <si>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</si>
  <si>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</si>
  <si>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</si>
  <si>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</si>
  <si>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</si>
  <si>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</si>
  <si>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</si>
  <si>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</si>
  <si>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</si>
  <si>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</si>
  <si>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</si>
  <si>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</si>
  <si>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</si>
  <si>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</si>
  <si>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</si>
  <si>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</si>
  <si>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</si>
  <si>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</si>
  <si>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</si>
  <si>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</si>
  <si>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</si>
  <si>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</si>
  <si>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</si>
  <si>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</si>
  <si>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</si>
  <si>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</si>
  <si>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</si>
  <si>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</si>
  <si>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</si>
  <si>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</si>
  <si>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</si>
  <si>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</si>
  <si>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</si>
  <si>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</si>
  <si>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</si>
  <si>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</si>
  <si>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</si>
  <si>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</si>
  <si>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</si>
  <si>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</si>
  <si>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</si>
  <si>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</si>
  <si>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</si>
  <si>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</si>
  <si>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</si>
  <si>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</si>
  <si>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</si>
  <si>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</si>
  <si>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</si>
  <si>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</si>
  <si>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</si>
  <si>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</si>
  <si>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</si>
  <si>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</si>
  <si>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</si>
  <si>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</si>
  <si>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</si>
  <si>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</si>
  <si>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</si>
  <si>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</si>
  <si>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</si>
  <si>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</si>
  <si>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</si>
  <si>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</si>
  <si>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</si>
  <si>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</si>
  <si>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</si>
  <si>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</si>
  <si>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</si>
  <si>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</si>
  <si>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</si>
  <si>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</si>
  <si>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</si>
  <si>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</si>
  <si>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</si>
  <si>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</si>
  <si>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</si>
  <si>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</si>
  <si>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</si>
  <si>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</si>
  <si>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</si>
  <si>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</si>
  <si>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</si>
  <si>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</si>
  <si>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</si>
  <si>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</si>
  <si>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</si>
  <si>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</si>
  <si>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</si>
  <si>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</si>
  <si>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</si>
  <si>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</si>
  <si>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</si>
  <si>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</si>
  <si>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</si>
  <si>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住宅</t>
  </si>
  <si>
    <t>自持住宅</t>
  </si>
  <si>
    <t>自持住宅</t>
    <phoneticPr fontId="3" type="noConversion"/>
  </si>
  <si>
    <t>自持住宅</t>
    <phoneticPr fontId="7" type="noConversion"/>
  </si>
  <si>
    <t>来源：出让合同</t>
    <phoneticPr fontId="7" type="noConversion"/>
  </si>
  <si>
    <t>成新度</t>
  </si>
  <si>
    <t>收益法</t>
  </si>
  <si>
    <t>利息：取LPR加浮动点数</t>
  </si>
  <si>
    <t>城镇住宅用地</t>
  </si>
  <si>
    <t>自定义容积率</t>
  </si>
  <si>
    <t>与级别开发程度一致</t>
  </si>
  <si>
    <t>有</t>
  </si>
  <si>
    <t>500米范围内</t>
  </si>
  <si>
    <t>无</t>
  </si>
  <si>
    <t>全部缴纳</t>
  </si>
  <si>
    <t>已包含在土地取得成本中</t>
  </si>
  <si>
    <t>未包含在土地购买价格中</t>
  </si>
  <si>
    <t>钢混</t>
  </si>
  <si>
    <t>非生产用房</t>
  </si>
  <si>
    <t>成本法</t>
  </si>
  <si>
    <t>较好</t>
  </si>
  <si>
    <t>好</t>
  </si>
  <si>
    <t>http://www.beijing.gov.cn/zhengce/zhengcefagui/201905/t20190522_60112.html</t>
    <phoneticPr fontId="13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</si>
  <si>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</si>
  <si>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</si>
  <si>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</si>
  <si>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</si>
  <si>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</si>
  <si>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</si>
  <si>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</si>
  <si>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</si>
  <si>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</si>
  <si>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</si>
  <si>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</si>
  <si>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</si>
  <si>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</si>
  <si>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</si>
  <si>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</si>
  <si>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</si>
  <si>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</si>
  <si>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</si>
  <si>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</si>
  <si>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</si>
  <si>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</si>
  <si>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</si>
  <si>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</si>
  <si>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</si>
  <si>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</si>
  <si>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</si>
  <si>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</si>
  <si>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</si>
  <si>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</si>
  <si>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</si>
  <si>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</si>
  <si>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</si>
  <si>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</si>
  <si>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</si>
  <si>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</si>
  <si>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</si>
  <si>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</si>
  <si>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</si>
  <si>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</si>
  <si>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</si>
  <si>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</si>
  <si>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</si>
  <si>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</si>
  <si>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</si>
  <si>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</si>
  <si>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</si>
  <si>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</si>
  <si>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</si>
  <si>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</si>
  <si>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</si>
  <si>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</si>
  <si>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</si>
  <si>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北京市朝阳区小红门乡剩余土地一级开发项目11号地(XHM-15)R2二类居住用地</t>
  </si>
  <si>
    <t>北京市</t>
  </si>
  <si>
    <t>京土储挂(朝)[2022]073号</t>
  </si>
  <si>
    <t xml:space="preserve"> 北京</t>
  </si>
  <si>
    <t xml:space="preserve"> 朝阳区</t>
  </si>
  <si>
    <t xml:space="preserve"> 东南三至四环</t>
  </si>
  <si>
    <t xml:space="preserve"> 朝阳区小红门乡</t>
  </si>
  <si>
    <t xml:space="preserve"> 住宅用地</t>
  </si>
  <si>
    <t xml:space="preserve"> 挂牌</t>
  </si>
  <si>
    <t xml:space="preserve"> R2二类居住用地</t>
  </si>
  <si>
    <t xml:space="preserve">2022年第5批次 </t>
  </si>
  <si>
    <t xml:space="preserve"> -- </t>
  </si>
  <si>
    <t xml:space="preserve"> 限地价,摇号/摇珠/抽签,限房价</t>
  </si>
  <si>
    <t xml:space="preserve"> 限地价,限房价,摇号/摇珠/抽签</t>
  </si>
  <si>
    <t xml:space="preserve"> --</t>
  </si>
  <si>
    <t xml:space="preserve"> 京土储挂(朝)[2022]073号</t>
  </si>
  <si>
    <t xml:space="preserve"> 已成交</t>
  </si>
  <si>
    <t xml:space="preserve"> 山东中建房地产开发有限公司  </t>
  </si>
  <si>
    <t xml:space="preserve"> 中建八局</t>
  </si>
  <si>
    <t xml:space="preserve"> 中央国有企业</t>
  </si>
  <si>
    <t>2023-02-06 17:00</t>
  </si>
  <si>
    <t xml:space="preserve"> 住宅70年</t>
  </si>
  <si>
    <t xml:space="preserve"> 触达</t>
  </si>
  <si>
    <t>北京市昌平区回龙观国际信息产业基地二期(一)地块土地一级开发项目CP01-0801-0018、0019、0020、0015、0023地块R2二类居住用地、B1商业用地、A33基础教育用地</t>
  </si>
  <si>
    <t>京土储挂(昌)[2022]076号</t>
  </si>
  <si>
    <t xml:space="preserve"> 昌平区</t>
  </si>
  <si>
    <t xml:space="preserve"> 回龙观</t>
  </si>
  <si>
    <t xml:space="preserve"> 昌平区史各庄街道</t>
  </si>
  <si>
    <t xml:space="preserve"> 综合用地(含住宅)</t>
  </si>
  <si>
    <t xml:space="preserve"> cp01-0801-0018容积率2.5,0019、0020容积率2.6,0015容积率1.5,0023容积率0.8</t>
  </si>
  <si>
    <t xml:space="preserve"> R2二类居住用地、B1办公用地</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</si>
  <si>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</si>
  <si>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</si>
  <si>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</si>
  <si>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</si>
  <si>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</si>
  <si>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</si>
  <si>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地方国有企业</t>
  </si>
  <si>
    <t xml:space="preserve"> 住宅70年,办公40年</t>
  </si>
  <si>
    <t>北京市房山区良乡大学城主园区FS00-0120-0023地块R2二类居住用地</t>
  </si>
  <si>
    <t>京土储挂(房)[2022]077号</t>
  </si>
  <si>
    <t xml:space="preserve"> 房山区</t>
  </si>
  <si>
    <t xml:space="preserve"> 长阳</t>
  </si>
  <si>
    <t xml:space="preserve"> 良乡高教园区</t>
  </si>
  <si>
    <t xml:space="preserve"> &lt;60米</t>
  </si>
  <si>
    <t xml:space="preserve"> 限地价,限房价</t>
  </si>
  <si>
    <t xml:space="preserve"> 京土储挂(房)[2022]077号</t>
  </si>
  <si>
    <t xml:space="preserve"> 中建智地置业有限公司  </t>
  </si>
  <si>
    <t xml:space="preserve"> 中建一局</t>
  </si>
  <si>
    <t xml:space="preserve"> 未触达</t>
  </si>
  <si>
    <t>北京市通州区梨园镇东小马土地一级开发项目FZX-0306-6015、6016地块R2二类居住用地、F3其他类多功能用地 国有建设用地使用权出让</t>
  </si>
  <si>
    <t>京土储挂(通)〔2022〕075号</t>
  </si>
  <si>
    <t xml:space="preserve"> 通州区</t>
  </si>
  <si>
    <t xml:space="preserve"> 梨园</t>
  </si>
  <si>
    <t xml:space="preserve"> 城市副中心0306街区</t>
  </si>
  <si>
    <t xml:space="preserve"> fzx-0306-6015容积率2.5、6016容积率2.1</t>
  </si>
  <si>
    <t xml:space="preserve"> R2 二类居住用地 F3 其他类多功能用地</t>
  </si>
  <si>
    <t xml:space="preserve"> 36米</t>
  </si>
  <si>
    <t xml:space="preserve"> 京土储挂(通)〔2022〕075号</t>
  </si>
  <si>
    <t xml:space="preserve"> 北京新城基业投资发展有限公司  </t>
  </si>
  <si>
    <t xml:space="preserve"> 北京市通州区国有资本运营有限公司</t>
  </si>
  <si>
    <t>北京经济技术开发区亦庄新城0303街区F1C-1、F1S-1、F1R-1、F1A-1地块B4综合性商业金融服务业用地、S4社会停车场用地、R2二类居住用地、A334托幼用地</t>
  </si>
  <si>
    <t>京土储挂(开)[2022]078号</t>
  </si>
  <si>
    <t xml:space="preserve"> 大兴区</t>
  </si>
  <si>
    <t xml:space="preserve"> 台湖</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</si>
  <si>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</si>
  <si>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</si>
  <si>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</si>
  <si>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</si>
  <si>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</si>
  <si>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</si>
  <si>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</si>
  <si>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</si>
  <si>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</si>
  <si>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民营企业</t>
  </si>
  <si>
    <t xml:space="preserve"> 居住70年,教育50年,办公50年</t>
  </si>
  <si>
    <t>北京市石景山区苹果园交通枢纽商务区土地一级开发项目1604-631-2、1604-634地块R2二类居住用地、A334托幼用地</t>
  </si>
  <si>
    <t>京土储挂(石)[2022]074号</t>
  </si>
  <si>
    <t xml:space="preserve"> 石景山区</t>
  </si>
  <si>
    <t xml:space="preserve"> 苹果园、八角、金顶街</t>
  </si>
  <si>
    <t xml:space="preserve"> 石景山苹果园街道</t>
  </si>
  <si>
    <t xml:space="preserve"> r2:2.96,a33:0.8</t>
  </si>
  <si>
    <t xml:space="preserve"> R2 二类居住用地、A334 托幼用地</t>
  </si>
  <si>
    <t xml:space="preserve"> R2&lt;60米,A33&lt;18米</t>
  </si>
  <si>
    <t xml:space="preserve"> 限地价,限房价,现房销售</t>
  </si>
  <si>
    <t xml:space="preserve"> 京土储挂(石)[2022]074号</t>
  </si>
  <si>
    <t xml:space="preserve"> 居住70年,教育50年</t>
  </si>
  <si>
    <t>北京市石景山区老古城综合改造土地一级开发项目1608-626地块R2二类居住用地</t>
  </si>
  <si>
    <t>京土储挂(石)〔2022〕067号</t>
  </si>
  <si>
    <t xml:space="preserve"> 石景山区老古城</t>
  </si>
  <si>
    <t xml:space="preserve">2022年第4批次 </t>
  </si>
  <si>
    <t xml:space="preserve"> 限地价,现房销售,摇号/摇珠/抽签</t>
  </si>
  <si>
    <t xml:space="preserve"> 限地价</t>
  </si>
  <si>
    <t xml:space="preserve"> 京土储挂(石)〔2022〕067号</t>
  </si>
  <si>
    <t xml:space="preserve"> 北京中海地产有限公司  </t>
  </si>
  <si>
    <t xml:space="preserve"> 中海地产</t>
  </si>
  <si>
    <t>2022-11-28 15:00</t>
  </si>
  <si>
    <t xml:space="preserve"> 居住70年商业40年办公50年</t>
  </si>
  <si>
    <t>北京市门头沟区永定镇南区棚户区改造和环境整治项目MC00-0015-6050地块R2二类居住用地</t>
  </si>
  <si>
    <t>京土储挂(门)〔2022〕068号</t>
  </si>
  <si>
    <t xml:space="preserve"> 门头沟区</t>
  </si>
  <si>
    <t xml:space="preserve"> 永定</t>
  </si>
  <si>
    <t xml:space="preserve"> 门头沟区永定镇</t>
  </si>
  <si>
    <t xml:space="preserve"> 京土储挂(门)〔2022〕068号</t>
  </si>
  <si>
    <t xml:space="preserve"> 中建方程投资发展集团有限公司 、中建信和地产有限公司  </t>
  </si>
  <si>
    <t xml:space="preserve"> 中建方程,中建五局</t>
  </si>
  <si>
    <t xml:space="preserve"> 民营企业,中央国有企业</t>
  </si>
  <si>
    <t>北京市通州区永顺镇邓家窑及永顺村南部地块土地一级开发项目FZX-0501-6007地块R2二类居住用地</t>
  </si>
  <si>
    <t>京土储挂(通)〔2022〕069号</t>
  </si>
  <si>
    <t xml:space="preserve"> 东坝</t>
  </si>
  <si>
    <t xml:space="preserve"> 城市副中心0501街区</t>
  </si>
  <si>
    <t xml:space="preserve"> 限地价,现房销售,摇号/摇珠/抽签,90/70</t>
  </si>
  <si>
    <t xml:space="preserve"> 限地价,90/70</t>
  </si>
  <si>
    <t xml:space="preserve"> 京土储挂(通)〔2022〕069号</t>
  </si>
  <si>
    <t xml:space="preserve"> 北京城建兴华地产有限公司  </t>
  </si>
  <si>
    <t xml:space="preserve"> 城建发展</t>
  </si>
  <si>
    <t xml:space="preserve"> 居住70年商业40年北办公50年</t>
  </si>
  <si>
    <t>北京市朝阳区平房乡棚户区改造和环境整治项目(一期)PF-45地块R2二类居住用地</t>
  </si>
  <si>
    <t>京土储挂(朝)〔2022〕065号</t>
  </si>
  <si>
    <t xml:space="preserve"> 朝阳区平房乡</t>
  </si>
  <si>
    <t xml:space="preserve"> 京土储挂(朝)〔2022〕065号</t>
  </si>
  <si>
    <t xml:space="preserve"> 北京三元嘉业房地产开发有限公司  </t>
  </si>
  <si>
    <t xml:space="preserve"> 北京国泰群同投资控股集团,北京国有资本运营管理</t>
  </si>
  <si>
    <t>北京市朝阳区平房乡棚户区改造和环境整治项目(一期)PF-44地块R2二类居住用地</t>
  </si>
  <si>
    <t>京土储挂(朝)〔2022〕064号</t>
  </si>
  <si>
    <t xml:space="preserve"> 京土储挂(朝)〔2022〕064号</t>
  </si>
  <si>
    <t xml:space="preserve"> 保利(北京)房地产开发有限公司 、北京建工地产有限责任公司  </t>
  </si>
  <si>
    <t xml:space="preserve"> 保利发展,北京建工</t>
  </si>
  <si>
    <t xml:space="preserve"> 中央国有企业,地方国有企业</t>
  </si>
  <si>
    <t>北京市朝阳区崔各庄乡奶西村棚户区改造土地开发项目29-321地块R2二类居住用地</t>
  </si>
  <si>
    <t>京土储挂(朝)〔2022〕066号</t>
  </si>
  <si>
    <t xml:space="preserve"> 来广营、清河营</t>
  </si>
  <si>
    <t xml:space="preserve"> 朝阳区崔各庄乡</t>
  </si>
  <si>
    <t xml:space="preserve"> 京土储挂(朝)〔2022〕066号</t>
  </si>
  <si>
    <t xml:space="preserve"> 北京金隅地产开发集团有限公司  </t>
  </si>
  <si>
    <t xml:space="preserve"> 金隅集团</t>
  </si>
  <si>
    <t>北京市顺义区顺义新城第5街区SY00-0005-6021、6024、6033、6035地块二类居住用地、6034地块托幼用地</t>
  </si>
  <si>
    <t>京土储挂(顺)[2022]061号</t>
  </si>
  <si>
    <t xml:space="preserve"> 顺义区</t>
  </si>
  <si>
    <t xml:space="preserve"> 胜利街道、光明街道、石园街道、仁和镇</t>
  </si>
  <si>
    <t xml:space="preserve"> 顺义区顺义新城第5街区</t>
  </si>
  <si>
    <t xml:space="preserve"> sy00-0005-6021、6024、6035容积率1.6,6033容积率1.8</t>
  </si>
  <si>
    <t xml:space="preserve"> 二类居住用地、托幼用地</t>
  </si>
  <si>
    <t xml:space="preserve">2022年第3批次 </t>
  </si>
  <si>
    <t xml:space="preserve"> SY00-0005-6021、6024、6035限制高度36米,6033限制高度45米</t>
  </si>
  <si>
    <t xml:space="preserve"> 限地价,摇号/摇珠/抽签,现房销售</t>
  </si>
  <si>
    <t xml:space="preserve"> 配建保障房用地</t>
  </si>
  <si>
    <t xml:space="preserve"> 定向安置房</t>
  </si>
  <si>
    <t xml:space="preserve"> 京土储挂(顺)[2022]061号</t>
  </si>
  <si>
    <t xml:space="preserve"> 北京城建兴顺房地产开发有限公司  </t>
  </si>
  <si>
    <t>2022-09-21 15:00</t>
  </si>
  <si>
    <t xml:space="preserve"> 住宅70年教育50年</t>
  </si>
  <si>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</si>
  <si>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</si>
  <si>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</si>
  <si>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</si>
  <si>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</si>
  <si>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 FS00-LX04-0002地块建筑密度30%</t>
  </si>
  <si>
    <t xml:space="preserve"> FS00-LX04-0001地块(南侧)地块限制高度54米,FS00-LX04-0002地块限制高度12米</t>
  </si>
  <si>
    <t xml:space="preserve"> 限地价,摇号/摇珠/抽签</t>
  </si>
  <si>
    <t xml:space="preserve"> 京土储挂(房)[2022]056号</t>
  </si>
  <si>
    <t xml:space="preserve"> 北京安顺园房地产开发有限公司  </t>
  </si>
  <si>
    <t xml:space="preserve"> 北京东方亚联投资有限公司,首创置业</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</si>
  <si>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</si>
  <si>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</si>
  <si>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</si>
  <si>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</si>
  <si>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 京土储挂(昌)[2022]053号</t>
  </si>
  <si>
    <t xml:space="preserve"> 北京兆昌房地产开发有限公司  </t>
  </si>
  <si>
    <t xml:space="preserve"> 建发房产</t>
  </si>
  <si>
    <t>北京市通州区梨园镇东小马土地一级开发项目FZX-0306-6007、6008地块R2二类居住用地、A334托幼用地</t>
  </si>
  <si>
    <t>京土储挂(通)[2022]060号</t>
  </si>
  <si>
    <t xml:space="preserve"> fzx-0306-6007容积率2.5,fzx-0306-6008容积率0.8</t>
  </si>
  <si>
    <t xml:space="preserve"> R2二类居住用地、A334托幼用地</t>
  </si>
  <si>
    <t xml:space="preserve"> FZX-0306-6007限制高度36 (局 部 45),FZX-0306-6008限制高度9米</t>
  </si>
  <si>
    <t xml:space="preserve"> 京土储挂(通)[2022]060号</t>
  </si>
  <si>
    <t xml:space="preserve"> 中能建城市投资发展有限公司 、北京张家湾设计小镇有限公司  </t>
  </si>
  <si>
    <t xml:space="preserve"> 北投集团,中能建城市投资,北京市通州区国有资本运营有限公司</t>
  </si>
  <si>
    <t xml:space="preserve"> 地方国有企业,民营企业</t>
  </si>
  <si>
    <t>北京经济技术开发区亦庄新城0510街区YZ00-0510-0033地块R2二类居住用地</t>
  </si>
  <si>
    <t>京土储挂(开)[2022]059号</t>
  </si>
  <si>
    <t xml:space="preserve"> 亦庄新城0510街区YZ00-0510-0033地块</t>
  </si>
  <si>
    <t xml:space="preserve"> ≤2.0</t>
  </si>
  <si>
    <t xml:space="preserve"> 45米</t>
  </si>
  <si>
    <t xml:space="preserve"> 限地价,摇号/摇珠/抽签,90/70</t>
  </si>
  <si>
    <t xml:space="preserve"> 京土储挂(开)[2022]059号</t>
  </si>
  <si>
    <t xml:space="preserve"> 北京亦庄博润置业有限公司 、北京亦庄久筑工程管理有限公司  </t>
  </si>
  <si>
    <t xml:space="preserve"> 亦庄投资</t>
  </si>
  <si>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</si>
  <si>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</si>
  <si>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</si>
  <si>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</si>
  <si>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</si>
  <si>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FS00-0113-0008建筑密度25%,FS00-0113-0009建筑密度30%</t>
  </si>
  <si>
    <t xml:space="preserve"> FS00-0113-0008建筑限高45米,FS00-0113-0009建筑限高12米</t>
  </si>
  <si>
    <t xml:space="preserve"> 京土储挂(房)[2022]055号</t>
  </si>
  <si>
    <t xml:space="preserve"> 北京建工地产有限责任公司  </t>
  </si>
  <si>
    <t xml:space="preserve"> 北京建工</t>
  </si>
  <si>
    <t>京土储挂(丰)[2022]048号</t>
  </si>
  <si>
    <t xml:space="preserve"> 丰台区</t>
  </si>
  <si>
    <t xml:space="preserve"> 新发地</t>
  </si>
  <si>
    <t xml:space="preserve"> 丰台区南苑街道</t>
  </si>
  <si>
    <t xml:space="preserve"> 京土储挂(丰)[2022]048号</t>
  </si>
  <si>
    <t>北京市海淀区西北旺镇HD00-0403街区永丰产业基地(新)F2地块HD00-0403-0015、0016地块R2二类居住用地、A33基础教育用地</t>
  </si>
  <si>
    <t>京土储挂(海)[2022]045号</t>
  </si>
  <si>
    <t xml:space="preserve"> 海淀区</t>
  </si>
  <si>
    <t xml:space="preserve"> 温泉</t>
  </si>
  <si>
    <t xml:space="preserve"> 海淀区西北旺镇HD00-0403街区内</t>
  </si>
  <si>
    <t xml:space="preserve"> hd00-0403-0015容积率2.4、hd00-0403-0015容积率0.8</t>
  </si>
  <si>
    <t xml:space="preserve"> HD00-0403-0015限高45米、HD00-0403-0015限高16米</t>
  </si>
  <si>
    <t xml:space="preserve"> 限地价,现房销售</t>
  </si>
  <si>
    <t xml:space="preserve"> 京土储挂(海)[2022]045号</t>
  </si>
  <si>
    <t>北京市密云区十里堡镇王各庄棚户区改造项目MY00-0500-0001地块R2二类居住用地</t>
  </si>
  <si>
    <t>京土储挂(密)[2022]058号</t>
  </si>
  <si>
    <t xml:space="preserve"> 密云区</t>
  </si>
  <si>
    <t xml:space="preserve"> 西田各庄、十里堡</t>
  </si>
  <si>
    <t xml:space="preserve"> 密云区十里堡镇王各庄村</t>
  </si>
  <si>
    <t xml:space="preserve"> 京土储挂(密)[2022]058号</t>
  </si>
  <si>
    <t xml:space="preserve"> 北京住总置业有限公司 、北京密云城市建设投资集团有限公司 、北京建工地产有限责任公司 、北京众智房地产开发有限公司  </t>
  </si>
  <si>
    <t xml:space="preserve"> 北京建工,北京住总集团,北京密云经济开发区有限责任公司,北京密云城建</t>
  </si>
  <si>
    <t xml:space="preserve"> 地方国有企业,地方国有企业,地方国有企业</t>
  </si>
  <si>
    <t>北京市密云区水源路南侧B地块土地一级开发项目MY00-0104-6054地块R2二类居住用地</t>
  </si>
  <si>
    <t>京土储挂(密)[2022]057号</t>
  </si>
  <si>
    <t xml:space="preserve"> 密云</t>
  </si>
  <si>
    <t xml:space="preserve"> 密云区水源路南侧</t>
  </si>
  <si>
    <t xml:space="preserve"> 京土储挂(密)[2022]057号</t>
  </si>
  <si>
    <t xml:space="preserve"> 北京众智房地产开发有限公司  </t>
  </si>
  <si>
    <t xml:space="preserve"> 北京密云经济开发区有限责任公司</t>
  </si>
  <si>
    <t>北京市大兴区西红门镇DX04-0102-6013地块R2二类居住用地</t>
  </si>
  <si>
    <t>京土储挂(兴)[2022]052号</t>
  </si>
  <si>
    <t xml:space="preserve"> 西红门</t>
  </si>
  <si>
    <t xml:space="preserve"> 大兴区西红门镇</t>
  </si>
  <si>
    <t xml:space="preserve"> R2二类居住用地,商业</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</si>
  <si>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</si>
  <si>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</si>
  <si>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</si>
  <si>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</si>
  <si>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</si>
  <si>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北京市海淀区西北旺镇HD00-0403街区永丰产业基地(新)F2地块HD00-0403-0013地块R2二类居住用地</t>
  </si>
  <si>
    <t>京土储挂(海)[2022]044号</t>
  </si>
  <si>
    <t xml:space="preserve"> 京土储挂(海)[2022]044号</t>
  </si>
  <si>
    <t>北京市石景山区五里坨土地一级开发项目1602-648、1602-650地块R2二类居住用地、F3其他类多功能用地</t>
  </si>
  <si>
    <t>京土储挂(石)[2022]051号</t>
  </si>
  <si>
    <t xml:space="preserve"> 石景山区五里坨地区</t>
  </si>
  <si>
    <t xml:space="preserve"> R2二类居住用地、F3其他类多功能用地</t>
  </si>
  <si>
    <t xml:space="preserve"> 1602-648地块15米、1602-650地块12米</t>
  </si>
  <si>
    <t xml:space="preserve"> 京土储挂(石)[2022]051号</t>
  </si>
  <si>
    <t xml:space="preserve"> 重庆中交丽景置业有限公司  </t>
  </si>
  <si>
    <t xml:space="preserve"> 中国交建</t>
  </si>
  <si>
    <t>京土储挂(丰)[2022]049号</t>
  </si>
  <si>
    <t xml:space="preserve"> 马家堡、西马厂</t>
  </si>
  <si>
    <t xml:space="preserve"> 丰台区大红门街道</t>
  </si>
  <si>
    <t xml:space="preserve"> 京土储挂(丰)[2022]049号</t>
  </si>
  <si>
    <t>京土储挂(丰)[2022]050号</t>
  </si>
  <si>
    <t xml:space="preserve"> 45米(局部60)</t>
  </si>
  <si>
    <t xml:space="preserve"> 京土储挂(丰)[2022]050号</t>
  </si>
  <si>
    <t xml:space="preserve"> 北京方兴亦城置业有限公司  </t>
  </si>
  <si>
    <t xml:space="preserve"> 中国金茂</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</si>
  <si>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</si>
  <si>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</si>
  <si>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</si>
  <si>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0018限高24米、0019限高45米</t>
  </si>
  <si>
    <t xml:space="preserve"> 京土储挂(海)[2022]046号</t>
  </si>
  <si>
    <t xml:space="preserve"> 北京华大基业房地产开发有限责任公司 、中建壹品投资发展有限公司  </t>
  </si>
  <si>
    <t xml:space="preserve"> 威凯建设,中建三局,海淀国资,海淀置业</t>
  </si>
  <si>
    <t xml:space="preserve"> 民营企业,中央国有企业,地方国有企业</t>
  </si>
  <si>
    <t>北京市丰台区地铁九号线花乡站造甲村土地一级开发项目FT00-1516-6031、FT00-1514-6039地块R2二类居住用地</t>
  </si>
  <si>
    <t>京土储挂(丰)[2022]047号</t>
  </si>
  <si>
    <t xml:space="preserve"> 丰台</t>
  </si>
  <si>
    <t xml:space="preserve"> 丰台区新村街道</t>
  </si>
  <si>
    <t xml:space="preserve"> 京土储挂(丰)[2022]047号</t>
  </si>
  <si>
    <t xml:space="preserve"> 北京首都开发股份有限公司  </t>
  </si>
  <si>
    <t xml:space="preserve"> 首开股份</t>
  </si>
  <si>
    <t>北京市顺义区顺义新城第1街区SY00-0001-0320地块R2二类居住用地</t>
  </si>
  <si>
    <t>京土储挂(顺)[2022]054号</t>
  </si>
  <si>
    <t xml:space="preserve"> 顺义区顺义新城</t>
  </si>
  <si>
    <t xml:space="preserve"> 京土储挂(顺)[2022]054号</t>
  </si>
  <si>
    <t xml:space="preserve"> 北京盟科置业有限公司 、北京天竺房地产开发有限公司  </t>
  </si>
  <si>
    <t xml:space="preserve"> 龙湖集团,国资中心</t>
  </si>
  <si>
    <t>北京市昌平区北七家镇平坊村土地一级开发项目PF-10地块R2二类居住用地、PF-09地块A33基础教育用地</t>
  </si>
  <si>
    <t>京土储挂(昌)[2022]035号</t>
  </si>
  <si>
    <t xml:space="preserve"> 北七家</t>
  </si>
  <si>
    <t xml:space="preserve"> 昌平区北七家镇</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</si>
  <si>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</si>
  <si>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</si>
  <si>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</si>
  <si>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</si>
  <si>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</si>
  <si>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</si>
  <si>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</si>
  <si>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</si>
  <si>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</si>
  <si>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</si>
  <si>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</si>
  <si>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</si>
  <si>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</si>
  <si>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</si>
  <si>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</si>
  <si>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</si>
  <si>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 19-85地块建筑高度18米,19-86地块建筑高度16米</t>
  </si>
  <si>
    <t xml:space="preserve"> 京土储挂(顺)[2022]032号</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</si>
  <si>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</si>
  <si>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</si>
  <si>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</si>
  <si>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</si>
  <si>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</si>
  <si>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</si>
  <si>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</si>
  <si>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</si>
  <si>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</si>
  <si>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中央国有企业,民营企业</t>
  </si>
  <si>
    <t xml:space="preserve"> 居住70年</t>
  </si>
  <si>
    <t>北京市朝阳区崔各庄乡奶西村棚户区改造土地开发项目29-318地块R2二类居住用地</t>
  </si>
  <si>
    <t>京土储挂(朝)[2022]024号</t>
  </si>
  <si>
    <t xml:space="preserve"> ≤1.4</t>
  </si>
  <si>
    <t xml:space="preserve"> 限地价,现房销售,报高标准商品住宅建设方案,限房价</t>
  </si>
  <si>
    <t xml:space="preserve"> 京土储挂(朝)[2022]024号</t>
  </si>
  <si>
    <t>北京市丰台区右安门街道亚林西土地一级开发0501-644、645、646、647等地块R2二类居住用地、B4综合性商业金融服务业用地、A334托幼用地</t>
  </si>
  <si>
    <t>京土储挂(丰)[2022]029号</t>
  </si>
  <si>
    <t xml:space="preserve"> 菜户营、西罗园</t>
  </si>
  <si>
    <t xml:space="preserve"> 丰台区右安门街道</t>
  </si>
  <si>
    <t xml:space="preserve"> 0501-644地块:容积率3.5,0501-645地块:容积率2.8,0501-646地块:容积率0.8,0501-647地块:容积率5,</t>
  </si>
  <si>
    <t xml:space="preserve"> R2二类居住用地、B4综合性商业金融服务业用地、A334托幼用地</t>
  </si>
  <si>
    <t xml:space="preserve"> 0501-644地块:控制高度60米,0501-645地块:容控制高度80米,0501-646地块:控制高度9米,0501-647地块:控制高度80米</t>
  </si>
  <si>
    <t xml:space="preserve"> 限房价,限地价,摇号/摇珠/抽签</t>
  </si>
  <si>
    <t xml:space="preserve"> 京土储挂(丰)[2022]029号</t>
  </si>
  <si>
    <t xml:space="preserve"> 华润置地开发(北京)有限公司  </t>
  </si>
  <si>
    <t xml:space="preserve"> 华润置地</t>
  </si>
  <si>
    <t>北京市朝阳区十八里店朝阳港一期土地一级开发项目1303-685、694地块R2二类居住用地</t>
  </si>
  <si>
    <t>京土储挂(朝)[2022]022号</t>
  </si>
  <si>
    <t xml:space="preserve"> 东南四至五环沿线</t>
  </si>
  <si>
    <t xml:space="preserve"> 朝阳区十八里店乡</t>
  </si>
  <si>
    <t xml:space="preserve"> 京土储挂(朝)[2022]022号</t>
  </si>
  <si>
    <t xml:space="preserve"> 北京金隅地产开发集团有限公司 、北京住总房地产开发有限责任公司  </t>
  </si>
  <si>
    <t xml:space="preserve"> 金隅集团,北京住总集团</t>
  </si>
  <si>
    <t xml:space="preserve"> 地方国有企业,地方国有企业</t>
  </si>
  <si>
    <t>北京市朝阳区太阳宫新区D区0210-029地块R2二类居住用地</t>
  </si>
  <si>
    <t>京土储挂(朝)[2022]021号</t>
  </si>
  <si>
    <t xml:space="preserve"> 太阳宫</t>
  </si>
  <si>
    <t xml:space="preserve"> 朝阳区太阳宫乡</t>
  </si>
  <si>
    <t xml:space="preserve"> ≤2.8</t>
  </si>
  <si>
    <t xml:space="preserve"> 京土储挂(朝)[2022]021号</t>
  </si>
  <si>
    <t xml:space="preserve"> 中建玖合发展集团有限公司  </t>
  </si>
  <si>
    <t xml:space="preserve"> 中建玖合</t>
  </si>
  <si>
    <t>北京市平谷区府前街旧城棚户区改造项目(二期)B、D地块原PG-0005-0065、PG-0005-0074(B地块)、原PG00-0005-0035-01西部(D地块)、原PG00-0005-0035</t>
  </si>
  <si>
    <t>京土储挂(平)[2022]037号</t>
  </si>
  <si>
    <t xml:space="preserve"> 平谷区</t>
  </si>
  <si>
    <t xml:space="preserve"> 滨河街道</t>
  </si>
  <si>
    <t xml:space="preserve"> 平谷区滨河街道</t>
  </si>
  <si>
    <t xml:space="preserve"> 原pg-0005-0065、74(b地块)容积率2.4,原pg00-0005-0035-01西部(d地块)容积率2.5,原pg00-0005-0035-01东部(d地块)容积率2.4</t>
  </si>
  <si>
    <t xml:space="preserve"> 京土储挂(平)[2022]037号</t>
  </si>
  <si>
    <t xml:space="preserve"> 京能置业股份有限公司 、北京城谷恒泰房地产开发有限公司  </t>
  </si>
  <si>
    <t xml:space="preserve"> 城建发展,京能置业</t>
  </si>
  <si>
    <t>北京市朝阳区崔各庄乡奶西村棚户区改造土地开发项目29-319、320地块R2二类居住用地、A334托幼用地</t>
  </si>
  <si>
    <t>京土储挂(朝)[2022]025号</t>
  </si>
  <si>
    <t xml:space="preserve"> 29-319容积率0.8,29-320容积率2.22</t>
  </si>
  <si>
    <t xml:space="preserve"> 29-319建筑密度30%,29-320建筑密度25%</t>
  </si>
  <si>
    <t xml:space="preserve"> 限房价,限地价,摇号/摇珠/抽签,现房销售</t>
  </si>
  <si>
    <t xml:space="preserve"> 京土储挂(朝)[2022]025号</t>
  </si>
  <si>
    <t>北京市丰台区城乡一体化小瓦窑村旧村改造项目XWY-13地块R2二类居住用地</t>
  </si>
  <si>
    <t>京土储挂(丰)[2022]030号</t>
  </si>
  <si>
    <t xml:space="preserve"> 梅市口路</t>
  </si>
  <si>
    <t xml:space="preserve"> 丰台区卢沟桥街道</t>
  </si>
  <si>
    <t xml:space="preserve"> 限房价,限地价,现房销售,摇号/摇珠/抽签</t>
  </si>
  <si>
    <t xml:space="preserve"> 京土储挂(丰)[2022]030号</t>
  </si>
  <si>
    <t xml:space="preserve"> 北京海赋丰业房地产开发有限公司 、北京首钢房地产开发有限公司  </t>
  </si>
  <si>
    <t xml:space="preserve"> 首钢集团,电建地产</t>
  </si>
  <si>
    <t xml:space="preserve"> 地方国有企业,中央国有企业</t>
  </si>
  <si>
    <t>北京市丰台区北宫镇东河沿村棚户区改造项目FT00-0202-0011地块R2二类居住用地</t>
  </si>
  <si>
    <t>京土储挂(丰)[2022]028号</t>
  </si>
  <si>
    <t xml:space="preserve"> 丰台区北宫镇</t>
  </si>
  <si>
    <t xml:space="preserve"> ≤1.7</t>
  </si>
  <si>
    <t xml:space="preserve"> 京土储挂(丰)[2022]028号</t>
  </si>
  <si>
    <t xml:space="preserve"> 北京龙湖中佰置业有限公司 、北京建工地产有限责任公司  </t>
  </si>
  <si>
    <t xml:space="preserve"> 龙湖集团,北京建工</t>
  </si>
  <si>
    <t xml:space="preserve"> 民营企业,地方国有企业</t>
  </si>
  <si>
    <t>北京市昌平区六环路土城出口土城新村改造土地一级开发项目A-07地块R2二类居住用地</t>
  </si>
  <si>
    <t>京土储挂(昌)[2022]034号</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</si>
  <si>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</si>
  <si>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</si>
  <si>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</si>
  <si>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</si>
  <si>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</si>
  <si>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</si>
  <si>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北京市石景山区衙门口棚户区改造土地开发项目1616-670地块F1住宅混合公建用地</t>
  </si>
  <si>
    <t>京土储挂(石)[2022]031号</t>
  </si>
  <si>
    <t xml:space="preserve"> 石景山区衙门口地区</t>
  </si>
  <si>
    <t xml:space="preserve"> F1住宅混合公建用地</t>
  </si>
  <si>
    <t xml:space="preserve"> 限房价,限地价,90/70,摇号/摇珠/抽签,现房销售</t>
  </si>
  <si>
    <t xml:space="preserve"> 京土储挂(石)[2022]031号</t>
  </si>
  <si>
    <t xml:space="preserve"> 北京安泰兴业置业有限公司 、北京石泰集团有限公司  </t>
  </si>
  <si>
    <t xml:space="preserve"> 中海地产,北京石泰集团有限公司</t>
  </si>
  <si>
    <t xml:space="preserve"> 居住70年教育50年办公40年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</si>
  <si>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</si>
  <si>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</si>
  <si>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</si>
  <si>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</si>
  <si>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</si>
  <si>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</si>
  <si>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</si>
  <si>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</si>
  <si>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</si>
  <si>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</si>
  <si>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北京经济技术开发区亦庄新城0510街区YZ00-0510-0017地块R2二类居住用地</t>
  </si>
  <si>
    <t>京土储挂(开)[2022] 017 号</t>
  </si>
  <si>
    <t xml:space="preserve"> 亦庄新城0510街区YZ00-0510-0017地块</t>
  </si>
  <si>
    <t xml:space="preserve">2022年第1批次 </t>
  </si>
  <si>
    <t xml:space="preserve"> 限房价,限地价,90/70,摇号/摇珠/抽签</t>
  </si>
  <si>
    <t xml:space="preserve"> 京土储挂(开)[2022] 017 号</t>
  </si>
  <si>
    <t xml:space="preserve"> 长春创诚房地产开发有限公司  </t>
  </si>
  <si>
    <t xml:space="preserve"> 绿城中国</t>
  </si>
  <si>
    <t xml:space="preserve"> 混合所有制</t>
  </si>
  <si>
    <t>2022-02-15 15:00</t>
  </si>
  <si>
    <t xml:space="preserve"> 70年</t>
  </si>
  <si>
    <t>北京市顺义区顺义新城第13街区SY00-0013-6050、6053地块二类居住用地</t>
  </si>
  <si>
    <t>京土储挂(顺)[2022]013号</t>
  </si>
  <si>
    <t xml:space="preserve"> 马坡</t>
  </si>
  <si>
    <t xml:space="preserve"> 顺义区顺义新城13街区</t>
  </si>
  <si>
    <t xml:space="preserve"> 京土储挂(顺)[2022]013号</t>
  </si>
  <si>
    <t xml:space="preserve"> 保利(北京)房地产开发有限公司 、北京金地兴业房地产有限公司  </t>
  </si>
  <si>
    <t xml:space="preserve"> 金地集团,保利发展</t>
  </si>
  <si>
    <t xml:space="preserve"> 混合所有制,中央国有企业</t>
  </si>
  <si>
    <t>北京市房山区拱辰街道办事处FS00-LX05-0045地块R2二类居住用地</t>
  </si>
  <si>
    <t>京土储挂(房)[2022]014号</t>
  </si>
  <si>
    <t xml:space="preserve"> 房山区拱辰街道办事处</t>
  </si>
  <si>
    <t xml:space="preserve"> 京土储挂(房)[2022]014号</t>
  </si>
  <si>
    <t>北京市大兴区旧宫镇绿化隔离地区建设旧村二期1号地土地一级开发项目A2-2地块R2二类居住用地</t>
  </si>
  <si>
    <t>京土储挂(开)[2022]016号</t>
  </si>
  <si>
    <t xml:space="preserve"> 大兴区旧宫镇</t>
  </si>
  <si>
    <t xml:space="preserve"> 限房价,限地价,报高标准商品住宅建设方案,摇号/摇珠/抽签</t>
  </si>
  <si>
    <t xml:space="preserve"> 京土储挂(开)[2022] 016 号</t>
  </si>
  <si>
    <t xml:space="preserve"> 中海企业发展集团有限公司  </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</si>
  <si>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</si>
  <si>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</si>
  <si>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</si>
  <si>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</si>
  <si>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</si>
  <si>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</si>
  <si>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限房价,限地价,报高标准商品住宅建设方案,90/70,现房销售</t>
  </si>
  <si>
    <t xml:space="preserve"> 配建保障房用地,配建租赁住房用地</t>
  </si>
  <si>
    <t xml:space="preserve"> 保障性租赁住房</t>
  </si>
  <si>
    <t xml:space="preserve"> 京土储挂(朝)[2022]001号</t>
  </si>
  <si>
    <t xml:space="preserve"> 居住70年、教育50年,服务设施用地50年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</si>
  <si>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</si>
  <si>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</si>
  <si>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</si>
  <si>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</si>
  <si>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</si>
  <si>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</si>
  <si>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</si>
  <si>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</si>
  <si>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</si>
  <si>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北京城市副中心FZX-0601-6014、6015地块R2二类居住、6016、6017地块B4综合性商业金融服务业用地</t>
  </si>
  <si>
    <t>京土储挂(通)[2022]018号</t>
  </si>
  <si>
    <t xml:space="preserve"> 永顺北</t>
  </si>
  <si>
    <t xml:space="preserve"> 通州区永顺镇</t>
  </si>
  <si>
    <t xml:space="preserve"> fzx-0601-6014地块容积率1.6,fzx-0601-6015地块容积率1.7,fzx-0601-6016地块和fzx-0601-6017地块容积率2.3</t>
  </si>
  <si>
    <t xml:space="preserve"> R2二类居住用地、B4综合性商业金融服务业用地</t>
  </si>
  <si>
    <t xml:space="preserve"> FZX-0601-6014地块和FZX-0601-6015地块建筑高度36米,FZX-0601-6016地块和FZX-0601-6017地块建筑高度24米</t>
  </si>
  <si>
    <t xml:space="preserve"> 京土储挂(通)[2022]018号</t>
  </si>
  <si>
    <t xml:space="preserve"> 北京城市副中心投资建设集团有限公司  </t>
  </si>
  <si>
    <t xml:space="preserve"> 北投集团</t>
  </si>
  <si>
    <t>北京市昌平区中关村国家工程技术创新基地C-30地块R2二类居住用地</t>
  </si>
  <si>
    <t>京土储挂(昌)[2022]010号</t>
  </si>
  <si>
    <t xml:space="preserve"> 昌平区沙河镇</t>
  </si>
  <si>
    <t xml:space="preserve"> 京土储挂(昌)[2022]010号</t>
  </si>
  <si>
    <t>北京市丰台区卢沟桥街道大井新村三期土地一级开发2502-0030、2505-0031地块F81绿隔产业用地、R2二类居住用地(配建“保障性租赁住房”)</t>
  </si>
  <si>
    <t>京土储挂(丰)[2022]003号</t>
  </si>
  <si>
    <t xml:space="preserve"> 京石高速三四环沿线</t>
  </si>
  <si>
    <t xml:space="preserve"> 2505-0031地块容积率2.5,2502-0030地块容积率2.6</t>
  </si>
  <si>
    <t xml:space="preserve"> R2二类居住用地、F81绿隔产业用地</t>
  </si>
  <si>
    <t xml:space="preserve"> 2505-0031地块建筑高度60米,2502-0030地块建筑高度45米</t>
  </si>
  <si>
    <t xml:space="preserve"> 京土储挂(丰)[2022]003号</t>
  </si>
  <si>
    <t xml:space="preserve"> 居住70年,办公50年</t>
  </si>
  <si>
    <t>北京市大兴区黄村镇DX00-0202-6007、6014、6011、6002地块R2二类居住用地、F3其他类多功能用地、A334托幼用地</t>
  </si>
  <si>
    <t>京土储挂(兴)[2022]008号</t>
  </si>
  <si>
    <t xml:space="preserve"> 兴丰街道</t>
  </si>
  <si>
    <t xml:space="preserve"> 大兴区黄村镇</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</si>
  <si>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</si>
  <si>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</si>
  <si>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</si>
  <si>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</si>
  <si>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</si>
  <si>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</si>
  <si>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</si>
  <si>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住宅70年、办公50年,教育50年</t>
  </si>
  <si>
    <t>北京市昌平区中关村生命科学园三期及“北四村”棚户区改造土地开发A地块CP02-0101-6006地块R2二类居住用地(配建“保障性租赁住房”)</t>
  </si>
  <si>
    <t>京土储挂(昌)[2022]011号</t>
  </si>
  <si>
    <t xml:space="preserve"> 京土储挂(昌)[2022]011号</t>
  </si>
  <si>
    <t xml:space="preserve"> 太仓建仓房地产开发有限公司  </t>
  </si>
  <si>
    <t>北京市丰台区玉泉营街道纪家庙村JJM-007地块R2二类居住用地、JJM-012地块A33基础教育用地</t>
  </si>
  <si>
    <t>京土储挂(丰)[2022]004号</t>
  </si>
  <si>
    <t xml:space="preserve"> 丰台区玉泉营街道</t>
  </si>
  <si>
    <t xml:space="preserve"> jjm-007地块容积率2.8,jjm-012地块容积率0.8</t>
  </si>
  <si>
    <t xml:space="preserve"> JJM-007地块建筑高度80米,JJM-012地块建筑高度12米</t>
  </si>
  <si>
    <t xml:space="preserve"> 京土储挂(丰)[2022]004号</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</si>
  <si>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</si>
  <si>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</si>
  <si>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</si>
  <si>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</si>
  <si>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</si>
  <si>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</si>
  <si>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</si>
  <si>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</si>
  <si>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</si>
  <si>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居住70年,办公50年,服务设施50年</t>
  </si>
  <si>
    <t>北京市朝阳区王四营乡土地一级开发项目一期1304-L04地块R2二类居住用地</t>
  </si>
  <si>
    <t>京土储挂(朝)[2022]002号</t>
  </si>
  <si>
    <t xml:space="preserve"> 朝阳区王四营乡</t>
  </si>
  <si>
    <t xml:space="preserve"> 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</si>
  <si>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</si>
  <si>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</si>
  <si>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</si>
  <si>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石景山区古城南街东侧</t>
  </si>
  <si>
    <t xml:space="preserve"> 京土储挂(石)[2022]005号</t>
  </si>
  <si>
    <t>北京市怀柔区雁栖镇01-01、01-02、01-03、01-04地块F2公建混合住宅用地、F3其他类多功能用地(怀柔雁栖小镇土地一级开发项目)</t>
  </si>
  <si>
    <t>京土储挂(怀)[2022]015号</t>
  </si>
  <si>
    <t xml:space="preserve"> 怀柔区</t>
  </si>
  <si>
    <t xml:space="preserve"> 雁栖</t>
  </si>
  <si>
    <t xml:space="preserve"> 怀柔区雁栖镇</t>
  </si>
  <si>
    <t xml:space="preserve"> 01-01地块和01-04地块容积率1.3,01-02地块容积率1.4,01-03地块容积率2.0</t>
  </si>
  <si>
    <t xml:space="preserve"> F2公建混合住宅用地、F3其他类多功能用地</t>
  </si>
  <si>
    <t xml:space="preserve"> 地标建筑区域建筑屋脊高度控制在24米以下。</t>
  </si>
  <si>
    <t xml:space="preserve"> 限房价,限地价,报高标准商品住宅建设方案</t>
  </si>
  <si>
    <t xml:space="preserve"> 京土储挂(怀)[2022]015号</t>
  </si>
  <si>
    <t xml:space="preserve"> 北京怀柔科学城建设发展有限公司  </t>
  </si>
  <si>
    <t xml:space="preserve"> 怀柔科学城</t>
  </si>
  <si>
    <t xml:space="preserve"> 住宅70年、办公50年</t>
  </si>
  <si>
    <t>北京市石景山区刘娘府综合改造土地一级开发项目1604-654-1、654-2、696、728-1地块R2二类居住用地、B4综合性商业金融服务业用地、A334基础教育用地</t>
  </si>
  <si>
    <t>京土储挂(石)[2022]007号</t>
  </si>
  <si>
    <t xml:space="preserve"> 石景山区刘娘府地区</t>
  </si>
  <si>
    <t xml:space="preserve"> 1604-654-1地块容积率1.3,1604-654-2地块容积率1.1,1604-696地块容积率2.6,1604-728-1地块容积率0.9</t>
  </si>
  <si>
    <t xml:space="preserve"> R2二类居住用地、B4综合性商业金融服务业用地、A334基础教育用地</t>
  </si>
  <si>
    <t xml:space="preserve"> 1604-654-1地块和1604-654-2地块建筑高度18米,1604-696地块建筑高度30米,1604-728-1地块建筑高度16米,</t>
  </si>
  <si>
    <t xml:space="preserve"> 京土储挂(石)[2022]007号</t>
  </si>
  <si>
    <t xml:space="preserve"> 居住70年、教育50年,商业40年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</si>
  <si>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</si>
  <si>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</si>
  <si>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</si>
  <si>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</si>
  <si>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</si>
  <si>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</si>
  <si>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京土整储挂(朝)[2021]093号</t>
  </si>
  <si>
    <t xml:space="preserve"> 中国葛洲坝集团房地产开发有限公司  </t>
  </si>
  <si>
    <t xml:space="preserve"> 葛洲坝</t>
  </si>
  <si>
    <t>2021-12-23 15:00</t>
  </si>
  <si>
    <t xml:space="preserve"> 居住70年,商业40年,办公50年</t>
  </si>
  <si>
    <t>北京市延庆区小营村,石河营村棚户区改造和环境整治项目YQ00-0006-0029地块R2二类居住用地</t>
  </si>
  <si>
    <t>京土整储挂(延)[2021]088号</t>
  </si>
  <si>
    <t xml:space="preserve"> 延庆区</t>
  </si>
  <si>
    <t xml:space="preserve"> 延庆</t>
  </si>
  <si>
    <t xml:space="preserve"> 延庆区延庆新城06街区</t>
  </si>
  <si>
    <t xml:space="preserve"> 京土整储挂(延)[2021]088号</t>
  </si>
  <si>
    <t xml:space="preserve"> 中建京西建设发展有限公司  </t>
  </si>
  <si>
    <t xml:space="preserve"> 中国建筑</t>
  </si>
  <si>
    <t xml:space="preserve"> 居住70年,商业40年,办公51年</t>
  </si>
  <si>
    <t>北京市朝阳区东坝车辆基地综合利用项目1101-A002-1,1101-A003-1地块R2二类居住用地(配建“保障性租赁住房”)</t>
  </si>
  <si>
    <t>京土整储挂(朝)[2021]090号</t>
  </si>
  <si>
    <t xml:space="preserve"> 朝阳区东坝西区</t>
  </si>
  <si>
    <t xml:space="preserve"> 京土整储挂(朝)[2021]090号</t>
  </si>
  <si>
    <t xml:space="preserve"> 北京市基础设施投资有限公司 、北京京投置地房地产有限公司  </t>
  </si>
  <si>
    <t xml:space="preserve"> 京投发展</t>
  </si>
  <si>
    <t xml:space="preserve"> 居住70年,商业40年,办公52年</t>
  </si>
  <si>
    <t>北京市朝阳区东坝车辆基地综合利用项目1101-A002-3地块R2二类居住用地</t>
  </si>
  <si>
    <t>京土整储挂(朝)[2021]092号</t>
  </si>
  <si>
    <t xml:space="preserve"> 京土整储挂(朝)[2021]092号</t>
  </si>
  <si>
    <t xml:space="preserve"> 居住70年,商业40年,办公53年</t>
  </si>
  <si>
    <t>北京市朝阳区管庄乡棚户区改造和环境整治项目(一期)GZGJC-03地块R2二类居住用地</t>
  </si>
  <si>
    <t>京土整储挂(朝)[2021]095号</t>
  </si>
  <si>
    <t xml:space="preserve"> 双桥农场</t>
  </si>
  <si>
    <t xml:space="preserve"> 朝阳区管庄乡</t>
  </si>
  <si>
    <t xml:space="preserve"> 京土整储挂(朝)[2021]095号</t>
  </si>
  <si>
    <t xml:space="preserve"> 京能置业股份有限公司 、北京龙湖中佰置业有限公司  </t>
  </si>
  <si>
    <t xml:space="preserve"> 京能置业,龙湖集团</t>
  </si>
  <si>
    <t xml:space="preserve"> 居住70年,商业40年,办公59年</t>
  </si>
  <si>
    <t>北京市密云区水源路南侧MY00-0104-6016等地块R2二类居住用地</t>
  </si>
  <si>
    <t>京土整储挂(密)[2021]087号</t>
  </si>
  <si>
    <t xml:space="preserve"> 京土整储挂(密)[2021]087号</t>
  </si>
  <si>
    <t xml:space="preserve"> 北京祥业房地产有限公司 、北京首都开发股份有限公司 、北京旭科置业有限公司和北京密云城市建设投资开发有限公司  </t>
  </si>
  <si>
    <t xml:space="preserve"> 北京密云城建,北京住总集团,旭辉集团,首开股份</t>
  </si>
  <si>
    <t xml:space="preserve"> 地方国有企业,地方国有企业,民营企业,地方国有企业</t>
  </si>
  <si>
    <t>北京市房山区拱辰街道FS00-0111-0017,0019地块R2二类居住用地(配建“保障性租赁住房”)</t>
  </si>
  <si>
    <t>京土整储挂(房)[2021]084号</t>
  </si>
  <si>
    <t xml:space="preserve"> 房山区拱辰街道东羊庄村</t>
  </si>
  <si>
    <t xml:space="preserve"> 配建租赁住房用地,配建保障房用地</t>
  </si>
  <si>
    <t xml:space="preserve"> 京土整储挂(房)[2021]084号</t>
  </si>
  <si>
    <t xml:space="preserve"> 居住70年,商业40年,办公54年</t>
  </si>
  <si>
    <t>北京市门头沟区永定镇MC00-0605-0002,0005等地块R2二类居住用地(配建“保障性租赁住房”)</t>
  </si>
  <si>
    <t>京土整储挂(门)[2021]086号</t>
  </si>
  <si>
    <t xml:space="preserve"> 京土整储挂(门)[2021]086号</t>
  </si>
  <si>
    <t xml:space="preserve"> 北京金地兴业房地产有限公司  </t>
  </si>
  <si>
    <t xml:space="preserve"> 金地集团</t>
  </si>
  <si>
    <t xml:space="preserve"> 居住70年,商业40年,办公55年</t>
  </si>
  <si>
    <t>北京市门头沟区永定镇MC00-0605-0001,0003等地块R2二类居住用地(配建“保障性租赁住房”)</t>
  </si>
  <si>
    <t>京土整储挂(门)[2021]085号</t>
  </si>
  <si>
    <t xml:space="preserve"> 京土整储挂(门)[2021]085号</t>
  </si>
  <si>
    <t xml:space="preserve"> 居住70年,商业40年,办公57年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</si>
  <si>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</si>
  <si>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</si>
  <si>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</si>
  <si>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</si>
  <si>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北京市大兴区瀛海镇集体经营性建设用地入市试点(一期) YZ00-0803-0012 地块</t>
  </si>
  <si>
    <t>YZ00-0803-0012</t>
  </si>
  <si>
    <t xml:space="preserve"> 瀛海</t>
  </si>
  <si>
    <t xml:space="preserve"> 大兴区瀛海镇,东至瀛坤路,西至瀛达路,北至瀛元街,南至瀛成路</t>
  </si>
  <si>
    <t xml:space="preserve"> F81绿隔产业用地(建设人才公寓)</t>
  </si>
  <si>
    <t xml:space="preserve">-- </t>
  </si>
  <si>
    <t xml:space="preserve"> 京规自集使挂 (兴) [2021]002 号</t>
  </si>
  <si>
    <t xml:space="preserve"> 北京博大新元房地产开发有限公司  </t>
  </si>
  <si>
    <t xml:space="preserve"> 北京亦庄国际人才发展</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</si>
  <si>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</si>
  <si>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</si>
  <si>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</si>
  <si>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</si>
  <si>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</si>
  <si>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</si>
  <si>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京土整储挂(海)[2021]047号</t>
  </si>
  <si>
    <t xml:space="preserve"> 华润置地开发(北京)有限公司 、北京首都开发股份有限公司  </t>
  </si>
  <si>
    <t xml:space="preserve"> 华润置地,首开股份</t>
  </si>
  <si>
    <t>2021-10-11 15:00</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</si>
  <si>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</si>
  <si>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</si>
  <si>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</si>
  <si>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</si>
  <si>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</si>
  <si>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</si>
  <si>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</si>
  <si>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</si>
  <si>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居住70年、商业40年</t>
  </si>
  <si>
    <t>北京市大兴区黄村镇DX00-0102-0208-6026、6020地块R2二类居住用地、A334托幼用地</t>
  </si>
  <si>
    <t>京土整储挂(兴)[2021]060号</t>
  </si>
  <si>
    <t xml:space="preserve"> 观音寺街道</t>
  </si>
  <si>
    <t xml:space="preserve"> 6026&lt;2.5;6020&lt;0.9</t>
  </si>
  <si>
    <t xml:space="preserve"> 6026:R2二类居住用地;6020:A334托幼用地</t>
  </si>
  <si>
    <t xml:space="preserve"> &lt;30%</t>
  </si>
  <si>
    <t xml:space="preserve"> 6026&lt;60米;6020&lt;16米</t>
  </si>
  <si>
    <t xml:space="preserve"> 限房价,限地价,现房销售</t>
  </si>
  <si>
    <t xml:space="preserve"> 京土整储挂(兴)[2021]060号</t>
  </si>
  <si>
    <t xml:space="preserve"> 中铁置业集团北京有限公司 、北京兴创置地房地产开发有限公司  </t>
  </si>
  <si>
    <t xml:space="preserve"> 中国中铁</t>
  </si>
  <si>
    <t>北京市丰台区城乡一体化周庄子村旧村改造项目二期ZZZ-06等地块R2二类居住用地、A33基础教育用地、F81绿隔产业用地(配建“共有产权住房”)</t>
  </si>
  <si>
    <t>京土整储挂(丰)[2021]049号</t>
  </si>
  <si>
    <t xml:space="preserve"> 丰台区卢沟桥乡</t>
  </si>
  <si>
    <t xml:space="preserve"> 二类居住用地、教育用地、绿隔产业用地</t>
  </si>
  <si>
    <t xml:space="preserve"> ZZZ-22地块12米、ZZZ-27和ZZZ-L08地块18米,其余80米</t>
  </si>
  <si>
    <t xml:space="preserve"> 京土整储挂(丰)[2021]049号</t>
  </si>
  <si>
    <t xml:space="preserve"> 北京懋源置业有限公司 、北京懋源鸿业房地产开发有限公司  </t>
  </si>
  <si>
    <t>北京市通州区于家务TZ11-0200-6003、6006地块R2二类居住用地、TZ11-0200-6002地块A334托幼用地</t>
  </si>
  <si>
    <t>京土整储挂(通)[2021]053号</t>
  </si>
  <si>
    <t xml:space="preserve"> 于家务回族乡</t>
  </si>
  <si>
    <t xml:space="preserve"> 通州区于家务回族乡次中心内</t>
  </si>
  <si>
    <t xml:space="preserve"> 6003,6006≤1.6;6002≤0.8</t>
  </si>
  <si>
    <t xml:space="preserve"> 16,18(局部24米)</t>
  </si>
  <si>
    <t xml:space="preserve"> 京土整储挂(通)[2021]053号</t>
  </si>
  <si>
    <t xml:space="preserve"> 北京通州房地产开发有限责任公司  </t>
  </si>
  <si>
    <t xml:space="preserve"> 通州房开</t>
  </si>
  <si>
    <t xml:space="preserve"> 居住70年、商业40年、办公50年</t>
  </si>
  <si>
    <t>北京市石景山区首钢园区东南区土地一级开发项目1612-829地块F1住宅混合公建用地(配建“保障性租赁住房”)</t>
  </si>
  <si>
    <t>京土整储挂(石)[2021]051号</t>
  </si>
  <si>
    <t xml:space="preserve"> 京土整储挂(石)[2021]051号</t>
  </si>
  <si>
    <t>北京市大兴区西红门镇DX04-0102-6011、6014地块R2二类居住用地(配建“保障性租赁住房”)</t>
  </si>
  <si>
    <t>京土整储挂(兴)[2021]061号</t>
  </si>
  <si>
    <t xml:space="preserve"> &lt;2.5</t>
  </si>
  <si>
    <t xml:space="preserve"> &lt;45米</t>
  </si>
  <si>
    <t xml:space="preserve"> 京土整储挂(兴)[2021]061号</t>
  </si>
  <si>
    <t xml:space="preserve"> 华润置地开发(北京)有限公司 、中铁置业集团北京有限公司  </t>
  </si>
  <si>
    <t xml:space="preserve"> 华润置地,中国中铁</t>
  </si>
  <si>
    <t>北京市朝阳区十八里店朝阳港一期土地一级开发项目1303-693地块R2二类居住用地</t>
  </si>
  <si>
    <t>京土整储挂(朝)[2021]034号</t>
  </si>
  <si>
    <t xml:space="preserve"> 60米</t>
  </si>
  <si>
    <t xml:space="preserve"> 京土整储挂(朝)[2021]034号</t>
  </si>
  <si>
    <t xml:space="preserve"> 北京金隅地产开发集团有限公司 、北京昆泰控股集团有限公司  </t>
  </si>
  <si>
    <t xml:space="preserve"> 北京昆泰,金隅集团</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</si>
  <si>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</si>
  <si>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</si>
  <si>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</si>
  <si>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公共租赁房</t>
  </si>
  <si>
    <t xml:space="preserve"> 京土整储挂(丰)[2021]048号</t>
  </si>
  <si>
    <t xml:space="preserve"> 北京首都开发股份有限公司 、北京建工地产有限责任公司  </t>
  </si>
  <si>
    <t xml:space="preserve"> 北京建工,首开股份</t>
  </si>
  <si>
    <t xml:space="preserve"> 住宅70年、商业40年、办公50年</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</si>
  <si>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</si>
  <si>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</si>
  <si>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</si>
  <si>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</si>
  <si>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 0018&lt;25%;0016&lt;30%</t>
  </si>
  <si>
    <t xml:space="preserve"> 0018&lt;45米;0016&lt;12米</t>
  </si>
  <si>
    <t xml:space="preserve"> 京土整储挂(房)[2021]068号</t>
  </si>
  <si>
    <t>北京市海淀区东升镇京昌路楔形绿地棚户区改造项目(二期)0803-631-2地块R2二类居住用地、0803-633地块A33基础教育用地(配建“保障性租赁住房”)</t>
  </si>
  <si>
    <t>京土整储挂(海)[2021]045号</t>
  </si>
  <si>
    <t xml:space="preserve"> 学清路</t>
  </si>
  <si>
    <t xml:space="preserve"> 海淀区东升镇</t>
  </si>
  <si>
    <t xml:space="preserve"> r2=2.5,a33=0.8</t>
  </si>
  <si>
    <t xml:space="preserve"> R2≤60米,A33≤18米</t>
  </si>
  <si>
    <t xml:space="preserve"> 京土整储挂(海)[2021]045号</t>
  </si>
  <si>
    <t xml:space="preserve"> 中建壹品投资发展有限公司 、中建信和地产有限公司  </t>
  </si>
  <si>
    <t xml:space="preserve"> 中建信和地产,中建三局</t>
  </si>
  <si>
    <t>北京市昌平区昌平镇东环路136号(原六亭饭店)CP00-0205-0021地块R2二类居住用地</t>
  </si>
  <si>
    <t>京土整储挂(昌)[2021]059号</t>
  </si>
  <si>
    <t xml:space="preserve"> 城北街道</t>
  </si>
  <si>
    <t xml:space="preserve"> 昌平区城北街道</t>
  </si>
  <si>
    <t xml:space="preserve"> 京土整储挂(昌)[2021]059号</t>
  </si>
  <si>
    <t xml:space="preserve"> 中铁置业集团北京有限公司  </t>
  </si>
  <si>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</si>
  <si>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</si>
  <si>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</si>
  <si>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</si>
  <si>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京土整储挂(房)[2021]067号</t>
  </si>
  <si>
    <t xml:space="preserve"> 北京城建房地产开发有限公司  </t>
  </si>
  <si>
    <t>北京市海淀区东升镇京昌路楔形绿地棚户区改造项目(二期)0803-631-1块R2二类居住用地(配建“保障性租赁住房”)</t>
  </si>
  <si>
    <t>京土整储挂(海)[2021]044号</t>
  </si>
  <si>
    <t xml:space="preserve"> 京土整储挂(海)[2021]044号</t>
  </si>
  <si>
    <t xml:space="preserve"> 中建五局,中建三局</t>
  </si>
  <si>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</si>
  <si>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</si>
  <si>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</si>
  <si>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</si>
  <si>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招标</t>
  </si>
  <si>
    <t xml:space="preserve"> R2二类居住用地、公园绿地、防护绿地</t>
  </si>
  <si>
    <t xml:space="preserve"> 限房价</t>
  </si>
  <si>
    <t xml:space="preserve"> 配建自住房/共有产权房用地,纯自住房/共有产权房用地</t>
  </si>
  <si>
    <t xml:space="preserve"> 京土整储招(平)[2021]075号</t>
  </si>
  <si>
    <t xml:space="preserve"> 北京城乡房屋建设开发有限责任公司  </t>
  </si>
  <si>
    <t>2021-09-22 15:30</t>
  </si>
  <si>
    <t>北京市海淀区西北旺镇HD00-0403街区永丰产业基地(新)F1地块HD00-0403-0004地块R2二类居住用地、HD00-0403-0005地块A33基础教育用地</t>
  </si>
  <si>
    <t>京土整储挂(海)[2021]046号</t>
  </si>
  <si>
    <t xml:space="preserve"> 居住1.5、教育0.8</t>
  </si>
  <si>
    <t xml:space="preserve"> 30米、16米</t>
  </si>
  <si>
    <t xml:space="preserve"> 京土整储挂(海)[2021]046号</t>
  </si>
  <si>
    <t>北京市门头沟区永定镇MC00-0605-0004地块R2二类居住用地、MC00-0605-0008地块F3其他类多功能用地(配建“保障性租赁住房”)</t>
  </si>
  <si>
    <t>京土整储挂(门)[2021]070号</t>
  </si>
  <si>
    <t xml:space="preserve"> 居住2.7、其他2.0</t>
  </si>
  <si>
    <t xml:space="preserve"> 36米、60米</t>
  </si>
  <si>
    <t xml:space="preserve"> 京土整储挂(门)[2021]070号</t>
  </si>
  <si>
    <t xml:space="preserve"> 北京龙湖中佰置业有限公司 、北京北辰实业股份有限公司  </t>
  </si>
  <si>
    <t xml:space="preserve"> 北辰实业,龙湖集团</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</si>
  <si>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</si>
  <si>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</si>
  <si>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</si>
  <si>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</si>
  <si>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</si>
  <si>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限地价,限房价,竞配建,报高标准商品住宅建设方案,90/70</t>
  </si>
  <si>
    <t xml:space="preserve"> 限地价,限房价,竞配建,90/70</t>
  </si>
  <si>
    <t xml:space="preserve"> 京土整储挂(昌)[2021]023号</t>
  </si>
  <si>
    <t xml:space="preserve"> 华通置业有限公司 、北京领华房地产开发有限公司 、北京嘉晨置业合伙企业(有限合伙)  </t>
  </si>
  <si>
    <t xml:space="preserve"> 中交地产,卓越集团</t>
  </si>
  <si>
    <t>2021-05-07 15:00</t>
  </si>
  <si>
    <t>北京市密云区檀营乡6005地块R2二类居住用地</t>
  </si>
  <si>
    <t>京土整储挂(密)[2021]026号</t>
  </si>
  <si>
    <t xml:space="preserve"> 檀营满族蒙族乡</t>
  </si>
  <si>
    <t xml:space="preserve"> 密云区檀营乡</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</si>
  <si>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</si>
  <si>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</si>
  <si>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</si>
  <si>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</si>
  <si>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  </t>
  </si>
  <si>
    <t xml:space="preserve"> 北京住总集团,首开股份</t>
  </si>
  <si>
    <t>北京市通州区宋庄镇双埠头村、大庞村、大兴庄村土地一级开发项目TZ03-0403-6001、6004、6007、6010、6021、6024地块R2二类居住用地、6018地块B1商业用地、6009地块A334幼儿园用地</t>
  </si>
  <si>
    <t>京土整储挂(通)[2021]019号</t>
  </si>
  <si>
    <t xml:space="preserve"> 宋庄</t>
  </si>
  <si>
    <t xml:space="preserve"> 通州区宋庄镇</t>
  </si>
  <si>
    <t xml:space="preserve"> r2≤1.8、1.6,b1≤1.8,a334≤0.8</t>
  </si>
  <si>
    <t xml:space="preserve"> R2二类居住用地、B1商业用地、A334幼儿园用地</t>
  </si>
  <si>
    <t xml:space="preserve"> 24米;16米</t>
  </si>
  <si>
    <t xml:space="preserve"> 限地价,限房价,报高标准商品住宅建设方案,90/70</t>
  </si>
  <si>
    <t xml:space="preserve"> 限地价,限房价,90/70</t>
  </si>
  <si>
    <t xml:space="preserve"> 京土整储挂(通)[2021]019号</t>
  </si>
  <si>
    <t xml:space="preserve"> 北京兴远慧业科技有限公司  </t>
  </si>
  <si>
    <t>北京市朝阳区崔各庄乡黑桥村、南皋村棚户区改造项目30-L06地块F1住宅混合公建用地</t>
  </si>
  <si>
    <t>京土整储挂(朝)[2021]009号</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</si>
  <si>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</si>
  <si>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</si>
  <si>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</si>
  <si>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</si>
  <si>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</si>
  <si>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北京城市副中心1201街区FZX-1201-0019、0020、0040地块R2二类居住用地、0016地块F3其他类多功能用地、0039地块A51医院用地(配建“国际人才社区住房”)</t>
  </si>
  <si>
    <t>京土整储挂(通)[2021]021号</t>
  </si>
  <si>
    <t xml:space="preserve"> 北京城市副中心12组团北部1201街区西侧</t>
  </si>
  <si>
    <t xml:space="preserve"> r2≤2.0;f3≤2.5;a51≤1.3</t>
  </si>
  <si>
    <t xml:space="preserve"> R2二类居住用地、F3其他类多功能用地、A51医院用地</t>
  </si>
  <si>
    <t xml:space="preserve"> R2≤30;F3≤45;A51≤35</t>
  </si>
  <si>
    <t xml:space="preserve"> 36米;24米</t>
  </si>
  <si>
    <t xml:space="preserve"> 配建人才住房(可售)</t>
  </si>
  <si>
    <t xml:space="preserve"> 人才住房(可售)</t>
  </si>
  <si>
    <t xml:space="preserve"> 京土整储挂(通)[2021]021号</t>
  </si>
  <si>
    <t xml:space="preserve"> 北京京投诚达科技发展有限公司  </t>
  </si>
  <si>
    <t xml:space="preserve"> 碧桂园</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</si>
  <si>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</si>
  <si>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</si>
  <si>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</si>
  <si>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</si>
  <si>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</si>
  <si>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</si>
  <si>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北京市海淀区海淀镇树村棚户区改造B-1北地块R2二类居住用地</t>
  </si>
  <si>
    <t>京土整储挂(海)[2021]013号</t>
  </si>
  <si>
    <t xml:space="preserve"> 马连洼</t>
  </si>
  <si>
    <t xml:space="preserve"> 海淀区海淀镇树村地区</t>
  </si>
  <si>
    <t xml:space="preserve"> ≤1.6</t>
  </si>
  <si>
    <t xml:space="preserve"> 18米</t>
  </si>
  <si>
    <t xml:space="preserve"> 京土整储挂(海)[2021]013号</t>
  </si>
  <si>
    <t xml:space="preserve"> 北京陕创企诚置业有限公司  </t>
  </si>
  <si>
    <t xml:space="preserve"> 融创中国</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</si>
  <si>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</si>
  <si>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</si>
  <si>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</si>
  <si>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</si>
  <si>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</si>
  <si>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</si>
  <si>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北京市昌平区北七家镇中心起步区(暨海鶄落新村建设)土地一级开发项目一期HQL-09地块R2二类居住用地</t>
  </si>
  <si>
    <t>京土整储挂(昌)[2021]022号</t>
  </si>
  <si>
    <t xml:space="preserve"> 24米</t>
  </si>
  <si>
    <t xml:space="preserve"> 限地价,限房价,竞配建,报高标准商品住宅建设方案</t>
  </si>
  <si>
    <t xml:space="preserve"> 限地价,限房价,竞配建</t>
  </si>
  <si>
    <t xml:space="preserve"> 京土整储挂(昌)[2021]022号</t>
  </si>
  <si>
    <t xml:space="preserve"> 北京天时汤山房地产投资发展有限公司  </t>
  </si>
  <si>
    <t xml:space="preserve"> 北京天时汤山</t>
  </si>
  <si>
    <t>北京市朝阳区王四营乡土地一级开发项目一期1304-L01地块R2二类居住用地</t>
  </si>
  <si>
    <t>京土整储挂(朝)[2021]004号</t>
  </si>
  <si>
    <t xml:space="preserve"> r2≤2.5</t>
  </si>
  <si>
    <t xml:space="preserve"> R2≤45米(局部60米)</t>
  </si>
  <si>
    <t xml:space="preserve"> 限地价,竞配建,报高标准商品住宅建设方案,90/70</t>
  </si>
  <si>
    <t xml:space="preserve"> 京土整储挂(朝)[2021]004号</t>
  </si>
  <si>
    <t xml:space="preserve"> 保利(北京)房地产开发有限公司 、北京润置商业运营管理有限公司 、北京金泰慧业科技有限公司  </t>
  </si>
  <si>
    <t xml:space="preserve"> 华润置地,金地集团,保利发展</t>
  </si>
  <si>
    <t xml:space="preserve"> 中央国有企业,混合所有制,中央国有企业</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</si>
  <si>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</si>
  <si>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</si>
  <si>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</si>
  <si>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</si>
  <si>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</si>
  <si>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</si>
  <si>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 R2≤60米;A334≤12米</t>
  </si>
  <si>
    <t xml:space="preserve"> 京土整储招(房)[2021]029号</t>
  </si>
  <si>
    <t>2021-04-16 15:00</t>
  </si>
  <si>
    <t>北京城市副中心0302街区FZX-0302-6004、6002地块F1住宅混合公建用地、A334托幼用地</t>
  </si>
  <si>
    <t>京土整储挂(通)[2021]020号</t>
  </si>
  <si>
    <t xml:space="preserve"> 通州区梨园镇</t>
  </si>
  <si>
    <t xml:space="preserve"> f1≤2.4,a334≤0.8</t>
  </si>
  <si>
    <t xml:space="preserve"> F1住宅混合公建用地、A334托幼用地</t>
  </si>
  <si>
    <t xml:space="preserve"> F1≤36(局部45);A334≤16</t>
  </si>
  <si>
    <t xml:space="preserve"> 京土整储挂(通)[2021]020号</t>
  </si>
  <si>
    <t xml:space="preserve"> 北京城建投资发展股份有限公司 、北京迪多纳企业管理有限公司  </t>
  </si>
  <si>
    <t xml:space="preserve"> 城建发展,阳光城集团</t>
  </si>
  <si>
    <t>北京市朝阳区崔各庄乡黑桥村、南皋村棚户区改造项目30-L01-01地块R2二类居住用地(配建“公共租赁住房”)</t>
  </si>
  <si>
    <t>京土整储挂(朝)[2021]007号</t>
  </si>
  <si>
    <t xml:space="preserve"> 限地价,竞配建,90/70</t>
  </si>
  <si>
    <t xml:space="preserve"> 京土整储挂(朝)[2021]007号</t>
  </si>
  <si>
    <t xml:space="preserve"> 北京润置商业运营管理有限公司 、保利(北京)房地产开发有限公司 、北京金泰辉华科技有限公司  </t>
  </si>
  <si>
    <t xml:space="preserve"> 金地集团,保利发展,华润置地</t>
  </si>
  <si>
    <t xml:space="preserve"> 混合所有制,中央国有企业,中央国有企业</t>
  </si>
  <si>
    <t>北京市丰台区长辛店镇张郭庄村A区FT00-0203-6145、FT00-0203-6159地块R2二类居住用地</t>
  </si>
  <si>
    <t>京土整储挂(丰)[2021]014号</t>
  </si>
  <si>
    <t xml:space="preserve"> 丰台区长辛店镇张郭庄村</t>
  </si>
  <si>
    <t xml:space="preserve"> ≤2.3</t>
  </si>
  <si>
    <t xml:space="preserve"> 京土整储挂(丰)[2021]014号</t>
  </si>
  <si>
    <t xml:space="preserve"> 北京首都开发股份有限公司 、北京承华房地产开发有限公司  </t>
  </si>
  <si>
    <t xml:space="preserve"> 首开股份,卓越集团</t>
  </si>
  <si>
    <t>北京市朝阳区王四营乡土地一级开发项目一期1304-L03地块R2二类居住用地</t>
  </si>
  <si>
    <t>京土整储挂(朝)[2021]006号</t>
  </si>
  <si>
    <t xml:space="preserve"> 京土整储挂(朝)[2021]006号</t>
  </si>
  <si>
    <t xml:space="preserve"> 北京城建投资发展股份有限公司 、招商局地产(北京)有限公司 、五矿盛世广业(北京)有限公司  </t>
  </si>
  <si>
    <t xml:space="preserve"> 城建发展,五矿地产</t>
  </si>
  <si>
    <t>北京市朝阳区金盏乡小店村3005-08地块R2二类居住用地</t>
  </si>
  <si>
    <t>京土整储挂(朝)[2021]003号</t>
  </si>
  <si>
    <t xml:space="preserve"> 朝阳区金盏乡</t>
  </si>
  <si>
    <t xml:space="preserve"> ≤1.3</t>
  </si>
  <si>
    <t xml:space="preserve"> ≤18米</t>
  </si>
  <si>
    <t xml:space="preserve"> 京土整储挂(朝)[2021]003号</t>
  </si>
  <si>
    <t xml:space="preserve"> 北京璞北管理咨询有限公司  </t>
  </si>
  <si>
    <t>北京市朝阳区东坝北东南一期土地储备项目1104-612西侧地块R2二类居住用地</t>
  </si>
  <si>
    <t>京土整储挂(朝)[2021]010号</t>
  </si>
  <si>
    <t xml:space="preserve"> 朝阳区东坝乡</t>
  </si>
  <si>
    <t xml:space="preserve"> 京土整储挂(朝)[2021]010号</t>
  </si>
  <si>
    <t xml:space="preserve"> 中冶置业集团有限公司 、宁波雨航企业管理合伙企业(有限合伙)  </t>
  </si>
  <si>
    <t xml:space="preserve"> 中冶置业</t>
  </si>
  <si>
    <t>北京市大兴区大兴新城核心区H组团DX00-0106-001a、001b地块R2二类居住用地、A334基础教育用地</t>
  </si>
  <si>
    <t>京土整储挂(兴)[2021]030号</t>
  </si>
  <si>
    <t xml:space="preserve"> 林校路街道</t>
  </si>
  <si>
    <t xml:space="preserve"> 大兴新城核心区</t>
  </si>
  <si>
    <t xml:space="preserve"> 60米,12米</t>
  </si>
  <si>
    <t xml:space="preserve"> 限房价,限地价,竞配建,报高标准商品住宅建设方案</t>
  </si>
  <si>
    <t xml:space="preserve"> 限房价,限地价,竞配建</t>
  </si>
  <si>
    <t xml:space="preserve"> 京土整储挂(兴)[2021]030号</t>
  </si>
  <si>
    <t>北京市大兴区旧宫镇DX05-0102-6101、6102、YZ00-0801-0015、0016地块B4综合性商业金融服务业用地、U17邮政设施用地、R2二类居住用地(配建“公共租赁住房”)国有建设用地使用权出让</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</si>
  <si>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</si>
  <si>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</si>
  <si>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</si>
  <si>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</si>
  <si>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</si>
  <si>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</si>
  <si>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京土整储挂(开)[2021]31号</t>
  </si>
  <si>
    <t xml:space="preserve"> 北京住总房地产开发有限责任公司 、北京首都开发股份有限公司  </t>
  </si>
  <si>
    <t>北京市怀柔区刘各长村棚户区改造土地开发项目HR00-0101-6049、6200、6201、6202、6203地块R2二类居住用地等</t>
  </si>
  <si>
    <t>京土整储挂(怀)[2021]027号</t>
  </si>
  <si>
    <t xml:space="preserve"> 怀北、怀柔</t>
  </si>
  <si>
    <t xml:space="preserve"> 怀柔区怀柔镇刘各长村</t>
  </si>
  <si>
    <t xml:space="preserve"> ≤1.83</t>
  </si>
  <si>
    <t xml:space="preserve"> 京土整储挂(怀)[2021]027号</t>
  </si>
  <si>
    <t xml:space="preserve"> 北京天恒正同资产管理有限公司 、青岛越星房地产开发有限公司  </t>
  </si>
  <si>
    <t xml:space="preserve"> 天恒房地产,越秀地产</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</si>
  <si>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</si>
  <si>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</si>
  <si>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</si>
  <si>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</si>
  <si>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限地价,竞配建,报高标准商品住宅建设方案</t>
  </si>
  <si>
    <t xml:space="preserve"> 限地价,竞配建</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</si>
  <si>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</si>
  <si>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</si>
  <si>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</si>
  <si>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</si>
  <si>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北京市门头沟区永定镇冯村、何各庄MC00-0013-0077、MC00-0013-0081、MC00-0013-0087等地块R2二类居住用地、S4社会停车场用地</t>
  </si>
  <si>
    <t>京土整储挂(门)[2021]025号</t>
  </si>
  <si>
    <t xml:space="preserve"> ≤1.1</t>
  </si>
  <si>
    <t xml:space="preserve"> R2二类居住用地、S4社会停车场用地</t>
  </si>
  <si>
    <t xml:space="preserve"> R2≤30%,F3≤35%</t>
  </si>
  <si>
    <t xml:space="preserve"> 15米,12米</t>
  </si>
  <si>
    <t xml:space="preserve"> 京土整储挂(门)[2021]025号</t>
  </si>
  <si>
    <t xml:space="preserve"> 北京雅盛房地产开发有限公司  </t>
  </si>
  <si>
    <t xml:space="preserve"> 雅居乐集团</t>
  </si>
  <si>
    <t>北京市丰台区长辛店镇张家坟村15-1、21-5地块R2二类居住用地</t>
  </si>
  <si>
    <t>京土整储挂(丰)[2021]015号</t>
  </si>
  <si>
    <t xml:space="preserve"> 长辛店</t>
  </si>
  <si>
    <t xml:space="preserve"> 丰台区长辛店镇张家坟村</t>
  </si>
  <si>
    <t xml:space="preserve"> ≤25%</t>
  </si>
  <si>
    <t xml:space="preserve"> 限地价,限房价,报高标准商品住宅建设方案</t>
  </si>
  <si>
    <t xml:space="preserve"> 京土整储挂(丰)[2021]015号</t>
  </si>
  <si>
    <t xml:space="preserve"> 天津城茂置业有限公司  </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</si>
  <si>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</si>
  <si>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</si>
  <si>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</si>
  <si>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</si>
  <si>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</si>
  <si>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北京市延庆区南菜园1-5巷棚户区改造项目YQ00-0007-0002地块R2二类居住用地</t>
  </si>
  <si>
    <t>京土整储挂(延)[2021]028号</t>
  </si>
  <si>
    <t xml:space="preserve"> 延庆新城07街区</t>
  </si>
  <si>
    <t xml:space="preserve"> r2≤1.9</t>
  </si>
  <si>
    <t xml:space="preserve"> ≤30米</t>
  </si>
  <si>
    <t xml:space="preserve"> 京土整储挂(延)[2021]028号</t>
  </si>
  <si>
    <t xml:space="preserve"> 北京住总房地产开发有限责任公司  </t>
  </si>
  <si>
    <t xml:space="preserve"> 北京住总集团</t>
  </si>
  <si>
    <t>北京市朝阳区王四营乡土地一级开发项目一期1304-L02、L05地块R2二类居住用地、A334托幼用地</t>
  </si>
  <si>
    <t>京土整储挂(朝)[2021]005号</t>
  </si>
  <si>
    <t xml:space="preserve"> R2≤45米(局部60米);A334≤16米</t>
  </si>
  <si>
    <t xml:space="preserve"> 京土整储挂(朝)[2021]005号</t>
  </si>
  <si>
    <t xml:space="preserve"> 北京顺义新城建设开发有限公司  </t>
  </si>
  <si>
    <t xml:space="preserve"> 绿发投资集团</t>
  </si>
  <si>
    <t>北京市大兴区榆垡镇中心区DX09-0102-0027、0044地块R2二类居住用地</t>
  </si>
  <si>
    <t>京土整储挂(兴)[2021]018号</t>
  </si>
  <si>
    <t xml:space="preserve"> 榆垡</t>
  </si>
  <si>
    <t xml:space="preserve"> 大兴区榆垡镇</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</si>
  <si>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</si>
  <si>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</si>
  <si>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</si>
  <si>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</si>
  <si>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</si>
  <si>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</si>
  <si>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</si>
  <si>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</si>
  <si>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</si>
  <si>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</si>
  <si>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</si>
  <si>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</si>
  <si>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</si>
  <si>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旭辉集团,卓越集团,首开股份</t>
  </si>
  <si>
    <t xml:space="preserve"> 民营企业,民营企业,地方国有企业</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</si>
  <si>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</si>
  <si>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</si>
  <si>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</si>
  <si>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</si>
  <si>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80米,16米</t>
  </si>
  <si>
    <t xml:space="preserve"> 京土整储挂(石)[2021]016号</t>
  </si>
  <si>
    <t xml:space="preserve"> 北京西斯马管理咨询有限公司 、北京石泰鸿业置业有限公司  </t>
  </si>
  <si>
    <t xml:space="preserve"> 北京石泰集团有限公司,陕建地产集团</t>
  </si>
  <si>
    <t>北京市顺义新城第23街区新国展三期项目(原22街区南部)22-02-007-1、22-02-007-2地块R2二类居住用地</t>
  </si>
  <si>
    <t>京土整储挂(顺)[2020]062号</t>
  </si>
  <si>
    <t xml:space="preserve"> 顺义新城第23街区</t>
  </si>
  <si>
    <t xml:space="preserve"> ≤35%</t>
  </si>
  <si>
    <t xml:space="preserve"> 限地价,竞自持,竞配建</t>
  </si>
  <si>
    <t xml:space="preserve"> 京土整储挂(顺)[2020]062号</t>
  </si>
  <si>
    <t xml:space="preserve"> 北京润置商业运营管理有限公司 、保利(北京)房地产开发有限公司  </t>
  </si>
  <si>
    <t xml:space="preserve"> 保利发展,华润置地</t>
  </si>
  <si>
    <t>2021-02-01 15:00</t>
  </si>
  <si>
    <t>北京市顺义区顺义新城第13街区SY00-0013-6055、6056地块二类居住用地</t>
  </si>
  <si>
    <t>京土整储挂(顺)[2020]054号</t>
  </si>
  <si>
    <t xml:space="preserve"> 顺义区新城第13街区</t>
  </si>
  <si>
    <t xml:space="preserve"> 二类居住用地</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</si>
  <si>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</si>
  <si>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</si>
  <si>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</si>
  <si>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</si>
  <si>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</si>
  <si>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</si>
  <si>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北京市大兴区旧宫镇南郊农场棚户区改造项目DX05-0200-0037、0038、6002等地块R2二类居住用地</t>
  </si>
  <si>
    <t>京土整储挂(开)【2020】056号</t>
  </si>
  <si>
    <t xml:space="preserve"> 旧宫</t>
  </si>
  <si>
    <t xml:space="preserve"> 京土整储挂(开)【2020】056号</t>
  </si>
  <si>
    <t xml:space="preserve"> 北京盛宏辰悦房地产开发有限公司  </t>
  </si>
  <si>
    <t xml:space="preserve"> 合生创展</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</si>
  <si>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</si>
  <si>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</si>
  <si>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</si>
  <si>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</si>
  <si>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</si>
  <si>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</si>
  <si>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</si>
  <si>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</si>
  <si>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</si>
  <si>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</si>
  <si>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</si>
  <si>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</si>
  <si>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FS00-LX04-0087、FS00-LX04-0093、FS00-LX04-0085≤30%;FS00-LX04-0092≤40%</t>
  </si>
  <si>
    <t xml:space="preserve"> FS00-LX04-0087、FS00-LX04-0093、FS00-LX04-0092≤18米;FS00-LX04-0085≤12米</t>
  </si>
  <si>
    <t xml:space="preserve"> 京土整储挂(房)[2020]052号</t>
  </si>
  <si>
    <t xml:space="preserve"> 北京鑫汇房地产开发有限公司  </t>
  </si>
  <si>
    <t>2021-01-12 15:00</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</si>
  <si>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</si>
  <si>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</si>
  <si>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</si>
  <si>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</si>
  <si>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1604-666≤16;1604-667、1604-663≤18;1604-678、1604-676≤24</t>
  </si>
  <si>
    <t xml:space="preserve"> 京土整储挂(石)[2020]050号</t>
  </si>
  <si>
    <t xml:space="preserve"> 北京远景中安置业有限公司  </t>
  </si>
  <si>
    <t xml:space="preserve"> 远洋集团</t>
  </si>
  <si>
    <t>2020-12-29 15:00</t>
  </si>
  <si>
    <t>北京市大兴区黄村镇狼垡地区集体产业用地2号地DX00-1002-L06地块</t>
  </si>
  <si>
    <t>京土集使挂(兴)[2020]001号</t>
  </si>
  <si>
    <t xml:space="preserve"> 黄村北</t>
  </si>
  <si>
    <t xml:space="preserve"> 东至区界,西至芦花路,南至横三路,北至横四路</t>
  </si>
  <si>
    <t xml:space="preserve"> F81绿隔产业用地</t>
  </si>
  <si>
    <t xml:space="preserve"> 京土集使挂(兴)[2020]001号</t>
  </si>
  <si>
    <t xml:space="preserve"> 北京兴业恒盛置业有限公司  </t>
  </si>
  <si>
    <t xml:space="preserve"> 北京兴业利民置业</t>
  </si>
  <si>
    <t>2020-12-17 17:00</t>
  </si>
  <si>
    <t xml:space="preserve"> 50年</t>
  </si>
  <si>
    <t>北京市石景山区北辛安棚户区改造B区土地开发项目1608-673-A地块二类居住用地</t>
  </si>
  <si>
    <t>京土整储挂(石)[2020]044号</t>
  </si>
  <si>
    <t xml:space="preserve"> 石景山区北辛安地区</t>
  </si>
  <si>
    <t xml:space="preserve"> ≤80米</t>
  </si>
  <si>
    <t xml:space="preserve"> 京土整储挂(石)[2020]044号</t>
  </si>
  <si>
    <t xml:space="preserve"> 北京鑫安兴业房地产开发有限公司  </t>
  </si>
  <si>
    <t>2021-01-13 15:00</t>
  </si>
  <si>
    <t>北京市朝阳区东坝北东南一期土地储备项目1104-611地块R2二类居住用地</t>
  </si>
  <si>
    <t>京土整储挂(朝)[2020]043号</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</si>
  <si>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</si>
  <si>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</si>
  <si>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</si>
  <si>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</si>
  <si>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</si>
  <si>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 xml:space="preserve"> 民营企业,地方国有企业,混合所有制</t>
  </si>
  <si>
    <t>2020-12-11 15:00</t>
  </si>
  <si>
    <t>北京市怀柔区怀柔新城08街区HR00-0008-6029等地块R2二类居住用地、B1商业用地、F3其他类多功能用地、A334基础教育用地、S4社会停车场用地</t>
  </si>
  <si>
    <t>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</si>
  <si>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</si>
  <si>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</si>
  <si>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</si>
  <si>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</si>
  <si>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B1≤40%;F3≤45%;R2,A334≤30%</t>
  </si>
  <si>
    <t xml:space="preserve"> B1≤18米;F3≤60米;A334≤12米</t>
  </si>
  <si>
    <t xml:space="preserve"> 京土整储挂(怀)[2020]041号</t>
  </si>
  <si>
    <t>2020-12-01 15:00</t>
  </si>
  <si>
    <t>北京市昌平区沙河镇七里渠南北村土地一级开发项目CP00-1804-0002地块R2二类居住用地、CP00-1804-0012地块F3其他类多功能用地</t>
  </si>
  <si>
    <t>京土整储挂(昌)[2020]040号</t>
  </si>
  <si>
    <t xml:space="preserve"> r2≤2.8,f3≤4.5</t>
  </si>
  <si>
    <t xml:space="preserve"> 限地价,限房价,竞自持,90/70</t>
  </si>
  <si>
    <t xml:space="preserve"> 京土整储挂(昌)[2020]040号</t>
  </si>
  <si>
    <t xml:space="preserve"> 北京中公未来教育科技有限公司  </t>
  </si>
  <si>
    <t xml:space="preserve"> 中公教育</t>
  </si>
  <si>
    <t>北京市平谷区王辛庄镇(二号地三期)PG00-0002-6006地块R2二类居住用地</t>
  </si>
  <si>
    <t>京土整储挂(平)[2020]036号</t>
  </si>
  <si>
    <t xml:space="preserve"> 王辛庄</t>
  </si>
  <si>
    <t xml:space="preserve"> 平谷区王辛庄镇</t>
  </si>
  <si>
    <t xml:space="preserve"> ≤2.35</t>
  </si>
  <si>
    <t xml:space="preserve"> ≤60米</t>
  </si>
  <si>
    <t xml:space="preserve"> 京土整储挂(平)[2020]036号</t>
  </si>
  <si>
    <t>2020-09-01 15:00</t>
  </si>
  <si>
    <t>北京市石景山区北辛安棚户区改造B区土地开发项目1608-658地块其他类多功能用地、1608-673-B地块二类居住用地、1608-676地块托幼用地</t>
  </si>
  <si>
    <t>京土整储挂(石)[2020]035号</t>
  </si>
  <si>
    <t xml:space="preserve"> r2≤2.8,多功能≤4.9,幼托≤0.8</t>
  </si>
  <si>
    <t xml:space="preserve"> 二类居住用地、其他类多功能用地</t>
  </si>
  <si>
    <t xml:space="preserve"> R2、多功能≤80米、幼托≤12米</t>
  </si>
  <si>
    <t xml:space="preserve"> 京土整储挂(石)[2020]035号</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</si>
  <si>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</si>
  <si>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</si>
  <si>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</si>
  <si>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</si>
  <si>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</si>
  <si>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</si>
  <si>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</si>
  <si>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</si>
  <si>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</si>
  <si>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</si>
  <si>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</si>
  <si>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</si>
  <si>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</si>
  <si>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</si>
  <si>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</si>
  <si>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</si>
  <si>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</si>
  <si>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</si>
  <si>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</si>
  <si>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</si>
  <si>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</si>
  <si>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</si>
  <si>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</si>
  <si>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</si>
  <si>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</si>
  <si>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</si>
  <si>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北京市怀柔区雁栖镇陈各庄村HR00-0010-6040地块R2二类居住用地</t>
  </si>
  <si>
    <t>京土整储挂(怀)[2020]031号</t>
  </si>
  <si>
    <t xml:space="preserve"> 怀柔区雁栖镇陈各庄村</t>
  </si>
  <si>
    <t xml:space="preserve"> 京土整储挂(怀)[2020]031号</t>
  </si>
  <si>
    <t xml:space="preserve"> 北京科控置地有限公司  </t>
  </si>
  <si>
    <t xml:space="preserve"> 北科建集团</t>
  </si>
  <si>
    <t>2020-08-14 15:00</t>
  </si>
  <si>
    <t>北京市门头沟区龙泉镇门头沟新城05街区MC00-0005-6002、6003、6010、6011、6007、6008、6012地块R2二类居住用地、S4社会停车场用地、A33基础教育用地</t>
  </si>
  <si>
    <t>京土整储招(门)[2020]030号</t>
  </si>
  <si>
    <t xml:space="preserve"> 龙泉</t>
  </si>
  <si>
    <t xml:space="preserve"> 门头沟区龙泉镇</t>
  </si>
  <si>
    <t xml:space="preserve"> r2≤1.4,a33≤0.8</t>
  </si>
  <si>
    <t xml:space="preserve"> R2二类居住用地、S4社会停车场用地、A33基础教育用地</t>
  </si>
  <si>
    <t xml:space="preserve"> R2≤36米,A33≤12米</t>
  </si>
  <si>
    <t xml:space="preserve"> 京土整储招(门)[2020]030号</t>
  </si>
  <si>
    <t xml:space="preserve"> 京能置业股份有限公司  </t>
  </si>
  <si>
    <t xml:space="preserve"> 京能置业</t>
  </si>
  <si>
    <t>北京经济技术开发区河西区X46R1、X46R2地块R2二类居住用地、A334托幼用地国有建设用地</t>
  </si>
  <si>
    <t>京土整储挂(开)[2020]028号</t>
  </si>
  <si>
    <t xml:space="preserve"> 北京经济技术开发区河西区X46R1、X46R2地块</t>
  </si>
  <si>
    <t xml:space="preserve"> r2≤2.5,a33≤0.8</t>
  </si>
  <si>
    <t xml:space="preserve"> R2≤80米,A33≤18米</t>
  </si>
  <si>
    <t xml:space="preserve"> 京土整储挂(开)[2020]028号</t>
  </si>
  <si>
    <t>2020-07-31 15:00</t>
  </si>
  <si>
    <t>北京市丰台区卢沟桥大瓦窑DWY-L33等地块(大瓦窑新村项目一期)二类居住、基础教育及绿隔产业用地</t>
  </si>
  <si>
    <t>京土整储挂(丰)[2020]027号</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</si>
  <si>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</si>
  <si>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</si>
  <si>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</si>
  <si>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R2≤80米,A33、F81≤18米</t>
  </si>
  <si>
    <t xml:space="preserve"> 京土整储挂(丰)[2020]027号</t>
  </si>
  <si>
    <t xml:space="preserve"> 北京远东新地置业有限公司 、北京城建投资发展股份有限公司联合体  </t>
  </si>
  <si>
    <t xml:space="preserve"> 远洋集团,城建发展</t>
  </si>
  <si>
    <t xml:space="preserve"> 混合所有制,地方国有企业</t>
  </si>
  <si>
    <t>2020-07-21 15:00</t>
  </si>
  <si>
    <t>北京市丰台区卢沟桥大瓦窑DWY-L39等地块(大瓦窑馨城项目)二类居住、基础教育及绿隔产业用地</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</si>
  <si>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</si>
  <si>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</si>
  <si>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</si>
  <si>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</si>
  <si>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</si>
  <si>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</si>
  <si>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</si>
  <si>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</si>
  <si>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北京市通州区永顺镇运通人和良园二期项目FZX-0604-6002、FZX-0604-6006地块R2二类居住用地、A334托幼用地</t>
  </si>
  <si>
    <t>京土整储挂(通)[2020]023号</t>
  </si>
  <si>
    <t xml:space="preserve"> r2≤2.2,a33≤0.8</t>
  </si>
  <si>
    <t xml:space="preserve"> R2≤36米,A33≤16米</t>
  </si>
  <si>
    <t xml:space="preserve"> 竞自持,限地价,报高标准商品住宅建设方案</t>
  </si>
  <si>
    <t xml:space="preserve"> 京土整储挂(通)[2020]023号</t>
  </si>
  <si>
    <t xml:space="preserve"> 北京古城房地产开发有限公司 、北京通州投资发展有限公司 、北京春江房地产经纪有限责任公司  </t>
  </si>
  <si>
    <t xml:space="preserve"> 石榴集团</t>
  </si>
  <si>
    <t>2020-07-13 15:00</t>
  </si>
  <si>
    <t>北京市门头沟区新城04街区MC00-0004-6022地块R2二类居住用地</t>
  </si>
  <si>
    <t>京土整储挂(门)[2020]024号</t>
  </si>
  <si>
    <t xml:space="preserve"> 京土整储挂(门)[2020]024号</t>
  </si>
  <si>
    <t xml:space="preserve"> 北京鼎泰佳业房地产开发有限公司  </t>
  </si>
  <si>
    <t xml:space="preserve"> 佳兆业集团</t>
  </si>
  <si>
    <t>北京市房山区轨道交通房山线稻田站02-5-09地块R2二类居住用地</t>
  </si>
  <si>
    <t>京土整储挂(房)[2020]025号</t>
  </si>
  <si>
    <t xml:space="preserve"> ≤2.4</t>
  </si>
  <si>
    <t xml:space="preserve"> 京土整储挂(房)[2020]025号</t>
  </si>
  <si>
    <t>北京市门头沟区永定镇南区MC00-0015-6057、MC00-0015-0090等地块R2二类居住用地</t>
  </si>
  <si>
    <t>京土整储挂(门)[2020]022号</t>
  </si>
  <si>
    <t xml:space="preserve"> 6057地块≤1.5,0097地块≤1.4</t>
  </si>
  <si>
    <t xml:space="preserve"> 京土整储挂(门)[2020]022号</t>
  </si>
  <si>
    <t xml:space="preserve"> 中建方程投资发展集团有限公司 、中建信和地产有限公司联合体  </t>
  </si>
  <si>
    <t xml:space="preserve"> 中建信和地产</t>
  </si>
  <si>
    <t>2020-06-09 15:00</t>
  </si>
  <si>
    <t>北京市丰台区南苑乡分钟寺村L-39地块R2二类居住用地</t>
  </si>
  <si>
    <t>京土整储挂(丰)[2020]019号</t>
  </si>
  <si>
    <t xml:space="preserve"> 刘家窑、大红门</t>
  </si>
  <si>
    <t xml:space="preserve"> 丰台区南苑乡分钟寺村</t>
  </si>
  <si>
    <t xml:space="preserve"> 京土整储挂(丰)[2020]019号</t>
  </si>
  <si>
    <t xml:space="preserve"> 北京合昕辰锐企业管理有限公司  </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</si>
  <si>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</si>
  <si>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</si>
  <si>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</si>
  <si>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</si>
  <si>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</si>
  <si>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北京市房山区拱辰街道办事处FS00-LX05-0046、0056地块R2二类居住用地</t>
  </si>
  <si>
    <t>京土整储挂(房)[2020]018号</t>
  </si>
  <si>
    <t xml:space="preserve"> 京土整储挂(房)[2020]018号</t>
  </si>
  <si>
    <t xml:space="preserve"> 中建一局集团房地产开发有限公司 、北京市城投嘉业房地产开发有限责任公司联合体  </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</si>
  <si>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</si>
  <si>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</si>
  <si>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</si>
  <si>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</si>
  <si>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限价商品房</t>
  </si>
  <si>
    <t xml:space="preserve"> 京土棚改招(平)[2020]001号</t>
  </si>
  <si>
    <t xml:space="preserve"> 北京城谷恒泰房地产开发有限公司  </t>
  </si>
  <si>
    <t>2020-04-15 15:30</t>
  </si>
  <si>
    <t xml:space="preserve"> 居住70年,商业40年,综合50年</t>
  </si>
  <si>
    <t>北京市朝阳区东坝乡东风村1104-613地块R2二类居住用地、1104-614地块A33基础教育用地</t>
  </si>
  <si>
    <t>京土整储挂(朝)[2020]015号</t>
  </si>
  <si>
    <t xml:space="preserve"> r2≤2.8,a33≤0.8</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</si>
  <si>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</si>
  <si>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</si>
  <si>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</si>
  <si>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</si>
  <si>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</si>
  <si>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 xml:space="preserve"> 混合所有制,民营企业,地方国有企业</t>
  </si>
  <si>
    <t>2020-05-14 15:00</t>
  </si>
  <si>
    <t>北京市大兴区采育镇01-0129地块R2二类居住用地、01-0115地块R53托幼用地</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</si>
  <si>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</si>
  <si>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</si>
  <si>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</si>
  <si>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</si>
  <si>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</si>
  <si>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</si>
  <si>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</si>
  <si>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</si>
  <si>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自持住宅要求</t>
    <phoneticPr fontId="30" type="noConversion"/>
  </si>
  <si>
    <t>有</t>
    <phoneticPr fontId="30" type="noConversion"/>
  </si>
  <si>
    <t>无</t>
    <phoneticPr fontId="30" type="noConversion"/>
  </si>
  <si>
    <t>有</t>
    <phoneticPr fontId="30" type="noConversion"/>
  </si>
  <si>
    <t>无</t>
    <phoneticPr fontId="30" type="noConversion"/>
  </si>
  <si>
    <t>北京市丰台区南苑街道城乡一体化槐房村和新宫村旧村改造项目NY-011B地块R2二类居住用地</t>
    <phoneticPr fontId="134" type="noConversion"/>
  </si>
  <si>
    <t>北京市丰台区大红门街道大红门一期A区棚户区改造项目FT00-0516-0004地块R2二类居住用地</t>
    <phoneticPr fontId="134" type="noConversion"/>
  </si>
  <si>
    <t>北京市丰台区大红门街道大红门一期A区棚户区改造项目FT00-0516-0008地块R2二类居住用地</t>
    <phoneticPr fontId="134" type="noConversion"/>
  </si>
  <si>
    <t>指导价</t>
    <phoneticPr fontId="134" type="noConversion"/>
  </si>
  <si>
    <t>建发·璟院</t>
    <phoneticPr fontId="134" type="noConversion"/>
  </si>
  <si>
    <t>中海和瑞叁號院</t>
    <phoneticPr fontId="134" type="noConversion"/>
  </si>
  <si>
    <t>永定金茂府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</si>
</sst>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269" fillId="0" borderId="0" xfId="19">
      <alignment vertical="center"/>
    </xf>
    <xf numFmtId="0" fontId="0" fillId="0" borderId="0" xfId="0" applyNumberFormat="1" applyAlignment="1"/>
    <xf numFmtId="14" fontId="0" fillId="0" borderId="0" xfId="0" applyNumberFormat="1" applyAlignment="1"/>
    <xf numFmtId="0" fontId="95" fillId="5" borderId="0" xfId="0" applyNumberFormat="1" applyFont="1" applyFill="1" applyAlignment="1"/>
    <xf numFmtId="0" fontId="0" fillId="5" borderId="0" xfId="0" applyNumberFormat="1" applyFill="1" applyAlignment="1"/>
    <xf numFmtId="14" fontId="0" fillId="5" borderId="0" xfId="0" applyNumberFormat="1" applyFill="1" applyAlignment="1"/>
    <xf numFmtId="0" fontId="0" fillId="5"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Font="1" applyFill="1">
      <alignment vertical="center"/>
    </xf>
    <xf numFmtId="0" fontId="95" fillId="0" borderId="0" xfId="0" applyNumberFormat="1" applyFon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237239</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5239" cy="5685715"/>
        </a:xfrm>
        <a:prstGeom prst="rect">
          <a:avLst/>
        </a:prstGeom>
      </xdr:spPr>
    </xdr:pic>
    <xdr:clientData/>
  </xdr:twoCellAnchor>
  <xdr:twoCellAnchor editAs="oneCell">
    <xdr:from>
      <xdr:col>0</xdr:col>
      <xdr:colOff>0</xdr:colOff>
      <xdr:row>36</xdr:row>
      <xdr:rowOff>0</xdr:rowOff>
    </xdr:from>
    <xdr:to>
      <xdr:col>10</xdr:col>
      <xdr:colOff>608667</xdr:colOff>
      <xdr:row>59</xdr:row>
      <xdr:rowOff>94746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7466667" cy="4038096"/>
        </a:xfrm>
        <a:prstGeom prst="rect">
          <a:avLst/>
        </a:prstGeom>
      </xdr:spPr>
    </xdr:pic>
    <xdr:clientData/>
  </xdr:twoCellAnchor>
  <xdr:twoCellAnchor editAs="oneCell">
    <xdr:from>
      <xdr:col>0</xdr:col>
      <xdr:colOff>0</xdr:colOff>
      <xdr:row>75</xdr:row>
      <xdr:rowOff>133350</xdr:rowOff>
    </xdr:from>
    <xdr:to>
      <xdr:col>9</xdr:col>
      <xdr:colOff>494467</xdr:colOff>
      <xdr:row>79</xdr:row>
      <xdr:rowOff>123741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92100"/>
          <a:ext cx="6666667" cy="676191"/>
        </a:xfrm>
        <a:prstGeom prst="rect">
          <a:avLst/>
        </a:prstGeom>
      </xdr:spPr>
    </xdr:pic>
    <xdr:clientData/>
  </xdr:twoCellAnchor>
  <xdr:twoCellAnchor editAs="oneCell">
    <xdr:from>
      <xdr:col>0</xdr:col>
      <xdr:colOff>0</xdr:colOff>
      <xdr:row>62</xdr:row>
      <xdr:rowOff>0</xdr:rowOff>
    </xdr:from>
    <xdr:to>
      <xdr:col>11</xdr:col>
      <xdr:colOff>0</xdr:colOff>
      <xdr:row>72</xdr:row>
      <xdr:rowOff>41573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7543800" cy="1756073"/>
        </a:xfrm>
        <a:prstGeom prst="rect">
          <a:avLst/>
        </a:prstGeom>
      </xdr:spPr>
    </xdr:pic>
    <xdr:clientData/>
  </xdr:twoCellAnchor>
  <xdr:twoCellAnchor editAs="oneCell">
    <xdr:from>
      <xdr:col>0</xdr:col>
      <xdr:colOff>0</xdr:colOff>
      <xdr:row>80</xdr:row>
      <xdr:rowOff>152400</xdr:rowOff>
    </xdr:from>
    <xdr:to>
      <xdr:col>10</xdr:col>
      <xdr:colOff>75334</xdr:colOff>
      <xdr:row>84</xdr:row>
      <xdr:rowOff>161838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68400"/>
          <a:ext cx="6933334" cy="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151</xdr:row>
      <xdr:rowOff>95250</xdr:rowOff>
    </xdr:from>
    <xdr:to>
      <xdr:col>11</xdr:col>
      <xdr:colOff>265432</xdr:colOff>
      <xdr:row>194</xdr:row>
      <xdr:rowOff>56234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81350"/>
          <a:ext cx="10152382" cy="7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www.beijing.gov.cn/zhengce/zhengcefagui/201905/t20190522_60112.html"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估价对象为房地产，为所有。根据《国有土地使用证》[]，估价对象（分摊）出让国有建设用地使用权面积为0平方米，建筑面积为62411.33平方米。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估价对象为房地产,属开发建设的，该项目尚在开发建设中。根据《国有土地使用证》[]，估价对象（分摊）出让国有建设用地使用权面积为0平方米，规划建筑面积为62411.33平方米。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2023年3月16日</v>
      </c>
    </row>
    <row r="13" spans="1:2" s="1203" customFormat="1">
      <c r="A13" s="1201" t="s">
        <v>529</v>
      </c>
      <c r="B13" s="1202" t="str">
        <f>'预评函-1'!A18</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62411.33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45001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33.78</v>
      </c>
      <c r="D7" s="3025">
        <f>IF(ISERROR(ROUND(POWER(1+E7,A7-C7)*(POWER(1+E7,C7)-1)/(POWER(1+E7,A7)-1),3)),0,ROUND(POWER(1+E7,A7-C7)*(POWER(1+E7,C7)-1)/(POWER(1+E7,A7)-1),4))</f>
        <v>0.78449999999999998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45001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0" t="s">
        <v>2177</v>
      </c>
      <c r="E8" s="2391"/>
      <c r="F8" s="2392"/>
      <c r="G8" s="2663"/>
      <c r="H8" s="2663"/>
      <c r="I8" s="2663"/>
      <c r="J8" s="2439"/>
      <c r="K8" s="2614"/>
      <c r="L8" s="2613"/>
      <c r="M8" s="2613"/>
      <c r="N8" s="2439"/>
      <c r="O8" s="2450"/>
      <c r="P8" s="2439"/>
      <c r="Q8" s="2439"/>
      <c r="R8" s="2439"/>
    </row>
    <row r="9" spans="1:30" ht="13.5" thickBot="1">
      <c r="A9" s="2393" t="s">
        <v>2178</v>
      </c>
      <c r="B9" s="2394"/>
      <c r="C9" s="2395"/>
      <c r="D9" s="3511"/>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v>68524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64.44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62411.33</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202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62411.33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62411.33</v>
      </c>
      <c r="H5" s="13">
        <f t="shared" ref="H5:AT5" si="0">SUM(H13:H656)</f>
        <v>62411.33</v>
      </c>
      <c r="I5" s="13">
        <f t="shared" si="0"/>
        <v>62411.33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62411.33</v>
      </c>
      <c r="BA5" s="15">
        <f t="shared" si="1"/>
        <v>62411.33</v>
      </c>
      <c r="BB5" s="15">
        <f t="shared" si="1"/>
        <v>62411.33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03"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3383</v>
      </c>
      <c r="D13" s="1625" t="s">
        <v>3379</v>
      </c>
      <c r="E13" s="13">
        <f>IF($C$3="是",ROUND($A$3*G13/$B$3,2),ROUND($A$3*(G13-AT13)/$B$3,2))</f>
        <v>0</v>
      </c>
      <c r="F13" s="29"/>
      <c r="G13" s="30">
        <f>H13+AC13+AT13</f>
        <v>62411.33</v>
      </c>
      <c r="H13" s="17">
        <f>SUMIF(I$12:AB$12,"总值",I13:AB13)</f>
        <v>62411.33</v>
      </c>
      <c r="I13" s="1626">
        <v>62411.33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自持住宅</v>
      </c>
      <c r="AY13" s="1349">
        <f>ROUND($AY$6*AZ13/$AZ$5,2)</f>
        <v>0</v>
      </c>
      <c r="AZ13" s="13">
        <f>BA13+BL13</f>
        <v>62411.33</v>
      </c>
      <c r="BA13" s="13">
        <f>SUM(BB13:BK13)</f>
        <v>62411.33</v>
      </c>
      <c r="BB13" s="13">
        <f>IF($D13="是",I13-J13,0)</f>
        <v>62411.33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3379</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t="s">
        <v>3379</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62411.33</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62411.33</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f>191446/62649.871</f>
        <v>3.0558083671074119</v>
      </c>
      <c r="J7" s="2659"/>
      <c r="K7" s="3451" t="s">
        <v>3385</v>
      </c>
      <c r="L7" s="2659"/>
      <c r="M7" s="2659"/>
      <c r="N7" s="2659"/>
      <c r="O7" s="2659"/>
      <c r="P7" s="2659"/>
    </row>
    <row r="8" spans="1:16">
      <c r="A8" s="44" t="s">
        <v>1116</v>
      </c>
      <c r="B8" s="47" t="s">
        <v>1117</v>
      </c>
      <c r="C8" s="45" t="s">
        <v>1118</v>
      </c>
      <c r="D8" s="45">
        <f t="shared" ref="D8:D15" si="0">ROUND($D$3*E8/$E$3,2)</f>
        <v>0</v>
      </c>
      <c r="E8" s="48">
        <f>SUMIF('数据-基础表'!BB10:BK10,"地上",'数据-基础表'!BB5:BK5)</f>
        <v>62411.33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62411.33</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62411.33</v>
      </c>
      <c r="F19" s="2795">
        <f>'数据-基础表'!I13</f>
        <v>62411.33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62411.33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62411.33</v>
      </c>
      <c r="F27" s="1140">
        <f>IF(SUM(F19:F26)=E8,SUM(F19:F26),"地上面积有误")</f>
        <v>62411.33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62411.33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62411.33</v>
      </c>
      <c r="F31" s="677">
        <f>F27+F30</f>
        <v>62411.33</v>
      </c>
      <c r="G31" s="678">
        <f>G27+G30</f>
        <v>0</v>
      </c>
      <c r="H31" s="2659"/>
      <c r="I31" s="2659"/>
      <c r="J31" s="2659"/>
      <c r="K31" s="2659"/>
      <c r="L31" s="2659"/>
      <c r="M31" s="2659"/>
      <c r="N31" s="2659"/>
      <c r="O31" s="2659"/>
      <c r="P31" s="2659"/>
    </row>
    <row r="32" spans="1:19">
      <c r="A32" s="1643"/>
      <c r="B32" s="1643" t="s">
        <v>1159</v>
      </c>
      <c r="C32" s="1643"/>
      <c r="D32" s="1643"/>
      <c r="E32" s="1053">
        <f>SUMIF(C19:C26,"*住宅*",E19:E26)</f>
        <v>62411.33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AN26" sqref="AN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自持住宅</v>
      </c>
      <c r="B6" s="1713" t="str">
        <f>IF(A6=0,"","经营性")</f>
        <v>经营性</v>
      </c>
      <c r="C6" s="1714" t="s">
        <v>3381</v>
      </c>
      <c r="D6" s="858">
        <f>SUMIF(项目基本情况!C$12:I$12,C6,项目基本情况!C$14:I$14)</f>
        <v>70</v>
      </c>
      <c r="E6" s="857">
        <f>IF(B6="","",SUMIF(项目基本情况!C$12:I$12,C6,项目基本情况!C$13:I$13))</f>
        <v>68524</v>
      </c>
      <c r="F6" s="64">
        <f>SUMIF(项目基本情况!C$12:I$12,C6,项目基本情况!C$15:I$15)</f>
        <v>64.44</v>
      </c>
      <c r="G6" s="65">
        <f>IF(ISERROR(ROUND(POWER(1+H6,D6-F6)*(POWER(1+H6,F6)-1)/(POWER(1+H6,D6)-1),3)),0,ROUND(POWER(1+H6,D6-F6)*(POWER(1+H6,F6)-1)/(POWER(1+H6,D6)-1),3))</f>
        <v>0.98899999999999999</v>
      </c>
      <c r="H6" s="732">
        <v>0.05</v>
      </c>
      <c r="I6" s="732">
        <v>5.5E-2</v>
      </c>
      <c r="J6" s="66">
        <v>7.4999999999999997E-2</v>
      </c>
      <c r="K6" s="1030">
        <f>SUMIF('数据-汇总表'!C$19:C$33,A6,'数据-汇总表'!E$19:E$33)</f>
        <v>62411.33</v>
      </c>
      <c r="L6" s="733">
        <v>6000</v>
      </c>
      <c r="M6" s="67">
        <f t="shared" ref="M6:M14" si="0">ROUND(K6*L6/10000,0)</f>
        <v>37447</v>
      </c>
      <c r="N6" s="731">
        <f>1-(2023-2021)/60</f>
        <v>0.96666666666666667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0.03</v>
      </c>
      <c r="W6" s="70">
        <v>0.1</v>
      </c>
      <c r="X6" s="1040"/>
      <c r="Y6" s="71">
        <f>N6</f>
        <v>0.96666666666666667</v>
      </c>
      <c r="Z6" s="72"/>
      <c r="AA6" s="66"/>
      <c r="AB6" s="66"/>
      <c r="AC6" s="1040"/>
      <c r="AD6" s="73"/>
      <c r="AE6" s="1041">
        <f ca="1">IF(AN6="",0,SUMIF(INDIRECT("'"&amp;AN6&amp;"'"&amp;"!E:E"),$AE$5,INDIRECT("'"&amp;AN6&amp;"'"&amp;"!F:F")))</f>
        <v>64.44</v>
      </c>
      <c r="AF6" s="1348"/>
      <c r="AG6" s="138">
        <f>IF(AF6="",0,AE6-AF6)</f>
        <v>0</v>
      </c>
      <c r="AH6" s="74"/>
      <c r="AI6" s="76">
        <v>365</v>
      </c>
      <c r="AJ6" s="77"/>
      <c r="AK6" s="78">
        <v>0.01</v>
      </c>
      <c r="AL6" s="79">
        <v>1E-3</v>
      </c>
      <c r="AM6" s="80">
        <v>0.01</v>
      </c>
      <c r="AN6" s="1715" t="s">
        <v>3387</v>
      </c>
      <c r="AO6" s="52">
        <f ca="1">SUMIF(INDIRECT("'"&amp;AN6&amp;"'"&amp;"!A:A"),"总价",INDIRECT("'"&amp;AN6&amp;"'"&amp;"!B:B"))</f>
        <v>244718</v>
      </c>
      <c r="AP6" s="1716">
        <f>IF(C6="住宅",K6*L6,0)</f>
        <v>374467980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0.98899999999999999</v>
      </c>
      <c r="H16" s="90">
        <f>ROUND(SUMPRODUCT(H6:H13,K6:K13)/SUMPRODUCT((H6:H13&gt;0)*(K6:K13)),3)</f>
        <v>0.05</v>
      </c>
      <c r="I16" s="91"/>
      <c r="J16" s="91"/>
      <c r="K16" s="92">
        <f>SUM(K6:K15)</f>
        <v>62411.33</v>
      </c>
      <c r="L16" s="93">
        <f>ROUND(M16*10000/SUM(K6:K14),0)</f>
        <v>6000</v>
      </c>
      <c r="M16" s="93">
        <f>SUM(M6:M14)</f>
        <v>37447</v>
      </c>
      <c r="N16" s="94">
        <f>ROUND(SUMPRODUCT(M6:M14,N6:N14)/M16,3)</f>
        <v>0.96699999999999997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999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45001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3400</v>
      </c>
      <c r="D4" s="1756" t="s">
        <v>3387</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4</v>
      </c>
      <c r="D14" s="3615">
        <v>6</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6" t="s">
        <v>2131</v>
      </c>
      <c r="F18" s="3647"/>
      <c r="G18" s="3647"/>
      <c r="H18" s="3647"/>
      <c r="I18" s="3647"/>
      <c r="K18" s="302" t="s">
        <v>1289</v>
      </c>
      <c r="L18" s="302">
        <f>IF(C1="",'数据-汇总表'!E3,SUMIF(项目类型,C1,'数据-汇总表'!E17:E26)+SUMIF(项目类型,C1,'数据-汇总表'!I17:I26))</f>
        <v>62411.33</v>
      </c>
      <c r="M18" s="302">
        <f>IF(C1="",'数据-汇总表'!E3,SUMIF(项目类型,C1,'数据-汇总表'!E17:E26))</f>
        <v>62411.33</v>
      </c>
    </row>
    <row r="19" spans="1:36" ht="15">
      <c r="A19" s="1761" t="s">
        <v>1290</v>
      </c>
      <c r="B19" s="1762" t="s">
        <v>1291</v>
      </c>
      <c r="C19" s="134">
        <f ca="1">SUMIF(INDIRECT("'"&amp;C4&amp;"'"&amp;"!A:A"),结果表!B19,INDIRECT("'"&amp;C4&amp;"'"&amp;"!B:B"))</f>
        <v>422331</v>
      </c>
      <c r="D19" s="135">
        <f ca="1">SUMIF(INDIRECT("'"&amp;D4&amp;"'"&amp;"!A:A"),结果表!B19,INDIRECT("'"&amp;D4&amp;"'"&amp;"!B:B"))</f>
        <v>244718</v>
      </c>
      <c r="E19" s="1761" t="s">
        <v>1292</v>
      </c>
      <c r="F19" s="1762" t="s">
        <v>1291</v>
      </c>
      <c r="G19" s="136">
        <f ca="1">ROUND(C19*$C$18+D19*$D$18,0)</f>
        <v>315763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67669</v>
      </c>
      <c r="D20" s="138">
        <f ca="1">SUMIF(INDIRECT("'"&amp;D4&amp;"'"&amp;"!A:A"),结果表!B20,INDIRECT("'"&amp;D4&amp;"'"&amp;"!B:B"))</f>
        <v>39211</v>
      </c>
      <c r="E20" s="1764"/>
      <c r="F20" s="1026" t="s">
        <v>1295</v>
      </c>
      <c r="G20" s="139">
        <f ca="1">ROUND(C20*$C$18+D20*$D$18,0)</f>
        <v>50594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0.72578641538423816</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50594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t="e">
        <f ca="1">ROUND(H101*F45,0)</f>
        <v>#REF!</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45001</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7" t="s">
        <v>1340</v>
      </c>
      <c r="L48" s="3557"/>
      <c r="M48" s="3560" t="e">
        <f ca="1">H101</f>
        <v>#REF!</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t="e">
        <f ca="1">ROUND(D45*'数据-取费表'!B41/(1+'数据-取费表'!C42),0)</f>
        <v>#REF!</v>
      </c>
      <c r="E52" s="2334" t="s">
        <v>1354</v>
      </c>
      <c r="F52" s="2554">
        <f>'数据-取费表'!B41</f>
        <v>5.6000000000000001E-2</v>
      </c>
      <c r="G52" s="2555"/>
      <c r="H52" s="2544"/>
      <c r="I52" s="1807"/>
      <c r="J52" s="2523">
        <v>1</v>
      </c>
      <c r="K52" s="3582" t="s">
        <v>1355</v>
      </c>
      <c r="L52" s="3582"/>
      <c r="M52" s="2525" t="b">
        <f>D48</f>
        <v>0</v>
      </c>
      <c r="N52" s="2523" t="str">
        <f>E48</f>
        <v>销售额×税（费）率</v>
      </c>
      <c r="O52" s="2526">
        <f>F48</f>
        <v>5.6000000000000001E-2</v>
      </c>
    </row>
    <row r="53" spans="1:35" ht="12" customHeight="1">
      <c r="A53" s="2335" t="s">
        <v>1356</v>
      </c>
      <c r="B53" s="3606" t="s">
        <v>2291</v>
      </c>
      <c r="C53" s="3607"/>
      <c r="D53" s="1087" t="e">
        <f ca="1">ROUND(D45*'数据-取费表'!B41/(1+'数据-取费表'!C42),0)</f>
        <v>#REF!</v>
      </c>
      <c r="E53" s="2334" t="s">
        <v>1354</v>
      </c>
      <c r="F53" s="2554">
        <f>'数据-取费表'!B41</f>
        <v>5.6000000000000001E-2</v>
      </c>
      <c r="G53" s="2555"/>
      <c r="H53" s="2544"/>
      <c r="I53" s="1807"/>
      <c r="J53" s="2523">
        <v>2</v>
      </c>
      <c r="K53" s="3582" t="s">
        <v>1357</v>
      </c>
      <c r="L53" s="3582"/>
      <c r="M53" s="2525" t="e">
        <f t="shared" ref="M53:O54" ca="1" si="0">D55</f>
        <v>#REF!</v>
      </c>
      <c r="N53" s="2523" t="str">
        <f t="shared" si="0"/>
        <v>销售额×税（费）率</v>
      </c>
      <c r="O53" s="2526" t="str">
        <f t="shared" si="0"/>
        <v>免征</v>
      </c>
    </row>
    <row r="54" spans="1:35" ht="12" customHeight="1">
      <c r="A54" s="2335" t="s">
        <v>1358</v>
      </c>
      <c r="B54" s="3606" t="s">
        <v>2292</v>
      </c>
      <c r="C54" s="3607"/>
      <c r="D54" s="1087" t="e">
        <f ca="1">C68</f>
        <v>#REF!</v>
      </c>
      <c r="E54" s="327" t="s">
        <v>1359</v>
      </c>
      <c r="F54" s="2554">
        <f>'数据-取费表'!B41</f>
        <v>5.6000000000000001E-2</v>
      </c>
      <c r="G54" s="2555"/>
      <c r="H54" s="2556"/>
      <c r="I54" s="1807"/>
      <c r="J54" s="2523">
        <v>3</v>
      </c>
      <c r="K54" s="3582" t="s">
        <v>1360</v>
      </c>
      <c r="L54" s="3582"/>
      <c r="M54" s="2525" t="e">
        <f t="shared" ca="1" si="0"/>
        <v>#REF!</v>
      </c>
      <c r="N54" s="2523" t="str">
        <f t="shared" si="0"/>
        <v>增值额×税（费）率</v>
      </c>
      <c r="O54" s="2527" t="str">
        <f t="shared" si="0"/>
        <v>免征</v>
      </c>
    </row>
    <row r="55" spans="1:35" ht="24" customHeight="1">
      <c r="A55" s="3642" t="s">
        <v>1361</v>
      </c>
      <c r="B55" s="3620"/>
      <c r="C55" s="3620"/>
      <c r="D55" s="2324" t="e">
        <f ca="1">IF(H55="个人住宅",0,ROUND(D45*I55,0))</f>
        <v>#REF!</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t="e">
        <f ca="1">D59</f>
        <v>#REF!</v>
      </c>
      <c r="N55" s="2040" t="str">
        <f>E59</f>
        <v>差额计税</v>
      </c>
      <c r="O55" s="2529">
        <f>F59</f>
        <v>0.01</v>
      </c>
    </row>
    <row r="56" spans="1:35" ht="24.75">
      <c r="A56" s="3642" t="s">
        <v>1363</v>
      </c>
      <c r="B56" s="3620"/>
      <c r="C56" s="3620"/>
      <c r="D56" s="2324" t="e">
        <f ca="1">IF(H56="个人住宅",D57,D58)</f>
        <v>#REF!</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0</v>
      </c>
      <c r="O57" s="2533"/>
      <c r="P57" s="2690" t="e">
        <f ca="1">N57/M49</f>
        <v>#VALUE!</v>
      </c>
    </row>
    <row r="58" spans="1:35" ht="24.75">
      <c r="A58" s="2335" t="s">
        <v>1352</v>
      </c>
      <c r="B58" s="3606" t="s">
        <v>1369</v>
      </c>
      <c r="C58" s="3605"/>
      <c r="D58" s="2324" t="e">
        <f ca="1">IF(H58="转让取得",C81,C97)</f>
        <v>#REF!</v>
      </c>
      <c r="E58" s="2334" t="s">
        <v>1364</v>
      </c>
      <c r="F58" s="302" t="s">
        <v>28</v>
      </c>
      <c r="G58" s="2555"/>
      <c r="H58" s="2558"/>
      <c r="I58" s="1808"/>
      <c r="J58" s="3582"/>
      <c r="K58" s="3582"/>
      <c r="L58" s="2530" t="s">
        <v>1370</v>
      </c>
      <c r="M58" s="2534"/>
      <c r="N58" s="2535" t="str">
        <f ca="1">NUMBERSTRING(INT(N57*10000),2)&amp;"元整"</f>
        <v>零元整</v>
      </c>
      <c r="O58" s="2536"/>
    </row>
    <row r="59" spans="1:35" ht="24.75" thickBot="1">
      <c r="A59" s="3586" t="s">
        <v>1371</v>
      </c>
      <c r="B59" s="3587"/>
      <c r="C59" s="358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t="e">
        <f ca="1">M49-N57</f>
        <v>#VALUE!</v>
      </c>
      <c r="O59" s="2539"/>
    </row>
    <row r="60" spans="1:35" ht="12" customHeight="1">
      <c r="A60" s="1809"/>
      <c r="B60" s="1747"/>
      <c r="C60" s="1747"/>
      <c r="D60" s="1747"/>
      <c r="E60" s="1578"/>
      <c r="F60" s="1808"/>
      <c r="G60" s="1808"/>
      <c r="H60" s="1810"/>
      <c r="I60" s="129"/>
      <c r="J60" s="3585"/>
      <c r="K60" s="3582"/>
      <c r="L60" s="2530" t="s">
        <v>1370</v>
      </c>
      <c r="M60" s="2534"/>
      <c r="N60" s="2535" t="e">
        <f ca="1">NUMBERSTRING(INT(N59*10000),2)&amp;"元整"</f>
        <v>#VALUE!</v>
      </c>
      <c r="O60" s="2536"/>
    </row>
    <row r="61" spans="1:35" ht="13.5" thickBot="1">
      <c r="A61" s="3641" t="s">
        <v>1373</v>
      </c>
      <c r="B61" s="3641"/>
      <c r="C61" s="3641"/>
      <c r="D61" s="3641"/>
      <c r="E61" s="3641"/>
      <c r="F61" s="1808"/>
      <c r="G61" s="1808"/>
      <c r="H61" s="1810"/>
      <c r="I61" s="129"/>
      <c r="J61" s="2523">
        <f>J59+1</f>
        <v>7</v>
      </c>
      <c r="K61" s="3582" t="s">
        <v>1374</v>
      </c>
      <c r="L61" s="3582"/>
      <c r="M61" s="2540"/>
      <c r="N61" s="2541" t="e">
        <f ca="1">ROUND(N59*10000/'数据-汇总表'!E3,0)</f>
        <v>#VALUE!</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6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成本法</v>
      </c>
      <c r="D101" s="2586" t="str">
        <f>D4</f>
        <v>收益法</v>
      </c>
      <c r="E101" s="3561" t="s">
        <v>1431</v>
      </c>
      <c r="F101" s="3562"/>
      <c r="G101" s="1827" t="s">
        <v>1432</v>
      </c>
      <c r="H101" s="2595" t="e">
        <f ca="1">H118</f>
        <v>#REF!</v>
      </c>
      <c r="I101" s="129"/>
    </row>
    <row r="102" spans="1:35" ht="18.75" customHeight="1">
      <c r="A102" s="3593" t="s">
        <v>1433</v>
      </c>
      <c r="B102" s="2584" t="s">
        <v>1432</v>
      </c>
      <c r="C102" s="2585">
        <f ca="1">IF(D32="楼面单价",ROUND(C19,0),C19)</f>
        <v>422331</v>
      </c>
      <c r="D102" s="2586">
        <f ca="1">IF(D32="楼面单价",ROUND(D19,0),D19)</f>
        <v>244718</v>
      </c>
      <c r="E102" s="3561"/>
      <c r="F102" s="3562"/>
      <c r="G102" s="1827" t="s">
        <v>1434</v>
      </c>
      <c r="H102" s="2555" t="e">
        <f ca="1">I118</f>
        <v>#REF!</v>
      </c>
      <c r="I102" s="129"/>
    </row>
    <row r="103" spans="1:35" ht="42.75" customHeight="1">
      <c r="A103" s="3593"/>
      <c r="B103" s="2584" t="s">
        <v>1434</v>
      </c>
      <c r="C103" s="2587">
        <f ca="1">C20</f>
        <v>67669</v>
      </c>
      <c r="D103" s="2588">
        <f ca="1">D20</f>
        <v>39211</v>
      </c>
      <c r="E103" s="3554" t="s">
        <v>1435</v>
      </c>
      <c r="F103" s="3555"/>
      <c r="G103" s="1828" t="s">
        <v>1436</v>
      </c>
      <c r="H103" s="2595">
        <f>IF(D36="正常操作",H104+H105+H106,H105+H106)</f>
        <v>0</v>
      </c>
      <c r="I103" s="129"/>
    </row>
    <row r="104" spans="1:35" ht="18.75" customHeight="1">
      <c r="A104" s="359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t="e">
        <f ca="1">IF(E107="——","——",H101-H103)</f>
        <v>#REF!</v>
      </c>
      <c r="I107" s="129"/>
    </row>
    <row r="108" spans="1:35" ht="18.75" customHeight="1">
      <c r="A108" s="129"/>
      <c r="B108" s="129"/>
      <c r="C108" s="129"/>
      <c r="D108" s="129"/>
      <c r="E108" s="3594"/>
      <c r="F108" s="3562"/>
      <c r="G108" s="1827" t="s">
        <v>1434</v>
      </c>
      <c r="H108" s="2555">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房地产</v>
      </c>
      <c r="B118" s="2329">
        <f>M18</f>
        <v>62411.33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9" t="s">
        <v>1452</v>
      </c>
      <c r="B119" s="3569"/>
      <c r="C119" s="3569"/>
      <c r="D119" s="3575" t="e">
        <f ca="1">NUMBERSTRING(INT(D118*10000),2)&amp;"元整"</f>
        <v>#REF!</v>
      </c>
      <c r="E119" s="3576"/>
      <c r="F119" s="3575" t="e">
        <f ca="1">NUMBERSTRING(INT(F118*10000),2)&amp;"元整"</f>
        <v>#REF!</v>
      </c>
      <c r="G119" s="3576"/>
      <c r="H119" s="3575" t="e">
        <f ca="1">NUMBERSTRING(INT(H118*10000),2)&amp;"元整"</f>
        <v>#REF!</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t="e">
        <f ca="1">H107</f>
        <v>#REF!</v>
      </c>
      <c r="E122" s="3571"/>
      <c r="F122" s="3571"/>
      <c r="G122" s="3571"/>
      <c r="H122" s="3571"/>
      <c r="I122" s="3572"/>
      <c r="AA122" s="725"/>
    </row>
    <row r="123" spans="1:27" ht="18.75" customHeight="1">
      <c r="A123" s="3569" t="s">
        <v>1452</v>
      </c>
      <c r="B123" s="3569"/>
      <c r="C123" s="3569"/>
      <c r="D123" s="3575" t="e">
        <f ca="1">NUMBERSTRING(INT(D122*10000),2)&amp;"元整"</f>
        <v>#REF!</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422331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67669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262657</v>
      </c>
      <c r="D5" s="211" t="s">
        <v>1469</v>
      </c>
      <c r="E5" s="212" t="s">
        <v>1470</v>
      </c>
      <c r="F5" s="212" t="s">
        <v>1471</v>
      </c>
      <c r="G5" s="213"/>
    </row>
    <row r="6" spans="1:9" s="214" customFormat="1" ht="13.5" customHeight="1">
      <c r="A6" s="778" t="s">
        <v>1472</v>
      </c>
      <c r="B6" s="215" t="s">
        <v>1473</v>
      </c>
      <c r="C6" s="216">
        <f>'土地比较法-住宅、综合'!B2</f>
        <v>253914</v>
      </c>
      <c r="D6" s="217"/>
      <c r="E6" s="218"/>
      <c r="F6" s="218"/>
      <c r="G6" s="219"/>
    </row>
    <row r="7" spans="1:9" s="214" customFormat="1" ht="13.5" customHeight="1">
      <c r="A7" s="778" t="s">
        <v>1474</v>
      </c>
      <c r="B7" s="215" t="s">
        <v>1475</v>
      </c>
      <c r="C7" s="220">
        <f>ROUND(C6*F7,0)</f>
        <v>7744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999</v>
      </c>
      <c r="D8" s="222"/>
      <c r="E8" s="220"/>
      <c r="F8" s="221"/>
      <c r="G8" s="1856" t="s">
        <v>3397</v>
      </c>
    </row>
    <row r="9" spans="1:9" s="214" customFormat="1" ht="13.5" customHeight="1">
      <c r="A9" s="779" t="s">
        <v>355</v>
      </c>
      <c r="B9" s="224" t="s">
        <v>1478</v>
      </c>
      <c r="C9" s="225">
        <f ca="1">ROUND(D9*E9/10000,0)</f>
        <v>999</v>
      </c>
      <c r="D9" s="845">
        <f ca="1">IF(B1="",'数据-汇总表'!E5,IF(INDIRECT("'数据-取费表'!c"&amp;$G$1)="住宅",INDIRECT("'数据-取费表'!k"&amp;$G$1),0))</f>
        <v>62411.33</v>
      </c>
      <c r="E9" s="225">
        <f>'数据-取费表'!B27</f>
        <v>160</v>
      </c>
      <c r="F9" s="221"/>
      <c r="G9" s="1857" t="s">
        <v>3395</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62411.33</v>
      </c>
      <c r="E19" s="211">
        <f>'数据-取费表'!B31</f>
        <v>200</v>
      </c>
      <c r="F19" s="231"/>
      <c r="G19" s="1856" t="s">
        <v>3396</v>
      </c>
    </row>
    <row r="20" spans="1:7" s="214" customFormat="1" ht="13.5" customHeight="1">
      <c r="A20" s="255" t="s">
        <v>1493</v>
      </c>
      <c r="B20" s="210" t="s">
        <v>1494</v>
      </c>
      <c r="C20" s="232">
        <f ca="1">ROUND((C5+C19)*F20,0)</f>
        <v>5253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28379</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28105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274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40187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40187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364665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44874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37447</v>
      </c>
      <c r="D34" s="217"/>
      <c r="E34" s="220"/>
      <c r="F34" s="257">
        <f ca="1">IF('数据-取费表'!B24=0,1,IF(B1="",'数据-取费表'!N16,INDIRECT("'数据-取费表'!n"&amp;$G$1)))</f>
        <v>1</v>
      </c>
      <c r="G34" s="219" t="s">
        <v>1526</v>
      </c>
    </row>
    <row r="35" spans="1:7" ht="13.5" customHeight="1">
      <c r="A35" s="780" t="s">
        <v>351</v>
      </c>
      <c r="B35" s="215" t="s">
        <v>1527</v>
      </c>
      <c r="C35" s="220">
        <f ca="1">ROUND(C34*F35,0)</f>
        <v>1872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3745</v>
      </c>
      <c r="D36" s="220"/>
      <c r="E36" s="220"/>
      <c r="F36" s="259">
        <f>'数据-取费表'!B34</f>
        <v>0.1</v>
      </c>
      <c r="G36" s="260" t="s">
        <v>1530</v>
      </c>
    </row>
    <row r="37" spans="1:7" s="258" customFormat="1" ht="13.5" customHeight="1">
      <c r="A37" s="780" t="s">
        <v>353</v>
      </c>
      <c r="B37" s="215" t="s">
        <v>1531</v>
      </c>
      <c r="C37" s="249">
        <f ca="1">ROUND(E37*D37*F34/10000,0)</f>
        <v>1248</v>
      </c>
      <c r="D37" s="217">
        <f ca="1">D19</f>
        <v>62411.33</v>
      </c>
      <c r="E37" s="249">
        <f>'数据-取费表'!B35</f>
        <v>200</v>
      </c>
      <c r="F37" s="259"/>
      <c r="G37" s="261" t="s">
        <v>1532</v>
      </c>
    </row>
    <row r="38" spans="1:7" ht="13.5" customHeight="1">
      <c r="A38" s="780" t="s">
        <v>354</v>
      </c>
      <c r="B38" s="215" t="s">
        <v>1533</v>
      </c>
      <c r="C38" s="220">
        <f ca="1">ROUND(C34*F38,0)</f>
        <v>562</v>
      </c>
      <c r="D38" s="220"/>
      <c r="E38" s="220"/>
      <c r="F38" s="259">
        <f>'数据-取费表'!B36</f>
        <v>1.4999999999999999E-2</v>
      </c>
      <c r="G38" s="219" t="s">
        <v>1528</v>
      </c>
    </row>
    <row r="39" spans="1:7" s="214" customFormat="1" ht="13.5" customHeight="1">
      <c r="A39" s="255" t="s">
        <v>1534</v>
      </c>
      <c r="B39" s="210" t="s">
        <v>1535</v>
      </c>
      <c r="C39" s="232">
        <f ca="1">ROUND(C33*F20,0)</f>
        <v>897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2387</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2340</v>
      </c>
      <c r="D42" s="238"/>
      <c r="E42" s="238"/>
      <c r="F42" s="239"/>
      <c r="G42" s="3648" t="s">
        <v>1544</v>
      </c>
    </row>
    <row r="43" spans="1:7" ht="13.5" customHeight="1">
      <c r="A43" s="780" t="s">
        <v>347</v>
      </c>
      <c r="B43" s="215" t="s">
        <v>1545</v>
      </c>
      <c r="C43" s="238">
        <f ca="1">ROUND(IF('数据-取费表'!B22&lt;=1,C39*F22*'数据-取费表'!B21/2,C39*(POWER((1+F22),'数据-取费表'!B21/2)-1)),0)</f>
        <v>47</v>
      </c>
      <c r="D43" s="238"/>
      <c r="E43" s="238"/>
      <c r="F43" s="239"/>
      <c r="G43" s="3649"/>
    </row>
    <row r="44" spans="1:7" ht="13.5" customHeight="1">
      <c r="A44" s="780" t="s">
        <v>348</v>
      </c>
      <c r="B44" s="215" t="s">
        <v>1546</v>
      </c>
      <c r="C44" s="238">
        <f ca="1">ROUND(IF('数据-取费表'!B22&lt;=1,C40*F22*'数据-取费表'!B21/2,C40*(POWER((1+F22),'数据-取费表'!B21/2)-1)),4)</f>
        <v>1E-3</v>
      </c>
      <c r="D44" s="238"/>
      <c r="E44" s="238"/>
      <c r="F44" s="239"/>
      <c r="G44" s="3650"/>
    </row>
    <row r="45" spans="1:7" s="214" customFormat="1" ht="13.5" customHeight="1">
      <c r="A45" s="255" t="s">
        <v>1547</v>
      </c>
      <c r="B45" s="244" t="s">
        <v>1513</v>
      </c>
      <c r="C45" s="245">
        <f ca="1">C46</f>
        <v>6866</v>
      </c>
      <c r="D45" s="235">
        <f ca="1">C47</f>
        <v>3.0000000000000001E-3</v>
      </c>
      <c r="E45" s="236" t="s">
        <v>1539</v>
      </c>
      <c r="F45" s="246">
        <f ca="1">F27</f>
        <v>0.15</v>
      </c>
      <c r="G45" s="247" t="s">
        <v>1548</v>
      </c>
    </row>
    <row r="46" spans="1:7" s="214" customFormat="1" ht="13.5" customHeight="1">
      <c r="A46" s="780" t="s">
        <v>346</v>
      </c>
      <c r="B46" s="248" t="s">
        <v>1549</v>
      </c>
      <c r="C46" s="249">
        <f ca="1">ROUND((C33+C39)*F27,0)</f>
        <v>6866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59634</v>
      </c>
      <c r="D49" s="232"/>
      <c r="E49" s="232"/>
      <c r="F49" s="264"/>
      <c r="G49" s="234" t="s">
        <v>1554</v>
      </c>
    </row>
    <row r="50" spans="1:7" s="258" customFormat="1" ht="24">
      <c r="A50" s="255" t="s">
        <v>1555</v>
      </c>
      <c r="B50" s="210" t="s">
        <v>1556</v>
      </c>
      <c r="C50" s="232"/>
      <c r="D50" s="232"/>
      <c r="E50" s="232"/>
      <c r="F50" s="264">
        <f>IF('数据-取费表'!B24=0,'数据-取费表'!N16,1)</f>
        <v>0.96699999999999997</v>
      </c>
      <c r="G50" s="247" t="s">
        <v>1557</v>
      </c>
    </row>
    <row r="51" spans="1:7" ht="16.5" customHeight="1">
      <c r="A51" s="255" t="s">
        <v>1558</v>
      </c>
      <c r="B51" s="210" t="s">
        <v>1559</v>
      </c>
      <c r="C51" s="232">
        <f ca="1">ROUND(C49*F50,0)</f>
        <v>57666</v>
      </c>
      <c r="D51" s="232"/>
      <c r="E51" s="232"/>
      <c r="F51" s="264"/>
      <c r="G51" s="234" t="s">
        <v>1560</v>
      </c>
    </row>
    <row r="52" spans="1:7" s="208" customFormat="1" ht="16.5" thickBot="1">
      <c r="A52" s="265" t="s">
        <v>1561</v>
      </c>
      <c r="B52" s="266"/>
      <c r="C52" s="267">
        <f ca="1">C31+C51</f>
        <v>422331</v>
      </c>
      <c r="D52" s="266"/>
      <c r="E52" s="266"/>
      <c r="F52" s="266"/>
      <c r="G52" s="268"/>
    </row>
    <row r="55" spans="1:7" ht="15">
      <c r="B55" s="270" t="s">
        <v>1562</v>
      </c>
      <c r="C55" s="271"/>
    </row>
    <row r="56" spans="1:7">
      <c r="B56" s="273" t="s">
        <v>802</v>
      </c>
      <c r="C56" s="275">
        <f ca="1">1-C57</f>
        <v>0.86299999999999999</v>
      </c>
    </row>
    <row r="57" spans="1:7">
      <c r="B57" s="273" t="s">
        <v>803</v>
      </c>
      <c r="C57" s="274">
        <f ca="1">ROUND(C51/C52,3)</f>
        <v>0.13700000000000001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60784.614300000001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9739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9985813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9985813</v>
      </c>
      <c r="D8" s="222"/>
      <c r="E8" s="220"/>
      <c r="F8" s="221"/>
      <c r="G8" s="1856"/>
    </row>
    <row r="9" spans="1:8" s="214" customFormat="1" ht="13.5" customHeight="1">
      <c r="A9" s="779" t="s">
        <v>355</v>
      </c>
      <c r="B9" s="224" t="s">
        <v>1478</v>
      </c>
      <c r="C9" s="225">
        <f ca="1">ROUND(D9*E9,0)</f>
        <v>9985813</v>
      </c>
      <c r="D9" s="845">
        <f ca="1">IF(B1="",'数据-汇总表'!E5,IF(INDIRECT("'数据-取费表'!c"&amp;$G$1)="住宅",INDIRECT("'数据-取费表'!k"&amp;$G$1),0))</f>
        <v>62411.33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12482266</v>
      </c>
      <c r="D19" s="849">
        <f ca="1">D9+D10</f>
        <v>62411.33</v>
      </c>
      <c r="E19" s="211">
        <f>'数据-取费表'!B31</f>
        <v>200</v>
      </c>
      <c r="F19" s="231"/>
      <c r="G19" s="1856"/>
    </row>
    <row r="20" spans="1:7" s="214" customFormat="1" ht="13.5" customHeight="1">
      <c r="A20" s="255" t="s">
        <v>1574</v>
      </c>
      <c r="B20" s="210" t="s">
        <v>1575</v>
      </c>
      <c r="C20" s="232">
        <f ca="1">ROUND((C5+C19)*F20,0)</f>
        <v>449362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2427546</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1068496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1335620</v>
      </c>
      <c r="D24" s="238"/>
      <c r="E24" s="238"/>
      <c r="F24" s="239"/>
      <c r="G24" s="240" t="s">
        <v>1586</v>
      </c>
    </row>
    <row r="25" spans="1:7" s="214" customFormat="1" ht="24">
      <c r="A25" s="780" t="s">
        <v>1476</v>
      </c>
      <c r="B25" s="215" t="s">
        <v>1587</v>
      </c>
      <c r="C25" s="1128">
        <f ca="1">ROUND(IF('数据-取费表'!B22&lt;=1,C20*F22*'数据-取费表'!B22/2,C20*(POWER((1+F22),'数据-取费表'!B22/2)-1)),0)</f>
        <v>23430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3437616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3437616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31193891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448737463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374467980</v>
      </c>
      <c r="D34" s="217"/>
      <c r="E34" s="220"/>
      <c r="F34" s="257"/>
      <c r="G34" s="219"/>
    </row>
    <row r="35" spans="1:7" ht="13.5" customHeight="1">
      <c r="A35" s="780" t="s">
        <v>351</v>
      </c>
      <c r="B35" s="215" t="s">
        <v>1527</v>
      </c>
      <c r="C35" s="220">
        <f ca="1">ROUND(C34*F35,0)</f>
        <v>18723399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37446798</v>
      </c>
      <c r="D36" s="220"/>
      <c r="E36" s="220"/>
      <c r="F36" s="259">
        <f>'数据-取费表'!B34</f>
        <v>0.1</v>
      </c>
      <c r="G36" s="260" t="s">
        <v>1530</v>
      </c>
    </row>
    <row r="37" spans="1:7" s="258" customFormat="1" ht="13.5" customHeight="1">
      <c r="A37" s="780" t="s">
        <v>353</v>
      </c>
      <c r="B37" s="215" t="s">
        <v>1531</v>
      </c>
      <c r="C37" s="249">
        <f ca="1">ROUND(E37*D37,0)</f>
        <v>12482266</v>
      </c>
      <c r="D37" s="217">
        <f ca="1">D19</f>
        <v>62411.33</v>
      </c>
      <c r="E37" s="249">
        <f>'数据-取费表'!B35</f>
        <v>200</v>
      </c>
      <c r="F37" s="259"/>
      <c r="G37" s="261"/>
    </row>
    <row r="38" spans="1:7" ht="13.5" customHeight="1">
      <c r="A38" s="780" t="s">
        <v>354</v>
      </c>
      <c r="B38" s="215" t="s">
        <v>1533</v>
      </c>
      <c r="C38" s="220">
        <f ca="1">ROUND(C34*F38,0)</f>
        <v>5617020</v>
      </c>
      <c r="D38" s="220"/>
      <c r="E38" s="220"/>
      <c r="F38" s="259">
        <f>'数据-取费表'!B36</f>
        <v>1.4999999999999999E-2</v>
      </c>
      <c r="G38" s="219" t="s">
        <v>1528</v>
      </c>
    </row>
    <row r="39" spans="1:7" s="214" customFormat="1" ht="13.5" customHeight="1">
      <c r="A39" s="255" t="s">
        <v>1534</v>
      </c>
      <c r="B39" s="210" t="s">
        <v>1535</v>
      </c>
      <c r="C39" s="232">
        <f ca="1">ROUND(C33*F20,0)</f>
        <v>8974749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23865737</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23397781</v>
      </c>
      <c r="D42" s="238"/>
      <c r="E42" s="238"/>
      <c r="F42" s="239"/>
      <c r="G42" s="3648" t="s">
        <v>1591</v>
      </c>
    </row>
    <row r="43" spans="1:7" ht="13.5" customHeight="1">
      <c r="A43" s="780" t="s">
        <v>347</v>
      </c>
      <c r="B43" s="215" t="s">
        <v>1545</v>
      </c>
      <c r="C43" s="238">
        <f ca="1">ROUND(IF('数据-取费表'!B22&lt;=1,C39*F22*'数据-取费表'!B20/2,C39*(POWER((1+F22),'数据-取费表'!B20/2)-1)),0)</f>
        <v>467956</v>
      </c>
      <c r="D43" s="238"/>
      <c r="E43" s="238"/>
      <c r="F43" s="239"/>
      <c r="G43" s="3649"/>
    </row>
    <row r="44" spans="1:7" ht="13.5" customHeight="1">
      <c r="A44" s="780" t="s">
        <v>348</v>
      </c>
      <c r="B44" s="215" t="s">
        <v>1546</v>
      </c>
      <c r="C44" s="238">
        <f ca="1">ROUND(IF('数据-取费表'!B22&lt;=1,C40*F22*'数据-取费表'!B20/2,C40*(POWER((1+F22),'数据-取费表'!B20/2)-1)),4)</f>
        <v>1E-3</v>
      </c>
      <c r="D44" s="238"/>
      <c r="E44" s="238"/>
      <c r="F44" s="239"/>
      <c r="G44" s="3650"/>
    </row>
    <row r="45" spans="1:7" s="214" customFormat="1" ht="13.5" customHeight="1">
      <c r="A45" s="255" t="s">
        <v>1547</v>
      </c>
      <c r="B45" s="244" t="s">
        <v>1513</v>
      </c>
      <c r="C45" s="245">
        <f ca="1">C46</f>
        <v>68656832</v>
      </c>
      <c r="D45" s="235">
        <f ca="1">C47</f>
        <v>3.0000000000000001E-3</v>
      </c>
      <c r="E45" s="236" t="s">
        <v>1539</v>
      </c>
      <c r="F45" s="246">
        <f ca="1">F27</f>
        <v>0.15</v>
      </c>
      <c r="G45" s="247" t="s">
        <v>1548</v>
      </c>
    </row>
    <row r="46" spans="1:7" s="214" customFormat="1" ht="13.5" customHeight="1">
      <c r="A46" s="780" t="s">
        <v>346</v>
      </c>
      <c r="B46" s="248" t="s">
        <v>1549</v>
      </c>
      <c r="C46" s="249">
        <f ca="1">ROUND((C33+C39)*F27,0)</f>
        <v>68656832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596331181</v>
      </c>
      <c r="D49" s="232"/>
      <c r="E49" s="232"/>
      <c r="F49" s="264"/>
      <c r="G49" s="234" t="s">
        <v>1554</v>
      </c>
    </row>
    <row r="50" spans="1:7" s="258" customFormat="1">
      <c r="A50" s="255" t="s">
        <v>1555</v>
      </c>
      <c r="B50" s="210" t="s">
        <v>1556</v>
      </c>
      <c r="C50" s="232"/>
      <c r="D50" s="232"/>
      <c r="E50" s="232"/>
      <c r="F50" s="264">
        <f>IF('数据-取费表'!B24=0,'数据-取费表'!N16,1)</f>
        <v>0.96699999999999997</v>
      </c>
      <c r="G50" s="247"/>
    </row>
    <row r="51" spans="1:7" ht="16.5" customHeight="1">
      <c r="A51" s="255" t="s">
        <v>1558</v>
      </c>
      <c r="B51" s="210" t="s">
        <v>1593</v>
      </c>
      <c r="C51" s="232">
        <f ca="1">ROUND(C49*F50,0)</f>
        <v>576652252</v>
      </c>
      <c r="D51" s="232"/>
      <c r="E51" s="232"/>
      <c r="F51" s="264"/>
      <c r="G51" s="234" t="s">
        <v>1560</v>
      </c>
    </row>
    <row r="52" spans="1:7" s="208" customFormat="1" ht="16.5" thickBot="1">
      <c r="A52" s="265" t="s">
        <v>1561</v>
      </c>
      <c r="B52" s="266"/>
      <c r="C52" s="267">
        <f ca="1">C31+C51</f>
        <v>607846143</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62411.33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62411.33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999</v>
      </c>
      <c r="D19" s="846">
        <f ca="1">IF(C1="",'数据-汇总表'!E5,IF(INDIRECT("'数据-取费表'!c"&amp;$K$1)="住宅",INDIRECT("'数据-取费表'!k"&amp;$K$1),0))</f>
        <v>62411.33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64.44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244718</v>
      </c>
      <c r="C2" s="1387" t="s">
        <v>805</v>
      </c>
      <c r="D2" s="1387"/>
      <c r="E2" s="1388"/>
      <c r="F2" s="1389"/>
      <c r="G2" s="2706"/>
      <c r="H2" s="2695"/>
      <c r="I2" s="2695"/>
      <c r="J2" s="2695"/>
      <c r="K2" s="2696"/>
      <c r="L2" s="2695"/>
      <c r="M2" s="2695"/>
    </row>
    <row r="3" spans="1:37" ht="18" customHeight="1" thickBot="1">
      <c r="A3" s="1390" t="s">
        <v>806</v>
      </c>
      <c r="B3" s="1391">
        <f ca="1">IF(ISERROR(B2*10000/F43),0,ROUND(B2*10000/F43,0))</f>
        <v>39211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10251</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10251</v>
      </c>
      <c r="D6" s="155" t="s">
        <v>2109</v>
      </c>
      <c r="E6" s="302" t="s">
        <v>696</v>
      </c>
      <c r="F6" s="303">
        <f ca="1">INDIRECT("'数据-取费表'!u"&amp;$G$1)</f>
        <v>5</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62411.33</v>
      </c>
      <c r="G7" s="1384"/>
      <c r="H7" s="304"/>
      <c r="I7" s="3654"/>
      <c r="J7" s="306"/>
      <c r="K7" s="307"/>
      <c r="L7" s="302" t="s">
        <v>697</v>
      </c>
      <c r="M7" s="303">
        <f ca="1">F7</f>
        <v>62411.33</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57646</v>
      </c>
      <c r="D13" s="1081" t="s">
        <v>705</v>
      </c>
      <c r="E13" s="1081" t="s">
        <v>706</v>
      </c>
      <c r="F13" s="1082">
        <f ca="1">INDIRECT("'数据-取费表'!y"&amp;$G$1)</f>
        <v>0.96666666666666667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37447</v>
      </c>
      <c r="D14" s="1345" t="s">
        <v>708</v>
      </c>
      <c r="E14" s="1342"/>
      <c r="F14" s="319"/>
      <c r="G14" s="1384"/>
      <c r="H14" s="982" t="s">
        <v>398</v>
      </c>
      <c r="I14" s="302" t="s">
        <v>709</v>
      </c>
      <c r="J14" s="21">
        <f ca="1">C29</f>
        <v>59634</v>
      </c>
      <c r="K14" s="12"/>
      <c r="L14" s="807"/>
      <c r="M14" s="808"/>
    </row>
    <row r="15" spans="1:37" s="1397" customFormat="1" ht="18" customHeight="1" thickBot="1">
      <c r="A15" s="982" t="s">
        <v>399</v>
      </c>
      <c r="B15" s="302" t="s">
        <v>710</v>
      </c>
      <c r="C15" s="21">
        <f ca="1">ROUND(C14*F15,0)</f>
        <v>1872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3745</v>
      </c>
      <c r="D16" s="302" t="s">
        <v>711</v>
      </c>
      <c r="E16" s="302" t="s">
        <v>712</v>
      </c>
      <c r="F16" s="322">
        <f ca="1">IF(INDIRECT("'数据-取费表'!c"&amp;$G$1)="住宅",'数据-取费表'!B34,0)</f>
        <v>0.1</v>
      </c>
      <c r="G16" s="1384"/>
      <c r="H16" s="1079" t="s">
        <v>393</v>
      </c>
      <c r="I16" s="1080" t="s">
        <v>714</v>
      </c>
      <c r="J16" s="310">
        <f ca="1">ROUND(J17+J22+J23+J24,0)</f>
        <v>596</v>
      </c>
      <c r="K16" s="1087" t="s">
        <v>715</v>
      </c>
      <c r="L16" s="1088"/>
      <c r="M16" s="1072"/>
    </row>
    <row r="17" spans="1:37" s="1397" customFormat="1" ht="18" customHeight="1">
      <c r="A17" s="982" t="s">
        <v>681</v>
      </c>
      <c r="B17" s="302" t="s">
        <v>716</v>
      </c>
      <c r="C17" s="21">
        <f ca="1">ROUND(F17*(F43+INDIRECT("'数据-取费表'!S"&amp;$G$1))/10000,0)</f>
        <v>1248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44874</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897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596.34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2387</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-596</v>
      </c>
      <c r="K25" s="1095" t="s">
        <v>753</v>
      </c>
      <c r="L25" s="1096"/>
      <c r="M25" s="1097"/>
    </row>
    <row r="26" spans="1:37">
      <c r="A26" s="982" t="s">
        <v>397</v>
      </c>
      <c r="B26" s="302" t="s">
        <v>754</v>
      </c>
      <c r="C26" s="21">
        <f ca="1">ROUND((C19+C20)*F26,0)</f>
        <v>6866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59634</v>
      </c>
      <c r="D29" s="1092"/>
      <c r="E29" s="1090"/>
      <c r="F29" s="1093"/>
      <c r="G29" s="1396"/>
      <c r="H29" s="334" t="s">
        <v>396</v>
      </c>
      <c r="I29" s="335" t="s">
        <v>768</v>
      </c>
      <c r="J29" s="336">
        <f ca="1">ROUND(J26/(1+F40)^F41,0)</f>
        <v>0</v>
      </c>
      <c r="K29" s="337" t="s">
        <v>769</v>
      </c>
      <c r="L29" s="338"/>
      <c r="M29" s="339">
        <f ca="1">INDIRECT("'数据-取费表'!k"&amp;$G$1)</f>
        <v>62411.33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2475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1718.26</v>
      </c>
      <c r="D31" s="1345" t="s">
        <v>720</v>
      </c>
      <c r="E31" s="1344" t="s">
        <v>770</v>
      </c>
      <c r="F31" s="2315">
        <f ca="1">IF(项目基本情况!B11="企业","——",IF(M47="住宅",IF(F6*F7*F8/12/(1+'数据-取费表'!F30)&gt;100000,4%,2.5%),IF(F6*F7*F8/12/(1+'数据-取费表'!F30)&gt;100000,12%,7%)))</f>
        <v>0.04</v>
      </c>
      <c r="G31" s="1384"/>
      <c r="H31" s="2808" t="s">
        <v>2310</v>
      </c>
      <c r="I31" s="1398"/>
      <c r="J31" s="1399"/>
      <c r="K31" s="2475"/>
      <c r="L31" s="2698"/>
      <c r="M31" s="2699"/>
    </row>
    <row r="32" spans="1:37" ht="18" customHeight="1">
      <c r="A32" s="982" t="s">
        <v>397</v>
      </c>
      <c r="B32" s="302" t="s">
        <v>723</v>
      </c>
      <c r="C32" s="21">
        <f ca="1">IF(项目基本情况!B11="自然人","——",ROUND(C6*F32/(1+'数据-取费表'!C42),2))</f>
        <v>546.72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1171.54</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596.34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57.65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102.51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7776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244718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64.44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39211</v>
      </c>
      <c r="D43" s="337" t="s">
        <v>777</v>
      </c>
      <c r="E43" s="338" t="s">
        <v>778</v>
      </c>
      <c r="F43" s="339">
        <f ca="1">INDIRECT("'数据-取费表'!k"&amp;$G$1)</f>
        <v>62411.33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-256231</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70</v>
      </c>
      <c r="M47" s="1380" t="str">
        <f>IF(ISNUMBER(FIND("住宅",C1)),"住宅","非住宅")</f>
        <v>住宅</v>
      </c>
      <c r="O47" s="1418" t="s">
        <v>403</v>
      </c>
      <c r="P47" s="1419" t="s">
        <v>817</v>
      </c>
      <c r="Q47" s="1420">
        <f ca="1">C40+J29</f>
        <v>244718</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64.44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2021</v>
      </c>
      <c r="K49" s="1423" t="s">
        <v>824</v>
      </c>
      <c r="L49" s="1427"/>
      <c r="O49" s="1428" t="s">
        <v>405</v>
      </c>
      <c r="P49" s="1419" t="s">
        <v>825</v>
      </c>
      <c r="Q49" s="1420">
        <f ca="1">C29</f>
        <v>59634</v>
      </c>
      <c r="R49" s="1420" t="s">
        <v>818</v>
      </c>
    </row>
    <row r="50" spans="1:18" s="1384" customFormat="1" ht="13.5" thickBot="1">
      <c r="A50" s="976"/>
      <c r="B50" s="979"/>
      <c r="C50" s="1118"/>
      <c r="D50" s="953"/>
      <c r="E50" s="1056" t="s">
        <v>697</v>
      </c>
      <c r="F50" s="1057">
        <f ca="1">F7</f>
        <v>62411.33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64975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64.44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64.44</v>
      </c>
      <c r="K53" s="3651" t="s">
        <v>837</v>
      </c>
      <c r="L53" s="3652"/>
      <c r="O53" s="1418" t="s">
        <v>409</v>
      </c>
      <c r="P53" s="1419" t="s">
        <v>838</v>
      </c>
      <c r="Q53" s="1420">
        <f ca="1">Q47+Q48</f>
        <v>244718</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57646</v>
      </c>
      <c r="D56" s="1447"/>
      <c r="E56" s="1448"/>
      <c r="F56" s="1440"/>
      <c r="I56" s="1449" t="s">
        <v>842</v>
      </c>
      <c r="J56" s="1450" t="s">
        <v>3379</v>
      </c>
      <c r="K56" s="1421" t="s">
        <v>843</v>
      </c>
      <c r="L56" s="1424">
        <f ca="1">IF(L48&lt;J51,"——",L48-J53)</f>
        <v>0</v>
      </c>
      <c r="O56" s="1418" t="s">
        <v>403</v>
      </c>
      <c r="P56" s="1419" t="s">
        <v>817</v>
      </c>
      <c r="Q56" s="1420">
        <f ca="1">C40+J29</f>
        <v>244718</v>
      </c>
      <c r="R56" s="1420" t="s">
        <v>818</v>
      </c>
    </row>
    <row r="57" spans="1:18" s="1384" customFormat="1" ht="24.75" thickBot="1">
      <c r="A57" s="1451"/>
      <c r="B57" s="950" t="s">
        <v>767</v>
      </c>
      <c r="C57" s="238">
        <f ca="1">C29</f>
        <v>59634</v>
      </c>
      <c r="D57" s="1452"/>
      <c r="E57" s="1453"/>
      <c r="F57" s="1454"/>
      <c r="I57" s="1455" t="s">
        <v>844</v>
      </c>
      <c r="J57" s="1456" t="str">
        <f ca="1">IF(OR(M47="住宅",J51&lt;L48,J56="是"),"——",J51-L48)</f>
        <v>——</v>
      </c>
      <c r="K57" s="1421" t="s">
        <v>845</v>
      </c>
      <c r="L57" s="1424">
        <f ca="1">IF(L48&lt;J51,"——",IF(L55="比较法",L49,IF(L55="基准地价",L50,L51)))</f>
        <v>64975</v>
      </c>
      <c r="O57" s="1418" t="s">
        <v>404</v>
      </c>
      <c r="P57" s="1419" t="s">
        <v>846</v>
      </c>
      <c r="Q57" s="1420">
        <f ca="1">L60</f>
        <v>0</v>
      </c>
      <c r="R57" s="1420" t="s">
        <v>847</v>
      </c>
    </row>
    <row r="58" spans="1:18" s="1384" customFormat="1" ht="24.75" thickBot="1">
      <c r="A58" s="315" t="s">
        <v>393</v>
      </c>
      <c r="B58" s="958" t="s">
        <v>714</v>
      </c>
      <c r="C58" s="316">
        <f ca="1">ROUND(C59+C64+C65+C66,0)</f>
        <v>654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244718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596.34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57.65</v>
      </c>
      <c r="D65" s="964" t="s">
        <v>743</v>
      </c>
      <c r="E65" s="950" t="s">
        <v>744</v>
      </c>
      <c r="F65" s="330">
        <f t="shared" ca="1" si="0"/>
        <v>1E-3</v>
      </c>
      <c r="I65" s="1462" t="s">
        <v>867</v>
      </c>
      <c r="J65" s="1463">
        <v>40</v>
      </c>
      <c r="K65" s="1463">
        <v>30</v>
      </c>
      <c r="L65" s="1463">
        <v>50</v>
      </c>
      <c r="M65" s="1465">
        <v>0.02</v>
      </c>
      <c r="O65" s="1418" t="s">
        <v>403</v>
      </c>
      <c r="P65" s="1419" t="s">
        <v>868</v>
      </c>
      <c r="Q65" s="1420">
        <f ca="1">C40+J29</f>
        <v>244718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-654</v>
      </c>
      <c r="D67" s="963" t="s">
        <v>753</v>
      </c>
      <c r="E67" s="968"/>
      <c r="F67" s="969"/>
      <c r="O67" s="1428" t="s">
        <v>405</v>
      </c>
      <c r="P67" s="1419" t="s">
        <v>850</v>
      </c>
      <c r="Q67" s="1466">
        <f ca="1">L51</f>
        <v>64975</v>
      </c>
      <c r="R67" s="1420" t="s">
        <v>870</v>
      </c>
    </row>
    <row r="68" spans="1:18" s="1384" customFormat="1" ht="16.5" thickBot="1">
      <c r="A68" s="947" t="s">
        <v>395</v>
      </c>
      <c r="B68" s="948" t="s">
        <v>774</v>
      </c>
      <c r="C68" s="301">
        <f ca="1">ROUND(C67*(1-((1+F70)/(1+F68))^F69)/(F68-F70),0)</f>
        <v>-11513</v>
      </c>
      <c r="D68" s="965" t="s">
        <v>758</v>
      </c>
      <c r="E68" s="950" t="s">
        <v>759</v>
      </c>
      <c r="F68" s="312">
        <f ca="1">F40</f>
        <v>5.5E-2</v>
      </c>
      <c r="O68" s="1428" t="s">
        <v>406</v>
      </c>
      <c r="P68" s="1467" t="s">
        <v>871</v>
      </c>
      <c r="Q68" s="1420">
        <f ca="1">ROUND(Q69-Q70*Q71,0)</f>
        <v>3453</v>
      </c>
      <c r="R68" s="1420" t="s">
        <v>414</v>
      </c>
    </row>
    <row r="69" spans="1:18" s="1384" customFormat="1" ht="13.5" thickBot="1">
      <c r="A69" s="951"/>
      <c r="B69" s="952"/>
      <c r="C69" s="306"/>
      <c r="D69" s="970" t="s">
        <v>762</v>
      </c>
      <c r="E69" s="950" t="s">
        <v>763</v>
      </c>
      <c r="F69" s="333">
        <f ca="1">F41</f>
        <v>64.44</v>
      </c>
      <c r="O69" s="1428" t="s">
        <v>411</v>
      </c>
      <c r="P69" s="1467" t="s">
        <v>872</v>
      </c>
      <c r="Q69" s="1420">
        <f ca="1">C39</f>
        <v>7776</v>
      </c>
      <c r="R69" s="1420" t="s">
        <v>818</v>
      </c>
    </row>
    <row r="70" spans="1:18" s="1384" customFormat="1" ht="13.5" thickBot="1">
      <c r="A70" s="954"/>
      <c r="B70" s="955"/>
      <c r="C70" s="310"/>
      <c r="D70" s="966"/>
      <c r="E70" s="950" t="s">
        <v>766</v>
      </c>
      <c r="F70" s="1054"/>
      <c r="O70" s="1428" t="s">
        <v>412</v>
      </c>
      <c r="P70" s="1467" t="s">
        <v>873</v>
      </c>
      <c r="Q70" s="1420">
        <f ca="1">C13</f>
        <v>57646</v>
      </c>
      <c r="R70" s="1420" t="s">
        <v>818</v>
      </c>
    </row>
    <row r="71" spans="1:18" s="1384" customFormat="1" ht="13.5" thickBot="1">
      <c r="A71" s="971" t="s">
        <v>396</v>
      </c>
      <c r="B71" s="972" t="s">
        <v>776</v>
      </c>
      <c r="C71" s="336">
        <f ca="1">ROUND(C68*10000/F71,0)</f>
        <v>-1845</v>
      </c>
      <c r="D71" s="973" t="s">
        <v>777</v>
      </c>
      <c r="E71" s="974" t="s">
        <v>778</v>
      </c>
      <c r="F71" s="339">
        <f ca="1">F43</f>
        <v>62411.33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4323</v>
      </c>
      <c r="D75" s="1384"/>
      <c r="E75" s="1384"/>
      <c r="F75" s="1384"/>
      <c r="K75" s="1402"/>
      <c r="L75" s="1384"/>
      <c r="O75" s="1418" t="s">
        <v>409</v>
      </c>
      <c r="P75" s="1419" t="s">
        <v>838</v>
      </c>
      <c r="Q75" s="1420">
        <f ca="1">Q65+Q66</f>
        <v>244718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0.44399999999999995</v>
      </c>
    </row>
    <row r="80" spans="1:18">
      <c r="B80" s="340" t="s">
        <v>800</v>
      </c>
      <c r="C80" s="274">
        <f ca="1">ROUND(C75/C39,3)</f>
        <v>0.55600000000000005</v>
      </c>
    </row>
    <row r="81" spans="2:3">
      <c r="B81" s="270" t="s">
        <v>801</v>
      </c>
      <c r="C81" s="238"/>
    </row>
    <row r="82" spans="2:3">
      <c r="B82" s="273" t="s">
        <v>802</v>
      </c>
      <c r="C82" s="275">
        <f ca="1">1-C83</f>
        <v>0.76400000000000001</v>
      </c>
    </row>
    <row r="83" spans="2:3">
      <c r="B83" s="273" t="s">
        <v>803</v>
      </c>
      <c r="C83" s="274">
        <f ca="1">ROUND(C13/C40,3)</f>
        <v>0.23599999999999999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0</v>
      </c>
      <c r="D6" s="155" t="s">
        <v>2106</v>
      </c>
      <c r="E6" s="302" t="s">
        <v>696</v>
      </c>
      <c r="F6" s="303">
        <f ca="1">INDIRECT("'数据-取费表'!u"&amp;$G$1)</f>
        <v>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6" t="s">
        <v>2320</v>
      </c>
      <c r="K2" s="365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8" t="s">
        <v>2330</v>
      </c>
      <c r="K3" s="365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8" t="s">
        <v>2332</v>
      </c>
      <c r="K4" s="365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0" t="s">
        <v>2336</v>
      </c>
      <c r="B6" s="3661"/>
      <c r="C6" s="3662"/>
      <c r="D6" s="2870"/>
      <c r="E6" s="2871"/>
      <c r="F6" s="2872"/>
      <c r="G6" s="2873"/>
      <c r="H6" s="2848"/>
      <c r="I6" s="2849"/>
      <c r="J6" s="3663">
        <v>1</v>
      </c>
      <c r="K6" s="366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3"/>
      <c r="K7" s="366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7" t="s">
        <v>2350</v>
      </c>
      <c r="C8" s="3668"/>
      <c r="D8" s="2889" t="s">
        <v>2351</v>
      </c>
      <c r="E8" s="2890" t="s">
        <v>2352</v>
      </c>
      <c r="F8" s="2891" t="s">
        <v>2353</v>
      </c>
      <c r="G8" s="2892"/>
      <c r="H8" s="2848"/>
      <c r="I8" s="2849"/>
      <c r="J8" s="3663"/>
      <c r="K8" s="366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7" t="s">
        <v>2356</v>
      </c>
      <c r="C9" s="3668"/>
      <c r="D9" s="2889">
        <f>ROUND(D6*E9,0)</f>
        <v>0</v>
      </c>
      <c r="E9" s="2893"/>
      <c r="F9" s="2894" t="s">
        <v>2357</v>
      </c>
      <c r="G9" s="2873"/>
      <c r="H9" s="2848"/>
      <c r="I9" s="2849"/>
      <c r="J9" s="3663"/>
      <c r="K9" s="3665"/>
      <c r="L9" s="2883" t="s">
        <v>2358</v>
      </c>
      <c r="M9" s="2884"/>
      <c r="N9" s="2860"/>
      <c r="O9" s="2885"/>
      <c r="P9" s="2885"/>
      <c r="Q9" s="2886">
        <v>365</v>
      </c>
      <c r="R9" s="2887">
        <f t="shared" si="0"/>
        <v>0</v>
      </c>
      <c r="S9" s="2841"/>
      <c r="T9" s="2841"/>
      <c r="U9" s="2841"/>
      <c r="V9" s="2849"/>
    </row>
    <row r="10" spans="1:22" s="2853" customFormat="1" ht="13.15" customHeight="1">
      <c r="A10" s="2888">
        <v>2</v>
      </c>
      <c r="B10" s="3667" t="s">
        <v>2359</v>
      </c>
      <c r="C10" s="3668"/>
      <c r="D10" s="2889">
        <f>ROUND(D6*E10,0)</f>
        <v>0</v>
      </c>
      <c r="E10" s="2893"/>
      <c r="F10" s="2894" t="s">
        <v>2360</v>
      </c>
      <c r="G10" s="2873"/>
      <c r="H10" s="2848"/>
      <c r="I10" s="2849"/>
      <c r="J10" s="3663"/>
      <c r="K10" s="3665"/>
      <c r="L10" s="2883" t="s">
        <v>2361</v>
      </c>
      <c r="M10" s="2884"/>
      <c r="N10" s="2860"/>
      <c r="O10" s="2885"/>
      <c r="P10" s="2885"/>
      <c r="Q10" s="2886">
        <v>365</v>
      </c>
      <c r="R10" s="2887">
        <f t="shared" si="0"/>
        <v>0</v>
      </c>
      <c r="S10" s="2841"/>
      <c r="T10" s="2841"/>
      <c r="U10" s="2841"/>
      <c r="V10" s="2849"/>
    </row>
    <row r="11" spans="1:22" s="2853" customFormat="1" ht="13.15" customHeight="1">
      <c r="A11" s="2888">
        <v>3</v>
      </c>
      <c r="B11" s="3667" t="s">
        <v>2362</v>
      </c>
      <c r="C11" s="3668"/>
      <c r="D11" s="2889">
        <f>D12+D14+D15+D16</f>
        <v>0</v>
      </c>
      <c r="E11" s="2895" t="e">
        <f>D11/D6</f>
        <v>#DIV/0!</v>
      </c>
      <c r="F11" s="2891"/>
      <c r="G11" s="2892"/>
      <c r="H11" s="2848"/>
      <c r="I11" s="2849"/>
      <c r="J11" s="3663"/>
      <c r="K11" s="366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9" t="s">
        <v>2365</v>
      </c>
      <c r="C12" s="3670"/>
      <c r="D12" s="2897">
        <f>ROUND(D13*1.2%*(1-30%),0)</f>
        <v>0</v>
      </c>
      <c r="E12" s="2898">
        <v>1.2E-2</v>
      </c>
      <c r="F12" s="2891" t="s">
        <v>2366</v>
      </c>
      <c r="G12" s="2892"/>
      <c r="H12" s="2848"/>
      <c r="I12" s="2849"/>
      <c r="J12" s="3663"/>
      <c r="K12" s="366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3"/>
      <c r="K13" s="366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9" t="s">
        <v>2371</v>
      </c>
      <c r="C14" s="3670"/>
      <c r="D14" s="2897">
        <f>ROUND(E14*B5/10000,0)</f>
        <v>0</v>
      </c>
      <c r="E14" s="2886"/>
      <c r="F14" s="2891" t="s">
        <v>2372</v>
      </c>
      <c r="G14" s="2892"/>
      <c r="H14" s="2848"/>
      <c r="I14" s="2849"/>
      <c r="J14" s="3663"/>
      <c r="K14" s="366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9" t="s">
        <v>2375</v>
      </c>
      <c r="C15" s="3670"/>
      <c r="D15" s="2897">
        <f>ROUND(D6*E15,0)</f>
        <v>0</v>
      </c>
      <c r="E15" s="2898">
        <v>5.5E-2</v>
      </c>
      <c r="F15" s="2891" t="s">
        <v>2376</v>
      </c>
      <c r="G15" s="2873"/>
      <c r="H15" s="2848"/>
      <c r="I15" s="2849"/>
      <c r="J15" s="3663">
        <v>2</v>
      </c>
      <c r="K15" s="366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9" t="s">
        <v>2384</v>
      </c>
      <c r="C16" s="3670"/>
      <c r="D16" s="2908">
        <f>D6*E16</f>
        <v>0</v>
      </c>
      <c r="E16" s="2909"/>
      <c r="F16" s="2894" t="s">
        <v>2385</v>
      </c>
      <c r="G16" s="2873"/>
      <c r="H16" s="2848"/>
      <c r="I16" s="2849"/>
      <c r="J16" s="3663"/>
      <c r="K16" s="366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2387</v>
      </c>
      <c r="C17" s="3672"/>
      <c r="D17" s="2911">
        <f>ROUND(D6*E17,0)</f>
        <v>0</v>
      </c>
      <c r="E17" s="2912"/>
      <c r="F17" s="2913" t="s">
        <v>2388</v>
      </c>
      <c r="G17" s="2873"/>
      <c r="H17" s="2848"/>
      <c r="I17" s="2849"/>
      <c r="J17" s="3663"/>
      <c r="K17" s="366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3"/>
      <c r="K18" s="366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3"/>
      <c r="K19" s="366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3">
        <v>3</v>
      </c>
      <c r="K20" s="366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3"/>
      <c r="K21" s="366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3"/>
      <c r="K22" s="366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3"/>
      <c r="K23" s="366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3"/>
      <c r="K24" s="366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6" t="s">
        <v>2320</v>
      </c>
      <c r="K32" s="365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8" t="s">
        <v>2330</v>
      </c>
      <c r="K33" s="365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8" t="s">
        <v>2332</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3">
        <v>1</v>
      </c>
      <c r="K36" s="366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3"/>
      <c r="K37" s="366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3"/>
      <c r="K38" s="366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3"/>
      <c r="K39" s="366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3"/>
      <c r="K40" s="366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244718</v>
      </c>
      <c r="C2" s="1872" t="s">
        <v>1651</v>
      </c>
      <c r="D2" s="1873" t="s">
        <v>1652</v>
      </c>
      <c r="E2" s="2607">
        <f>SUM(E6:E13)</f>
        <v>62411.33</v>
      </c>
      <c r="F2" s="2707"/>
      <c r="G2" s="1489"/>
      <c r="H2" s="1489"/>
      <c r="I2" s="1489"/>
      <c r="J2" s="1489"/>
      <c r="K2" s="1489"/>
      <c r="L2" s="1489"/>
      <c r="M2" s="1489"/>
      <c r="N2" s="1489"/>
      <c r="O2" s="1489"/>
      <c r="P2" s="1489"/>
      <c r="Q2" s="1489"/>
      <c r="R2" s="1489"/>
      <c r="S2" s="1489"/>
    </row>
    <row r="3" spans="1:22" ht="15.75">
      <c r="A3" s="1870" t="s">
        <v>686</v>
      </c>
      <c r="B3" s="2601">
        <f ca="1">ROUND(B2*10000/E2,0)</f>
        <v>39211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244718</v>
      </c>
      <c r="C6" s="1872" t="s">
        <v>1651</v>
      </c>
      <c r="D6" s="2709"/>
      <c r="E6" s="2606">
        <f>IF(OR(A6=0,F6="否"),0,'数据-取费表'!K6+'数据-取费表'!S6)</f>
        <v>62411.33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62411.33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682" t="s">
        <v>1668</v>
      </c>
      <c r="S4" s="3683"/>
      <c r="T4" s="3682" t="s">
        <v>1669</v>
      </c>
      <c r="U4" s="3683"/>
      <c r="V4" s="3707" t="s">
        <v>1670</v>
      </c>
      <c r="W4" s="3707"/>
      <c r="X4" s="1355"/>
      <c r="Y4" s="3682" t="s">
        <v>1672</v>
      </c>
      <c r="Z4" s="3683"/>
      <c r="AA4" s="3677" t="s">
        <v>1668</v>
      </c>
      <c r="AB4" s="3677" t="s">
        <v>1669</v>
      </c>
      <c r="AC4" s="3677" t="s">
        <v>1670</v>
      </c>
    </row>
    <row r="5" spans="1:29" ht="15">
      <c r="A5" s="358"/>
      <c r="B5" s="359"/>
      <c r="C5" s="3688" t="s">
        <v>1673</v>
      </c>
      <c r="D5" s="3689"/>
      <c r="E5" s="3686" t="s">
        <v>1674</v>
      </c>
      <c r="F5" s="3687"/>
      <c r="G5" s="3688" t="s">
        <v>1675</v>
      </c>
      <c r="H5" s="3689"/>
      <c r="I5" s="3688" t="s">
        <v>1676</v>
      </c>
      <c r="J5" s="3689"/>
      <c r="K5" s="1890"/>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1890"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45001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0" t="s">
        <v>1680</v>
      </c>
      <c r="Q7" s="3708"/>
      <c r="R7" s="701" t="s">
        <v>20</v>
      </c>
      <c r="S7" s="702">
        <f t="shared" ref="S7:S15" si="0">F7</f>
        <v>0</v>
      </c>
      <c r="T7" s="701" t="s">
        <v>20</v>
      </c>
      <c r="U7" s="702">
        <f t="shared" ref="U7:U15" si="1">H7</f>
        <v>0</v>
      </c>
      <c r="V7" s="701" t="s">
        <v>20</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0" t="s">
        <v>1683</v>
      </c>
      <c r="Q8" s="3681"/>
      <c r="R8" s="701" t="s">
        <v>20</v>
      </c>
      <c r="S8" s="702">
        <f t="shared" si="0"/>
        <v>100</v>
      </c>
      <c r="T8" s="701" t="s">
        <v>20</v>
      </c>
      <c r="U8" s="702">
        <f t="shared" si="1"/>
        <v>100</v>
      </c>
      <c r="V8" s="701" t="s">
        <v>20</v>
      </c>
      <c r="W8" s="702">
        <f t="shared" si="2"/>
        <v>100</v>
      </c>
      <c r="X8" s="703"/>
      <c r="Y8" s="3680" t="s">
        <v>1683</v>
      </c>
      <c r="Z8" s="368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2"/>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2"/>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2"/>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2"/>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62411.33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707"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707"/>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707"/>
      <c r="AC6" s="3679"/>
    </row>
    <row r="7" spans="1:29" s="108" customFormat="1" ht="15.75" thickBot="1">
      <c r="A7" s="362" t="s">
        <v>1679</v>
      </c>
      <c r="B7" s="363"/>
      <c r="C7" s="364">
        <f>'数据-取费表'!B2</f>
        <v>45001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2"/>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2" t="str">
        <f>A47</f>
        <v>成交单价（元/平方米）</v>
      </c>
      <c r="Q47" s="3712"/>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62411.33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88" t="s">
        <v>1673</v>
      </c>
      <c r="D5" s="3689"/>
      <c r="E5" s="3686" t="s">
        <v>1674</v>
      </c>
      <c r="F5" s="3687"/>
      <c r="G5" s="3688" t="s">
        <v>1675</v>
      </c>
      <c r="H5" s="3689"/>
      <c r="I5" s="3688" t="s">
        <v>1676</v>
      </c>
      <c r="J5" s="3689"/>
      <c r="K5" s="559"/>
      <c r="L5" s="2715"/>
      <c r="M5" s="2716"/>
      <c r="N5" s="2716"/>
      <c r="O5" s="2716"/>
      <c r="P5" s="3731"/>
      <c r="Q5" s="3702"/>
      <c r="R5" s="3684"/>
      <c r="S5" s="3685"/>
      <c r="T5" s="3684"/>
      <c r="U5" s="3685"/>
      <c r="V5" s="3707"/>
      <c r="W5" s="3707"/>
      <c r="X5" s="1355"/>
      <c r="Y5" s="3684"/>
      <c r="Z5" s="3685"/>
      <c r="AA5" s="3678"/>
      <c r="AB5" s="3678"/>
      <c r="AC5" s="3727"/>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2"/>
      <c r="Q6" s="3704"/>
      <c r="R6" s="3684"/>
      <c r="S6" s="3685"/>
      <c r="T6" s="3705"/>
      <c r="U6" s="3706"/>
      <c r="V6" s="3707"/>
      <c r="W6" s="3707"/>
      <c r="X6" s="1355"/>
      <c r="Y6" s="3705"/>
      <c r="Z6" s="3706"/>
      <c r="AA6" s="3679"/>
      <c r="AB6" s="3679"/>
      <c r="AC6" s="3728"/>
    </row>
    <row r="7" spans="1:29" s="108" customFormat="1" ht="15.75" thickBot="1">
      <c r="A7" s="362" t="s">
        <v>1679</v>
      </c>
      <c r="B7" s="363"/>
      <c r="C7" s="364">
        <f>'数据-取费表'!B2</f>
        <v>45001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81"/>
      <c r="R8" s="701" t="s">
        <v>14</v>
      </c>
      <c r="S8" s="702">
        <f t="shared" si="0"/>
        <v>100</v>
      </c>
      <c r="T8" s="701" t="s">
        <v>14</v>
      </c>
      <c r="U8" s="702">
        <f t="shared" si="1"/>
        <v>100</v>
      </c>
      <c r="V8" s="701" t="s">
        <v>14</v>
      </c>
      <c r="W8" s="702">
        <f t="shared" si="2"/>
        <v>100</v>
      </c>
      <c r="X8" s="703"/>
      <c r="Y8" s="3680" t="s">
        <v>1683</v>
      </c>
      <c r="Z8" s="368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2"/>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2"/>
      <c r="Q26" s="1352"/>
      <c r="R26" s="705"/>
      <c r="S26" s="706"/>
      <c r="T26" s="705"/>
      <c r="U26" s="706"/>
      <c r="V26" s="705"/>
      <c r="W26" s="706"/>
      <c r="X26" s="1355"/>
      <c r="Y26" s="371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62411.33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913"/>
      <c r="M5" s="914"/>
      <c r="N5" s="914"/>
      <c r="O5" s="914"/>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913"/>
      <c r="M6" s="914"/>
      <c r="N6" s="914"/>
      <c r="O6" s="914"/>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45001</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1683</v>
      </c>
      <c r="Q8" s="3681"/>
      <c r="R8" s="701" t="s">
        <v>14</v>
      </c>
      <c r="S8" s="702">
        <f t="shared" si="0"/>
        <v>100</v>
      </c>
      <c r="T8" s="701" t="s">
        <v>14</v>
      </c>
      <c r="U8" s="702">
        <f t="shared" si="1"/>
        <v>100</v>
      </c>
      <c r="V8" s="701" t="s">
        <v>14</v>
      </c>
      <c r="W8" s="702">
        <f t="shared" si="2"/>
        <v>100</v>
      </c>
      <c r="X8" s="703"/>
      <c r="Y8" s="3680" t="s">
        <v>1683</v>
      </c>
      <c r="Z8" s="368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估价对象为房地产，为所有。根据《国有土地使用证》[]，估价对象（分摊）出让国有建设用地使用权面积为0平方米，建筑面积为62411.33平方米。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估价对象为房地产,属开发建设的，该项目尚在开发建设中。根据《国有土地使用证》[]，估价对象（分摊）出让国有建设用地使用权面积为0平方米，规划建筑面积为62411.33平方米。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45001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2"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2"/>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9" t="str">
        <f>A39</f>
        <v>估价对象XX用房的比较价值（楼面单价，元/平方米）</v>
      </c>
      <c r="Q39" s="3710"/>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45001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2"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2"/>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9" t="str">
        <f>A37</f>
        <v>估价对象XX用房的比较价值（楼面单价，元/平方米）</v>
      </c>
      <c r="Q37" s="3710"/>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Normal="60" zoomScaleSheetLayoutView="100" workbookViewId="0">
      <selection activeCell="D85" sqref="D8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253914</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40684</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30" ht="15">
      <c r="A5" s="358"/>
      <c r="B5" s="359"/>
      <c r="C5" s="3688" t="s">
        <v>1673</v>
      </c>
      <c r="D5" s="3689"/>
      <c r="E5" s="3686" t="str">
        <f>Sheet2!A20</f>
        <v>北京市丰台区南苑街道城乡一体化槐房村和新宫村旧村改造项目NY-011B地块R2二类居住用地</v>
      </c>
      <c r="F5" s="3687"/>
      <c r="G5" s="3688" t="str">
        <f>Sheet2!A27</f>
        <v>北京市丰台区大红门街道大红门一期A区棚户区改造项目FT00-0516-0004地块R2二类居住用地</v>
      </c>
      <c r="H5" s="3689"/>
      <c r="I5" s="3688" t="str">
        <f>Sheet2!A28</f>
        <v>北京市丰台区大红门街道大红门一期A区棚户区改造项目FT00-0516-0008地块R2二类居住用地</v>
      </c>
      <c r="J5" s="3689"/>
      <c r="K5" s="559"/>
      <c r="L5" s="2715"/>
      <c r="M5" s="2716"/>
      <c r="N5" s="2716"/>
      <c r="O5" s="2716"/>
      <c r="P5" s="3701"/>
      <c r="Q5" s="3702"/>
      <c r="R5" s="3684"/>
      <c r="S5" s="3685"/>
      <c r="T5" s="3684"/>
      <c r="U5" s="3685"/>
      <c r="V5" s="3707"/>
      <c r="W5" s="3707"/>
      <c r="X5" s="1355"/>
      <c r="Y5" s="3684"/>
      <c r="Z5" s="3685"/>
      <c r="AA5" s="3678"/>
      <c r="AB5" s="3678"/>
      <c r="AC5" s="3678"/>
    </row>
    <row r="6" spans="1:30"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30" s="108" customFormat="1" ht="15.75" thickBot="1">
      <c r="A7" s="362" t="s">
        <v>1679</v>
      </c>
      <c r="B7" s="363"/>
      <c r="C7" s="364">
        <f>'数据-取费表'!B2</f>
        <v>45001</v>
      </c>
      <c r="D7" s="365">
        <v>100</v>
      </c>
      <c r="E7" s="366">
        <f>Sheet2!AC20</f>
        <v>44827.000497685185</v>
      </c>
      <c r="F7" s="367">
        <f>SUMIF(69:69,YEAR(E7)&amp;"-"&amp;INT((MONTH(E7)+2)/3),70:70)</f>
        <v>98</v>
      </c>
      <c r="G7" s="1974">
        <f>Sheet2!AC27</f>
        <v>44827.000497685185</v>
      </c>
      <c r="H7" s="365">
        <f>SUMIF(69:69,YEAR(G7)&amp;"-"&amp;INT((MONTH(G7)+2)/3),70:70)</f>
        <v>98</v>
      </c>
      <c r="I7" s="1974">
        <f>Sheet2!AC28</f>
        <v>44827.000497685185</v>
      </c>
      <c r="J7" s="365">
        <f>SUMIF(69:69,YEAR(I7)&amp;"-"&amp;INT((MONTH(I7)+2)/3),70:70)</f>
        <v>98</v>
      </c>
      <c r="K7" s="560"/>
      <c r="L7" s="2717"/>
      <c r="M7" s="2718"/>
      <c r="N7" s="2718"/>
      <c r="O7" s="2718"/>
      <c r="P7" s="3680" t="s">
        <v>1680</v>
      </c>
      <c r="Q7" s="3708"/>
      <c r="R7" s="701" t="s">
        <v>14</v>
      </c>
      <c r="S7" s="702">
        <f t="shared" ref="S7:S15" si="0">F7</f>
        <v>98</v>
      </c>
      <c r="T7" s="701" t="s">
        <v>14</v>
      </c>
      <c r="U7" s="702">
        <f t="shared" ref="U7:U15" si="1">H7</f>
        <v>98</v>
      </c>
      <c r="V7" s="701" t="s">
        <v>14</v>
      </c>
      <c r="W7" s="702">
        <f t="shared" ref="W7:W15" si="2">J7</f>
        <v>98</v>
      </c>
      <c r="X7" s="703"/>
      <c r="Y7" s="3680" t="s">
        <v>1680</v>
      </c>
      <c r="Z7" s="3681"/>
      <c r="AA7" s="704">
        <f>D7/F7</f>
        <v>1.0204081632653061</v>
      </c>
      <c r="AB7" s="704">
        <f>D7/H7</f>
        <v>1.0204081632653061</v>
      </c>
      <c r="AC7" s="704">
        <f>D7/J7</f>
        <v>1.0204081632653061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45" si="3">D8/F8</f>
        <v>1</v>
      </c>
      <c r="AB8" s="704">
        <f t="shared" ref="AB8:AB45" si="4">D8/H8</f>
        <v>1</v>
      </c>
      <c r="AC8" s="704">
        <f t="shared" ref="AC8:AC45" si="5">D8/J8</f>
        <v>1</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9"/>
      <c r="M10" s="2720"/>
      <c r="N10" s="2720"/>
      <c r="O10" s="2773"/>
      <c r="P10" s="3712"/>
      <c r="Q10" s="1343" t="str">
        <f t="shared" si="6"/>
        <v>土地使用年限（年）</v>
      </c>
      <c r="R10" s="701" t="s">
        <v>14</v>
      </c>
      <c r="S10" s="702">
        <f t="shared" si="0"/>
        <v>101</v>
      </c>
      <c r="T10" s="701" t="s">
        <v>14</v>
      </c>
      <c r="U10" s="702">
        <f t="shared" si="1"/>
        <v>101</v>
      </c>
      <c r="V10" s="701" t="s">
        <v>14</v>
      </c>
      <c r="W10" s="702">
        <f t="shared" si="2"/>
        <v>101</v>
      </c>
      <c r="X10" s="703"/>
      <c r="Y10" s="3624"/>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v>3</v>
      </c>
      <c r="D11" s="127">
        <v>100</v>
      </c>
      <c r="E11" s="380">
        <f>Sheet2!K20</f>
        <v>2.2000000000000002</v>
      </c>
      <c r="F11" s="127">
        <f>LOOKUP(E11,79:79,80:80)-LOOKUP(C11,79:79,80:80)+100</f>
        <v>103</v>
      </c>
      <c r="G11" s="381">
        <f>Sheet2!K27</f>
        <v>2.4</v>
      </c>
      <c r="H11" s="127">
        <f>LOOKUP(G11,79:79,80:80)-LOOKUP(C11,79:79,80:80)+100</f>
        <v>103</v>
      </c>
      <c r="I11" s="380">
        <f>Sheet2!K28</f>
        <v>2.6</v>
      </c>
      <c r="J11" s="127">
        <f>LOOKUP(I11,79:79,80:80)-LOOKUP(C11,79:79,80:80)+100</f>
        <v>103</v>
      </c>
      <c r="K11" s="621">
        <v>3</v>
      </c>
      <c r="L11" s="2721"/>
      <c r="M11" s="2716"/>
      <c r="N11" s="2716"/>
      <c r="O11" s="2774"/>
      <c r="P11" s="3712"/>
      <c r="Q11" s="1343" t="str">
        <f t="shared" si="6"/>
        <v>容积率</v>
      </c>
      <c r="R11" s="701" t="s">
        <v>14</v>
      </c>
      <c r="S11" s="702">
        <f t="shared" si="0"/>
        <v>103</v>
      </c>
      <c r="T11" s="701" t="s">
        <v>14</v>
      </c>
      <c r="U11" s="702">
        <f t="shared" si="1"/>
        <v>103</v>
      </c>
      <c r="V11" s="701" t="s">
        <v>14</v>
      </c>
      <c r="W11" s="702">
        <f t="shared" si="2"/>
        <v>103</v>
      </c>
      <c r="X11" s="703"/>
      <c r="Y11" s="3624"/>
      <c r="Z11" s="52" t="str">
        <f t="shared" si="7"/>
        <v>容积率</v>
      </c>
      <c r="AA11" s="704">
        <f t="shared" si="3"/>
        <v>0.970873786407767</v>
      </c>
      <c r="AB11" s="704">
        <f t="shared" si="4"/>
        <v>0.970873786407767</v>
      </c>
      <c r="AC11" s="704">
        <f t="shared" si="5"/>
        <v>0.970873786407767</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2"/>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3459" t="s">
        <v>4675</v>
      </c>
      <c r="C13" s="3460" t="s">
        <v>4676</v>
      </c>
      <c r="D13" s="386">
        <v>100</v>
      </c>
      <c r="E13" s="3461" t="s">
        <v>4677</v>
      </c>
      <c r="F13" s="127">
        <f>SUMIF(83:83,E13,84:84)-SUMIF(83:83,C13,84:84)+100</f>
        <v>125</v>
      </c>
      <c r="G13" s="3461" t="s">
        <v>4677</v>
      </c>
      <c r="H13" s="386">
        <f>SUMIF(83:83,G13,84:84)-SUMIF(83:83,C13,84:84)+100</f>
        <v>125</v>
      </c>
      <c r="I13" s="3461" t="s">
        <v>4677</v>
      </c>
      <c r="J13" s="386">
        <f>SUMIF(83:83,I13,84:84)-SUMIF(83:83,C13,84:84)+100</f>
        <v>125</v>
      </c>
      <c r="K13" s="620"/>
      <c r="L13" s="2722"/>
      <c r="M13" s="2716"/>
      <c r="N13" s="2716"/>
      <c r="O13" s="2774"/>
      <c r="P13" s="3712"/>
      <c r="Q13" s="1343" t="str">
        <f t="shared" si="6"/>
        <v>自持住宅要求</v>
      </c>
      <c r="R13" s="701" t="s">
        <v>14</v>
      </c>
      <c r="S13" s="702">
        <f t="shared" si="0"/>
        <v>125</v>
      </c>
      <c r="T13" s="701" t="s">
        <v>14</v>
      </c>
      <c r="U13" s="702">
        <f t="shared" si="1"/>
        <v>125</v>
      </c>
      <c r="V13" s="701" t="s">
        <v>14</v>
      </c>
      <c r="W13" s="702">
        <f t="shared" si="2"/>
        <v>125</v>
      </c>
      <c r="X13" s="703"/>
      <c r="Y13" s="3624"/>
      <c r="Z13" s="52" t="str">
        <f t="shared" si="7"/>
        <v>自持住宅要求</v>
      </c>
      <c r="AA13" s="704">
        <f>D13/F13</f>
        <v>0.8</v>
      </c>
      <c r="AB13" s="704">
        <f>D13/H13</f>
        <v>0.8</v>
      </c>
      <c r="AC13" s="704">
        <f>D13/J13</f>
        <v>0.8</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v>62649.870999999999</v>
      </c>
      <c r="D38" s="418">
        <v>100</v>
      </c>
      <c r="E38" s="627">
        <f>Sheet2!I20</f>
        <v>32689.63</v>
      </c>
      <c r="F38" s="418">
        <f>LOOKUP(E38,116:116,117:117)-LOOKUP(C38,116:116,117:117)+100</f>
        <v>100</v>
      </c>
      <c r="G38" s="627">
        <f>Sheet2!I27</f>
        <v>39419.43</v>
      </c>
      <c r="H38" s="418">
        <f>LOOKUP(G38,116:116,117:117)-LOOKUP(C38,116:116,117:117)+100</f>
        <v>100</v>
      </c>
      <c r="I38" s="479">
        <f>Sheet2!I28</f>
        <v>26171.64</v>
      </c>
      <c r="J38" s="418">
        <f>LOOKUP(I38,116:116,117:117)-LOOKUP(C38,116:116,117:117)+100</f>
        <v>100</v>
      </c>
      <c r="K38" s="562"/>
      <c r="L38" s="2722"/>
      <c r="M38" s="2716"/>
      <c r="N38" s="2716"/>
      <c r="O38" s="2774"/>
      <c r="P38" s="3719"/>
      <c r="Q38" s="1352" t="str">
        <f>B38</f>
        <v>宗地面积</v>
      </c>
      <c r="R38" s="705" t="s">
        <v>14</v>
      </c>
      <c r="S38" s="706">
        <f t="shared" si="10"/>
        <v>100</v>
      </c>
      <c r="T38" s="705" t="s">
        <v>14</v>
      </c>
      <c r="U38" s="706">
        <f t="shared" si="11"/>
        <v>100</v>
      </c>
      <c r="V38" s="705" t="s">
        <v>14</v>
      </c>
      <c r="W38" s="706">
        <f t="shared" si="12"/>
        <v>100</v>
      </c>
      <c r="X38" s="1355"/>
      <c r="Y38" s="3719"/>
      <c r="Z38" s="1356" t="str">
        <f t="shared" si="13"/>
        <v>宗地面积</v>
      </c>
      <c r="AA38" s="1353">
        <f t="shared" si="3"/>
        <v>1</v>
      </c>
      <c r="AB38" s="1353">
        <f t="shared" si="4"/>
        <v>1</v>
      </c>
      <c r="AC38" s="1353">
        <f t="shared" si="5"/>
        <v>1</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f>Sheet2!AP20</f>
        <v>47013</v>
      </c>
      <c r="F46" s="434"/>
      <c r="G46" s="435">
        <f>Sheet2!AP27</f>
        <v>52533</v>
      </c>
      <c r="H46" s="436"/>
      <c r="I46" s="433">
        <f>Sheet2!AP28</f>
        <v>55992</v>
      </c>
      <c r="J46" s="436"/>
      <c r="K46" s="714"/>
      <c r="L46" s="2724"/>
      <c r="M46" s="2725"/>
      <c r="N46" s="2716"/>
      <c r="O46" s="2725"/>
      <c r="P46" s="3712" t="str">
        <f>A46</f>
        <v>成交单价</v>
      </c>
      <c r="Q46" s="3712"/>
      <c r="R46" s="3707">
        <f>E46</f>
        <v>47013</v>
      </c>
      <c r="S46" s="3707"/>
      <c r="T46" s="3707">
        <f>G46</f>
        <v>52533</v>
      </c>
      <c r="U46" s="3707"/>
      <c r="V46" s="3707">
        <f>I46</f>
        <v>55992</v>
      </c>
      <c r="W46" s="3707"/>
      <c r="X46" s="690"/>
      <c r="Y46" s="712"/>
      <c r="Z46" s="690"/>
      <c r="AA46" s="690"/>
      <c r="AB46" s="690"/>
      <c r="AC46" s="690"/>
    </row>
    <row r="47" spans="1:29" ht="15.75" thickBot="1">
      <c r="A47" s="437" t="s">
        <v>1793</v>
      </c>
      <c r="B47" s="631"/>
      <c r="C47" s="440">
        <f>R48</f>
        <v>40684</v>
      </c>
      <c r="D47" s="2317" t="s">
        <v>2138</v>
      </c>
      <c r="E47" s="440">
        <f>R47</f>
        <v>36891</v>
      </c>
      <c r="F47" s="2318"/>
      <c r="G47" s="439">
        <f>T47</f>
        <v>41223</v>
      </c>
      <c r="H47" s="2318"/>
      <c r="I47" s="440">
        <f>V47</f>
        <v>43937</v>
      </c>
      <c r="J47" s="2318"/>
      <c r="K47" s="2320">
        <f>F47+H47+J47</f>
        <v>0</v>
      </c>
      <c r="L47" s="2724"/>
      <c r="M47" s="2725"/>
      <c r="N47" s="2725"/>
      <c r="O47" s="2725"/>
      <c r="P47" s="3712" t="str">
        <f>A47</f>
        <v>比较价值（元/平方米）</v>
      </c>
      <c r="Q47" s="3712"/>
      <c r="R47" s="3740">
        <f>ROUND(PRODUCT(R46,AA7:AA45),0)</f>
        <v>36891</v>
      </c>
      <c r="S47" s="3740"/>
      <c r="T47" s="3740">
        <f>ROUND(PRODUCT(T46,AB7:AB45),0)</f>
        <v>41223</v>
      </c>
      <c r="U47" s="3740"/>
      <c r="V47" s="3740">
        <f>ROUND(PRODUCT(V46,AC7:AC45),0)</f>
        <v>43937</v>
      </c>
      <c r="W47" s="3740"/>
      <c r="X47" s="690"/>
      <c r="Y47" s="690"/>
      <c r="Z47" s="690"/>
      <c r="AA47" s="690"/>
      <c r="AB47" s="690"/>
      <c r="AC47" s="690"/>
    </row>
    <row r="48" spans="1:29" ht="15.75" thickBot="1">
      <c r="A48" s="441" t="s">
        <v>1880</v>
      </c>
      <c r="B48" s="442"/>
      <c r="C48" s="443">
        <f>R48</f>
        <v>40684</v>
      </c>
      <c r="D48" s="443"/>
      <c r="E48" s="443"/>
      <c r="F48" s="443"/>
      <c r="G48" s="443"/>
      <c r="H48" s="443"/>
      <c r="I48" s="443"/>
      <c r="J48" s="443"/>
      <c r="K48" s="715"/>
      <c r="L48" s="2724"/>
      <c r="M48" s="2725"/>
      <c r="N48" s="2725"/>
      <c r="O48" s="2725"/>
      <c r="P48" s="3709" t="str">
        <f>A48</f>
        <v>估价对象XX用房的比较价值（楼面单价，元/平方米）</v>
      </c>
      <c r="Q48" s="3710"/>
      <c r="R48" s="3741">
        <f>ROUND(IF(D47="简单平均",AVERAGE(R47:W47),R47*F47+T47*H47+V47*J47),0)</f>
        <v>40684</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0.27437586403187764</v>
      </c>
      <c r="F51" s="449" t="str">
        <f>IF(OR(E51&gt;=0.3,E51&lt;=-0.3),"超过30%","")</f>
        <v/>
      </c>
      <c r="G51" s="448">
        <f>IF(G46&lt;G47,G47/G46-1,G46/G47-1)</f>
        <v>0.27436140018921473</v>
      </c>
      <c r="H51" s="449" t="str">
        <f>IF(OR(G51&gt;=0.3,G51&lt;=-0.3),"超过30%","")</f>
        <v/>
      </c>
      <c r="I51" s="448">
        <f>IF(I46&lt;I47,I47/I46-1,I46/I47-1)</f>
        <v>0.27437012085486034</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0.11742701471903727</v>
      </c>
      <c r="F52" s="449" t="str">
        <f>IF(OR(E52&gt;=0.2,E52&lt;=-0.2),"超过20%","")</f>
        <v/>
      </c>
      <c r="G52" s="448">
        <f>IF(G47&lt;I47,I47/G47-1,G47/I47-1)</f>
        <v>6.5837032724449962E-2</v>
      </c>
      <c r="H52" s="449" t="str">
        <f>IF(OR(G52&gt;=0.2,G52&lt;=-0.2),"超过20%","")</f>
        <v/>
      </c>
      <c r="I52" s="448">
        <f>IF(I47&lt;E47,E47/I47-1,I47/E47-1)</f>
        <v>0.1909950936542788</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0.11741433220598552</v>
      </c>
      <c r="F53" s="449" t="str">
        <f>IF(OR(E53&gt;=0.3,E53&lt;=-0.3),"超过30%","")</f>
        <v/>
      </c>
      <c r="G53" s="448">
        <f>IF(G46&lt;I46,I46/G46-1,G46/I46-1)</f>
        <v>6.5844326423390998E-2</v>
      </c>
      <c r="H53" s="449" t="str">
        <f>IF(OR(G53&gt;=0.3,G53&lt;=-0.3),"超过30%","")</f>
        <v/>
      </c>
      <c r="I53" s="448">
        <f>IF(I46&lt;E46,E46/I46-1,I46/E46-1)</f>
        <v>0.19098972624593191</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f>C48</f>
        <v>40684</v>
      </c>
      <c r="C56" s="638">
        <v>1</v>
      </c>
      <c r="D56" s="944">
        <v>1</v>
      </c>
      <c r="E56" s="638">
        <f>'数据-汇总表'!E8+'数据-汇总表'!E9</f>
        <v>62411.33</v>
      </c>
      <c r="F56" s="886">
        <f t="shared" ref="F56:F64" si="15">ROUND(B56*E56/10000,0)</f>
        <v>253914</v>
      </c>
      <c r="G56" s="3694"/>
      <c r="H56" s="371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f>ROUND($C$48*C57*D57,0)</f>
        <v>0</v>
      </c>
      <c r="C57" s="171">
        <f t="shared" ref="C57:C64" si="16">IF($C$55="北京市系数",I57,J57)</f>
        <v>0</v>
      </c>
      <c r="D57" s="945">
        <v>0.25</v>
      </c>
      <c r="E57" s="642"/>
      <c r="F57" s="886">
        <f t="shared" si="15"/>
        <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f t="shared" si="17"/>
        <v>1526</v>
      </c>
      <c r="C62" s="171">
        <f t="shared" si="16"/>
        <v>0.15</v>
      </c>
      <c r="D62" s="945">
        <v>0.25</v>
      </c>
      <c r="E62" s="217">
        <f>'数据-汇总表'!E13</f>
        <v>0</v>
      </c>
      <c r="F62" s="886">
        <f t="shared" si="15"/>
        <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62411.33</v>
      </c>
      <c r="F65" s="645">
        <f>IF(B46="楼面地价",SUM(F56:F64),ROUND(C48*E65/10000,0))</f>
        <v>253914</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f>C70-$C$71</f>
        <v>99</v>
      </c>
      <c r="E70" s="544">
        <f t="shared" ref="E70:M70" si="20">D70-$C$71</f>
        <v>98</v>
      </c>
      <c r="F70" s="544">
        <f t="shared" si="20"/>
        <v>97</v>
      </c>
      <c r="G70" s="544">
        <f t="shared" si="20"/>
        <v>96</v>
      </c>
      <c r="H70" s="544">
        <f t="shared" si="20"/>
        <v>95</v>
      </c>
      <c r="I70" s="544">
        <f t="shared" si="20"/>
        <v>94</v>
      </c>
      <c r="J70" s="544">
        <f t="shared" si="20"/>
        <v>93</v>
      </c>
      <c r="K70" s="544">
        <f t="shared" si="20"/>
        <v>92</v>
      </c>
      <c r="L70" s="544">
        <f t="shared" si="20"/>
        <v>91</v>
      </c>
      <c r="M70" s="544">
        <f t="shared" si="20"/>
        <v>90</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v>1</v>
      </c>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t="str">
        <f>B13</f>
        <v>自持住宅要求</v>
      </c>
      <c r="C83" s="3462" t="s">
        <v>4679</v>
      </c>
      <c r="D83" s="3462" t="s">
        <v>4678</v>
      </c>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v>100</v>
      </c>
      <c r="D84" s="509">
        <v>75</v>
      </c>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1913</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80000(含)-100000</v>
      </c>
      <c r="H115" s="478" t="str">
        <f t="shared" si="26"/>
        <v>100000(含)-</v>
      </c>
      <c r="I115" s="478" t="str">
        <f t="shared" si="26"/>
        <v>(含)-</v>
      </c>
      <c r="J115" s="478" t="str">
        <f t="shared" si="26"/>
        <v>(含)-</v>
      </c>
      <c r="K115" s="478" t="str">
        <f t="shared" si="26"/>
        <v>(含)-</v>
      </c>
      <c r="L115" s="478" t="str">
        <f t="shared" si="26"/>
        <v>(含)-</v>
      </c>
      <c r="M115" s="478" t="str">
        <f t="shared" si="26"/>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20000</v>
      </c>
      <c r="E116" s="544">
        <v>40000</v>
      </c>
      <c r="F116" s="544">
        <v>60000</v>
      </c>
      <c r="G116" s="544">
        <v>80000</v>
      </c>
      <c r="H116" s="544">
        <v>100000</v>
      </c>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40">
        <f>D117-1</f>
        <v>98</v>
      </c>
      <c r="D117" s="540">
        <f>E117-1</f>
        <v>99</v>
      </c>
      <c r="E117" s="540">
        <v>100</v>
      </c>
      <c r="F117" s="540">
        <f>E117-1</f>
        <v>99</v>
      </c>
      <c r="G117" s="540">
        <f t="shared" ref="G117:H117" si="27">F117-1</f>
        <v>98</v>
      </c>
      <c r="H117" s="540">
        <f t="shared" si="27"/>
        <v>97</v>
      </c>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8">C119-$K39</f>
        <v>100</v>
      </c>
      <c r="E119" s="493">
        <f t="shared" si="28"/>
        <v>100</v>
      </c>
      <c r="F119" s="493">
        <f t="shared" si="28"/>
        <v>100</v>
      </c>
      <c r="G119" s="493">
        <f t="shared" si="28"/>
        <v>100</v>
      </c>
      <c r="H119" s="493">
        <f t="shared" si="28"/>
        <v>100</v>
      </c>
      <c r="I119" s="493">
        <f t="shared" si="28"/>
        <v>100</v>
      </c>
      <c r="J119" s="493">
        <f t="shared" si="28"/>
        <v>100</v>
      </c>
      <c r="K119" s="493">
        <f t="shared" si="28"/>
        <v>100</v>
      </c>
      <c r="L119" s="493">
        <f t="shared" si="28"/>
        <v>100</v>
      </c>
      <c r="M119" s="494">
        <f t="shared" si="28"/>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9">C121-$K40</f>
        <v>100</v>
      </c>
      <c r="E121" s="493">
        <f t="shared" si="29"/>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30">C123-$K41</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31">C125-$K42</f>
        <v>100</v>
      </c>
      <c r="E125" s="493">
        <f t="shared" si="31"/>
        <v>100</v>
      </c>
      <c r="F125" s="493">
        <f t="shared" si="31"/>
        <v>100</v>
      </c>
      <c r="G125" s="493">
        <f t="shared" si="31"/>
        <v>100</v>
      </c>
      <c r="H125" s="493">
        <f t="shared" si="31"/>
        <v>100</v>
      </c>
      <c r="I125" s="493">
        <f t="shared" si="31"/>
        <v>100</v>
      </c>
      <c r="J125" s="493">
        <f t="shared" si="31"/>
        <v>100</v>
      </c>
      <c r="K125" s="493">
        <f t="shared" si="31"/>
        <v>100</v>
      </c>
      <c r="L125" s="493">
        <f t="shared" si="31"/>
        <v>100</v>
      </c>
      <c r="M125" s="494">
        <f t="shared" si="31"/>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45001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9"/>
      <c r="M10" s="2720"/>
      <c r="N10" s="2720"/>
      <c r="O10" s="2773"/>
      <c r="P10" s="3712"/>
      <c r="Q10" s="1343" t="str">
        <f t="shared" si="6"/>
        <v>土地使用年限（年）</v>
      </c>
      <c r="R10" s="701" t="s">
        <v>14</v>
      </c>
      <c r="S10" s="702">
        <f t="shared" si="0"/>
        <v>101</v>
      </c>
      <c r="T10" s="701" t="s">
        <v>14</v>
      </c>
      <c r="U10" s="702">
        <f t="shared" si="1"/>
        <v>101</v>
      </c>
      <c r="V10" s="701" t="s">
        <v>14</v>
      </c>
      <c r="W10" s="702">
        <f t="shared" si="2"/>
        <v>101</v>
      </c>
      <c r="X10" s="703"/>
      <c r="Y10" s="3624"/>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2" t="str">
        <f>A41</f>
        <v>成交单价</v>
      </c>
      <c r="Q41" s="371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2" t="str">
        <f>A42</f>
        <v>比较价值（元/平方米）</v>
      </c>
      <c r="Q42" s="3712"/>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9" t="str">
        <f>A43</f>
        <v>估价对象XX用房的比较价值（楼面单价，元/平方米）</v>
      </c>
      <c r="Q43" s="3710"/>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62411.33</v>
      </c>
      <c r="F51" s="639" t="e">
        <f t="shared" ref="F51:F60" si="15">ROUND(B51*E51/10000,0)</f>
        <v>#DIV/0!</v>
      </c>
      <c r="G51" s="3694"/>
      <c r="H51" s="371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139096</v>
      </c>
      <c r="C2" s="2145" t="s">
        <v>2074</v>
      </c>
      <c r="D2" s="2145" t="s">
        <v>2075</v>
      </c>
      <c r="E2" s="2612">
        <f ca="1">SUMIF(E6:E13,"&lt;&gt;#ref!",E6:E13)</f>
        <v>62411.33</v>
      </c>
      <c r="F2" s="2793"/>
      <c r="G2" s="2793"/>
      <c r="H2" s="2793"/>
      <c r="I2" s="2793"/>
      <c r="J2" s="2793"/>
      <c r="K2" s="2793"/>
      <c r="L2" s="2793"/>
      <c r="M2" s="2793"/>
      <c r="N2" s="2793"/>
      <c r="O2" s="2793"/>
      <c r="P2" s="2793"/>
    </row>
    <row r="3" spans="1:16" ht="15.75">
      <c r="A3" s="2145" t="s">
        <v>2076</v>
      </c>
      <c r="B3" s="2602">
        <f ca="1">ROUND(B2*10000/E2,0)</f>
        <v>22287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139096</v>
      </c>
      <c r="C6" s="2145" t="s">
        <v>2074</v>
      </c>
      <c r="D6" s="2793"/>
      <c r="E6" s="2612">
        <f ca="1">SUMIF(INDIRECT("'"&amp;A6&amp;"'"&amp;"!C:C"),"建筑面积",INDIRECT("'"&amp;A6&amp;"'"&amp;"!D:D"))</f>
        <v>62411.33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29" sqref="G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62411.33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139096</v>
      </c>
      <c r="C2" s="1999" t="s">
        <v>1935</v>
      </c>
      <c r="D2" s="2000" t="s">
        <v>1936</v>
      </c>
      <c r="E2" s="3422" t="s">
        <v>3381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34918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22287</v>
      </c>
      <c r="C3" s="1999" t="s">
        <v>1941</v>
      </c>
      <c r="D3" s="2000" t="s">
        <v>1942</v>
      </c>
      <c r="E3" s="3420" t="s">
        <v>3389</v>
      </c>
      <c r="F3" s="2004" t="s">
        <v>3390</v>
      </c>
      <c r="G3" s="752">
        <f>IF(F3="宗地容积率",'数据-汇总表'!I4,IF(F3="估价对象容积率",'数据-汇总表'!I6,'数据-汇总表'!I7))</f>
        <v>3.0558083671074119</v>
      </c>
      <c r="H3" s="170" t="s">
        <v>1943</v>
      </c>
      <c r="I3" s="775"/>
      <c r="J3" s="2002" t="s">
        <v>1944</v>
      </c>
      <c r="K3" s="1119"/>
      <c r="L3" s="2003" t="s">
        <v>1945</v>
      </c>
      <c r="M3" s="864">
        <f>SUMPRODUCT((区片价!B30:B54=I2)*(区片价!C3:G3=E2)*(区片价!C30:G54))</f>
        <v>22610</v>
      </c>
      <c r="N3" s="866">
        <f>SUMPRODUCT((因素修正幅度!B30:B54=I2)*(因素修正幅度!C3:G3=E2)*(因素修正幅度!C30:G54))</f>
        <v>8.2000000000000003E-2</v>
      </c>
      <c r="O3" s="1119"/>
      <c r="P3" s="1119"/>
      <c r="Q3" s="1119"/>
      <c r="R3" s="1212">
        <v>2</v>
      </c>
      <c r="S3" s="3361">
        <f>ROUND(SUMPRODUCT((B106:B110=R3)*(C105:N105=G2)*(C106:N110)),4)</f>
        <v>1.1838</v>
      </c>
      <c r="T3" s="3361">
        <f t="shared" si="0"/>
        <v>27523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23261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20892</v>
      </c>
      <c r="D5" s="1339">
        <f>ROUND(C6*C17+C20,0)</f>
        <v>18088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20515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19716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3.0558083671074119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3394</v>
      </c>
      <c r="D15" s="2044" t="s">
        <v>3392</v>
      </c>
      <c r="E15" s="2045" t="s">
        <v>3393</v>
      </c>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1.05</v>
      </c>
      <c r="E16" s="3318">
        <v>1.1000000000000001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0.8</v>
      </c>
      <c r="D17" s="3322" t="s">
        <v>3254</v>
      </c>
      <c r="E17" s="3331">
        <f>ROUND(G18/I18,2)</f>
        <v>1</v>
      </c>
      <c r="F17" s="3322" t="s">
        <v>3257</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v>70</v>
      </c>
      <c r="F18" s="3324" t="s">
        <v>3258</v>
      </c>
      <c r="G18" s="3328">
        <f>ROUND(1-(1/(POWER(1+G24,E18))),4)</f>
        <v>0.96709999999999996</v>
      </c>
      <c r="H18" s="3324" t="s">
        <v>3260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f>'数据-汇总表'!F19</f>
        <v>62411.33</v>
      </c>
      <c r="F19" s="3339" t="s">
        <v>3259</v>
      </c>
      <c r="G19" s="3338">
        <f>E19</f>
        <v>62411.33</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3261</v>
      </c>
      <c r="B20" s="167" t="s">
        <v>1994</v>
      </c>
      <c r="C20" s="3325">
        <f>ROUND(IF(F21="与级别开发程度一致",0,(G21-E21)/C21),0)</f>
        <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45001</v>
      </c>
      <c r="H23" s="3343" t="s">
        <v>3263</v>
      </c>
      <c r="I23" s="3344" t="str">
        <f>IF(H23="季度增幅（自定义）",SUMIF(N25:N28,E2,O25:O28),"")</f>
        <v/>
      </c>
      <c r="J23" s="3446" t="s">
        <v>3262</v>
      </c>
      <c r="K23" s="1125"/>
      <c r="L23" s="2055" t="s">
        <v>2004</v>
      </c>
      <c r="M23" s="1328">
        <f>ROUND(SUMIF(地价!B2:G2,E2,地价!B16:G16),0)</f>
        <v>687</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0.98939999999999995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64.44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0.95860000000000001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0.95860000000000001</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0.96209999999999996</v>
      </c>
      <c r="G26" s="752">
        <f>ROUNDUP(G3,1)</f>
        <v>3.1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0.95589999999999997</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1.0592999999999999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139096</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22287</v>
      </c>
      <c r="D33" s="2098">
        <f>'数据-汇总表'!F19</f>
        <v>62411.33</v>
      </c>
      <c r="E33" s="773">
        <f>ROUND(C33*D33/10000,0)</f>
        <v>139096</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5572</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12077</v>
      </c>
      <c r="D37" s="2098"/>
      <c r="E37" s="171">
        <f>ROUND(C37*D37/10000,0)</f>
        <v>0</v>
      </c>
      <c r="F37" s="171">
        <f>SUMIF(修正!A57:A68,G2,修正!B57:B68)</f>
        <v>0.6</v>
      </c>
      <c r="G37" s="171">
        <f>ROUND(IF(E2="工业",C37*$M$42,C37*$M$41),0)</f>
        <v>3019</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6039</v>
      </c>
      <c r="D38" s="2098"/>
      <c r="E38" s="171">
        <f t="shared" ref="E38:E42" si="4">ROUND(C38*D38/10000,0)</f>
        <v>0</v>
      </c>
      <c r="F38" s="171">
        <f>SUMIF(修正!A57:A68,G2,修正!C57:C68)</f>
        <v>0.3</v>
      </c>
      <c r="G38" s="171">
        <f>ROUND(IF(E2="工业",C38*$M$42,C38*$M$41),0)</f>
        <v>1510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3266</v>
      </c>
      <c r="C39" s="175">
        <f>ROUND(D5*C22*C23*C24*C28*F39,0)</f>
        <v>5032</v>
      </c>
      <c r="D39" s="2098"/>
      <c r="E39" s="171">
        <f t="shared" si="4"/>
        <v>0</v>
      </c>
      <c r="F39" s="171">
        <f>SUMIF(修正!A57:A68,G2,修正!D57:D68)</f>
        <v>0.25</v>
      </c>
      <c r="G39" s="171">
        <f>ROUND(IF(E2="工业",C39*$M$42,C39*$M$41),0)</f>
        <v>1258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5032</v>
      </c>
      <c r="D40" s="2098"/>
      <c r="E40" s="171">
        <f t="shared" si="4"/>
        <v>0</v>
      </c>
      <c r="F40" s="175">
        <f>SUMIF(修正!A57:A68,G2,修正!E57:E68)</f>
        <v>0.25</v>
      </c>
      <c r="G40" s="171">
        <f>ROUND(IF(E2="工业",C40*$M$42,C40*$M$41),0)</f>
        <v>1258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1.0592999999999999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3401</v>
      </c>
      <c r="D72" s="1065">
        <f t="shared" ref="D72:D80" si="17">SUMIF($J$71:$N$71,C72,J72:N72)</f>
        <v>8.2000000000000007E-3</v>
      </c>
      <c r="E72" s="744">
        <f>ROUND(SUM(D72:D80),4)</f>
        <v>5.9299999999999999E-2</v>
      </c>
      <c r="F72" s="1814">
        <f>IF(E2="住宅",SUMIF(L1:L12,G2,N1:N12),"——")</f>
        <v>8.2000000000000003E-2</v>
      </c>
      <c r="G72" s="1063">
        <v>8.2000000000000007E-3</v>
      </c>
      <c r="H72" s="1066">
        <f t="shared" ref="H72:H80" si="18">IFERROR(ROUNDDOWN($F$72*I72/2,4),"——")</f>
        <v>8.2000000000000007E-3</v>
      </c>
      <c r="I72" s="3367">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3402</v>
      </c>
      <c r="D73" s="1065">
        <f t="shared" si="17"/>
        <v>2.12E-2</v>
      </c>
      <c r="E73" s="747"/>
      <c r="F73" s="1814"/>
      <c r="G73" s="1063">
        <v>1.06E-2</v>
      </c>
      <c r="H73" s="1066">
        <f t="shared" si="18"/>
        <v>1.06E-2</v>
      </c>
      <c r="I73" s="3367">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t="s">
        <v>3401</v>
      </c>
      <c r="D74" s="1065">
        <f t="shared" si="17"/>
        <v>4.1000000000000003E-3</v>
      </c>
      <c r="E74" s="747"/>
      <c r="F74" s="1814"/>
      <c r="G74" s="1063">
        <v>4.1000000000000003E-3</v>
      </c>
      <c r="H74" s="1066">
        <f t="shared" si="18"/>
        <v>4.1000000000000003E-3</v>
      </c>
      <c r="I74" s="3367">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3401</v>
      </c>
      <c r="D75" s="1065">
        <f t="shared" si="17"/>
        <v>2E-3</v>
      </c>
      <c r="E75" s="747"/>
      <c r="F75" s="1814"/>
      <c r="G75" s="1063">
        <v>2E-3</v>
      </c>
      <c r="H75" s="1066">
        <f t="shared" si="18"/>
        <v>2E-3</v>
      </c>
      <c r="I75" s="3367">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5.5">
      <c r="A76" s="2130" t="s">
        <v>2059</v>
      </c>
      <c r="B76" s="1326" t="str">
        <f>估价对象房地状况!C21</f>
        <v>估价对象所在区域公共配套设施齐备情况</v>
      </c>
      <c r="C76" s="2044" t="s">
        <v>3402</v>
      </c>
      <c r="D76" s="1065">
        <f t="shared" si="17"/>
        <v>6.4000000000000003E-3</v>
      </c>
      <c r="E76" s="747"/>
      <c r="F76" s="1814"/>
      <c r="G76" s="1063">
        <v>3.2000000000000002E-3</v>
      </c>
      <c r="H76" s="1066">
        <f t="shared" si="18"/>
        <v>3.2000000000000002E-3</v>
      </c>
      <c r="I76" s="3367">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5.5">
      <c r="A77" s="2130" t="s">
        <v>2060</v>
      </c>
      <c r="B77" s="1326" t="str">
        <f>估价对象房地状况!C22</f>
        <v>估价对象所在区域基础设施水平</v>
      </c>
      <c r="C77" s="2044" t="s">
        <v>3401</v>
      </c>
      <c r="D77" s="1065">
        <f t="shared" si="17"/>
        <v>3.5999999999999999E-3</v>
      </c>
      <c r="E77" s="747"/>
      <c r="F77" s="1814"/>
      <c r="G77" s="1063">
        <v>3.5999999999999999E-3</v>
      </c>
      <c r="H77" s="1066">
        <f t="shared" si="18"/>
        <v>3.5999999999999999E-3</v>
      </c>
      <c r="I77" s="3367">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24">
      <c r="A78" s="2130" t="s">
        <v>2057</v>
      </c>
      <c r="B78" s="2136" t="s">
        <v>2058</v>
      </c>
      <c r="C78" s="2044" t="s">
        <v>3401</v>
      </c>
      <c r="D78" s="1065">
        <f t="shared" si="17"/>
        <v>2E-3</v>
      </c>
      <c r="E78" s="747"/>
      <c r="F78" s="1814"/>
      <c r="G78" s="1063">
        <v>2E-3</v>
      </c>
      <c r="H78" s="1066">
        <f t="shared" si="18"/>
        <v>2E-3</v>
      </c>
      <c r="I78" s="3367">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25.5">
      <c r="A79" s="2130" t="s">
        <v>2061</v>
      </c>
      <c r="B79" s="2133" t="str">
        <f>估价对象房地状况!C20</f>
        <v>区域自然环境：；人文环境；综合评价环境状况一般</v>
      </c>
      <c r="C79" s="2044" t="s">
        <v>3402</v>
      </c>
      <c r="D79" s="1065">
        <f t="shared" si="17"/>
        <v>9.7999999999999997E-3</v>
      </c>
      <c r="E79" s="747"/>
      <c r="F79" s="1814"/>
      <c r="G79" s="1063">
        <v>4.8999999999999998E-3</v>
      </c>
      <c r="H79" s="1066">
        <f t="shared" si="18"/>
        <v>4.8999999999999998E-3</v>
      </c>
      <c r="I79" s="3367">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24.75" thickBot="1">
      <c r="A80" s="2138" t="s">
        <v>2068</v>
      </c>
      <c r="B80" s="2142"/>
      <c r="C80" s="2044" t="s">
        <v>3401</v>
      </c>
      <c r="D80" s="1065">
        <f t="shared" si="17"/>
        <v>2E-3</v>
      </c>
      <c r="E80" s="748"/>
      <c r="F80" s="1814"/>
      <c r="G80" s="1063">
        <v>2E-3</v>
      </c>
      <c r="H80" s="1066">
        <f t="shared" si="18"/>
        <v>2E-3</v>
      </c>
      <c r="I80" s="3368">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3301</v>
      </c>
      <c r="B103" s="3766"/>
      <c r="C103" s="3766"/>
      <c r="D103" s="3766"/>
      <c r="E103" s="3766"/>
      <c r="F103" s="3766"/>
      <c r="G103" s="3766"/>
      <c r="H103" s="3766"/>
      <c r="I103" s="3766"/>
      <c r="J103" s="3766"/>
      <c r="K103" s="3390"/>
      <c r="L103" s="3390"/>
      <c r="M103" s="3390"/>
      <c r="N103" s="3390"/>
    </row>
    <row r="104" spans="1:14">
      <c r="A104" s="3767" t="s">
        <v>3302</v>
      </c>
      <c r="B104" s="3767" t="s">
        <v>3303</v>
      </c>
      <c r="C104" s="3391" t="s">
        <v>3304</v>
      </c>
      <c r="D104" s="3392"/>
      <c r="E104" s="3392"/>
      <c r="F104" s="3392"/>
      <c r="G104" s="3392"/>
      <c r="H104" s="3392"/>
      <c r="I104" s="3392"/>
      <c r="J104" s="3393"/>
      <c r="K104" s="3394"/>
      <c r="L104" s="3394"/>
      <c r="M104" s="3394"/>
      <c r="N104" s="3394"/>
    </row>
    <row r="105" spans="1:14">
      <c r="A105" s="3767"/>
      <c r="B105" s="376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3318</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3.0558083671074119</v>
      </c>
      <c r="C116" s="3400" t="s">
        <v>3320</v>
      </c>
      <c r="D116" s="3401">
        <f>SUMPRODUCT((A118:A122=F116)*(B117:M117=H116)*B118:M122)</f>
        <v>0.89270000000000005</v>
      </c>
      <c r="E116" s="2000" t="s">
        <v>3321</v>
      </c>
      <c r="F116" s="3402" t="str">
        <f>E2</f>
        <v>住宅</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0.96319999999999995</v>
      </c>
      <c r="C118" s="3388">
        <f>B118</f>
        <v>0.96319999999999995</v>
      </c>
      <c r="D118" s="3388">
        <f>ROUND(0.949-0.014*B116,4)</f>
        <v>0.90620000000000001</v>
      </c>
      <c r="E118" s="3388">
        <f>D118</f>
        <v>0.90620000000000001</v>
      </c>
      <c r="F118" s="3388">
        <f>E118</f>
        <v>0.90620000000000001</v>
      </c>
      <c r="G118" s="3388">
        <f>F118</f>
        <v>0.90620000000000001</v>
      </c>
      <c r="H118" s="3388">
        <f>G118</f>
        <v>0.90620000000000001</v>
      </c>
      <c r="I118" s="3388">
        <f>ROUND(0.8486-0.018*B116,4)</f>
        <v>0.79359999999999997</v>
      </c>
      <c r="J118" s="3388">
        <f t="shared" ref="J118:M122" si="35">I118</f>
        <v>0.79359999999999997</v>
      </c>
      <c r="K118" s="3388">
        <f t="shared" si="35"/>
        <v>0.79359999999999997</v>
      </c>
      <c r="L118" s="3388">
        <f t="shared" si="35"/>
        <v>0.79359999999999997</v>
      </c>
      <c r="M118" s="3411">
        <f t="shared" si="35"/>
        <v>0.79359999999999997</v>
      </c>
      <c r="N118" s="3398"/>
    </row>
    <row r="119" spans="1:14">
      <c r="A119" s="3410" t="s">
        <v>3336</v>
      </c>
      <c r="B119" s="3388">
        <f>ROUND(0.993-0.0112*B116,4)</f>
        <v>0.95879999999999999</v>
      </c>
      <c r="C119" s="3388">
        <f>B119</f>
        <v>0.95879999999999999</v>
      </c>
      <c r="D119" s="3388">
        <f>ROUND(0.9415-0.0142*B116,4)</f>
        <v>0.89810000000000001</v>
      </c>
      <c r="E119" s="3388">
        <f t="shared" ref="E119:H120" si="36">D119</f>
        <v>0.89810000000000001</v>
      </c>
      <c r="F119" s="3388">
        <f t="shared" si="36"/>
        <v>0.89810000000000001</v>
      </c>
      <c r="G119" s="3388">
        <f t="shared" si="36"/>
        <v>0.89810000000000001</v>
      </c>
      <c r="H119" s="3388">
        <f t="shared" si="36"/>
        <v>0.89810000000000001</v>
      </c>
      <c r="I119" s="3388">
        <f>ROUND(0.838-0.0182*B116,4)</f>
        <v>0.78239999999999998</v>
      </c>
      <c r="J119" s="3388">
        <f t="shared" si="35"/>
        <v>0.78239999999999998</v>
      </c>
      <c r="K119" s="3388">
        <f t="shared" si="35"/>
        <v>0.78239999999999998</v>
      </c>
      <c r="L119" s="3388">
        <f t="shared" si="35"/>
        <v>0.78239999999999998</v>
      </c>
      <c r="M119" s="3411">
        <f t="shared" si="35"/>
        <v>0.78239999999999998</v>
      </c>
      <c r="N119" s="3398"/>
    </row>
    <row r="120" spans="1:14">
      <c r="A120" s="3410" t="s">
        <v>3337</v>
      </c>
      <c r="B120" s="3388">
        <f>ROUND(0.9448-0.0115*B116,4)</f>
        <v>0.90969999999999995</v>
      </c>
      <c r="C120" s="3388">
        <f>B120</f>
        <v>0.90969999999999995</v>
      </c>
      <c r="D120" s="3388">
        <f>ROUND(0.937-0.0145*B116,4)</f>
        <v>0.89270000000000005</v>
      </c>
      <c r="E120" s="3388">
        <f t="shared" si="36"/>
        <v>0.89270000000000005</v>
      </c>
      <c r="F120" s="3388">
        <f t="shared" si="36"/>
        <v>0.89270000000000005</v>
      </c>
      <c r="G120" s="3388">
        <f t="shared" si="36"/>
        <v>0.89270000000000005</v>
      </c>
      <c r="H120" s="3388">
        <f t="shared" si="36"/>
        <v>0.89270000000000005</v>
      </c>
      <c r="I120" s="3388">
        <f>ROUND(0.7965-0.0185*B116,4)</f>
        <v>0.74</v>
      </c>
      <c r="J120" s="3388">
        <f t="shared" si="35"/>
        <v>0.74</v>
      </c>
      <c r="K120" s="3388">
        <f t="shared" si="35"/>
        <v>0.74</v>
      </c>
      <c r="L120" s="3388">
        <f t="shared" si="35"/>
        <v>0.74</v>
      </c>
      <c r="M120" s="3411">
        <f t="shared" si="35"/>
        <v>0.74</v>
      </c>
      <c r="N120" s="3398"/>
    </row>
    <row r="121" spans="1:14" ht="13.5" thickBot="1">
      <c r="A121" s="3412" t="s">
        <v>3338</v>
      </c>
      <c r="B121" s="3413">
        <f>ROUND(0.7836-0.012*B116,4)</f>
        <v>0.74690000000000001</v>
      </c>
      <c r="C121" s="3413">
        <f>B121</f>
        <v>0.74690000000000001</v>
      </c>
      <c r="D121" s="3413">
        <f>ROUND(0.753-0.015*B116,4)</f>
        <v>0.70720000000000005</v>
      </c>
      <c r="E121" s="3413">
        <f>D121</f>
        <v>0.70720000000000005</v>
      </c>
      <c r="F121" s="3413">
        <f>E121</f>
        <v>0.70720000000000005</v>
      </c>
      <c r="G121" s="3413">
        <f>ROUND(0.6612-0.018*B116,4)</f>
        <v>0.60619999999999996</v>
      </c>
      <c r="H121" s="3413">
        <f>G121</f>
        <v>0.60619999999999996</v>
      </c>
      <c r="I121" s="3413">
        <f>ROUND(0.5905-0.019*B116,4)</f>
        <v>0.53239999999999998</v>
      </c>
      <c r="J121" s="3413">
        <f t="shared" si="35"/>
        <v>0.53239999999999998</v>
      </c>
      <c r="K121" s="3413">
        <f t="shared" si="35"/>
        <v>0.53239999999999998</v>
      </c>
      <c r="L121" s="3413">
        <f t="shared" si="35"/>
        <v>0.53239999999999998</v>
      </c>
      <c r="M121" s="3414">
        <f t="shared" si="35"/>
        <v>0.53239999999999998</v>
      </c>
      <c r="N121" s="3398"/>
    </row>
    <row r="122" spans="1:14">
      <c r="A122" s="3415" t="s">
        <v>2615</v>
      </c>
      <c r="B122" s="3388">
        <f>ROUND(0.9404-0.0106*B116,4)</f>
        <v>0.90800000000000003</v>
      </c>
      <c r="C122" s="3388">
        <f>B122</f>
        <v>0.90800000000000003</v>
      </c>
      <c r="D122" s="3388">
        <f>ROUND(0.8955-0.0135*B116,4)</f>
        <v>0.85419999999999996</v>
      </c>
      <c r="E122" s="3388">
        <f t="shared" ref="E122:H122" si="37">D122</f>
        <v>0.85419999999999996</v>
      </c>
      <c r="F122" s="3388">
        <f t="shared" si="37"/>
        <v>0.85419999999999996</v>
      </c>
      <c r="G122" s="3388">
        <f t="shared" si="37"/>
        <v>0.85419999999999996</v>
      </c>
      <c r="H122" s="3388">
        <f t="shared" si="37"/>
        <v>0.85419999999999996</v>
      </c>
      <c r="I122" s="3388">
        <f>ROUND(0.7632-0.0166*B116,4)</f>
        <v>0.71250000000000002</v>
      </c>
      <c r="J122" s="3388">
        <f t="shared" si="35"/>
        <v>0.71250000000000002</v>
      </c>
      <c r="K122" s="3388">
        <f t="shared" si="35"/>
        <v>0.71250000000000002</v>
      </c>
      <c r="L122" s="3388">
        <f t="shared" si="35"/>
        <v>0.71250000000000002</v>
      </c>
      <c r="M122" s="3411">
        <f t="shared" si="35"/>
        <v>0.71250000000000002</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9" t="s">
        <v>2610</v>
      </c>
      <c r="B20" s="3772" t="s">
        <v>2631</v>
      </c>
      <c r="C20" s="3103" t="s">
        <v>2442</v>
      </c>
      <c r="D20" s="3104"/>
      <c r="E20" s="3105">
        <v>1</v>
      </c>
      <c r="F20" s="3106" t="s">
        <v>2443</v>
      </c>
      <c r="G20" s="3106"/>
    </row>
    <row r="21" spans="1:13" ht="19.5" customHeight="1">
      <c r="A21" s="3780"/>
      <c r="B21" s="3773"/>
      <c r="C21" s="3107" t="s">
        <v>2444</v>
      </c>
      <c r="D21" s="3108"/>
      <c r="E21" s="3109">
        <v>1</v>
      </c>
      <c r="F21" s="3106" t="s">
        <v>2445</v>
      </c>
      <c r="G21" s="3106"/>
    </row>
    <row r="22" spans="1:13" ht="19.5" customHeight="1">
      <c r="A22" s="3780"/>
      <c r="B22" s="3773"/>
      <c r="C22" s="3107" t="s">
        <v>2446</v>
      </c>
      <c r="D22" s="3108"/>
      <c r="E22" s="3109">
        <v>0.9</v>
      </c>
      <c r="F22" s="3106" t="s">
        <v>2447</v>
      </c>
      <c r="G22" s="3106"/>
    </row>
    <row r="23" spans="1:13" ht="19.5" customHeight="1">
      <c r="A23" s="3780"/>
      <c r="B23" s="3773"/>
      <c r="C23" s="3107" t="s">
        <v>2448</v>
      </c>
      <c r="D23" s="3108"/>
      <c r="E23" s="3109">
        <v>0.9</v>
      </c>
      <c r="F23" s="3106" t="s">
        <v>2449</v>
      </c>
      <c r="G23" s="3106"/>
    </row>
    <row r="24" spans="1:13" ht="19.5" customHeight="1">
      <c r="A24" s="3780"/>
      <c r="B24" s="3773"/>
      <c r="C24" s="3107" t="s">
        <v>2450</v>
      </c>
      <c r="D24" s="3108"/>
      <c r="E24" s="3109">
        <v>0.8</v>
      </c>
      <c r="F24" s="3106" t="s">
        <v>2451</v>
      </c>
      <c r="G24" s="3106"/>
    </row>
    <row r="25" spans="1:13" ht="19.5" customHeight="1" thickBot="1">
      <c r="A25" s="3781"/>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2" t="s">
        <v>2615</v>
      </c>
      <c r="C27" s="3103" t="s">
        <v>2455</v>
      </c>
      <c r="D27" s="3104"/>
      <c r="E27" s="3105">
        <v>1</v>
      </c>
      <c r="F27" s="3106" t="s">
        <v>2456</v>
      </c>
      <c r="G27" s="3106"/>
    </row>
    <row r="28" spans="1:13" ht="19.5" customHeight="1">
      <c r="A28" s="3776"/>
      <c r="B28" s="3773"/>
      <c r="C28" s="3107" t="s">
        <v>2457</v>
      </c>
      <c r="D28" s="3108"/>
      <c r="E28" s="3109">
        <v>1</v>
      </c>
      <c r="F28" s="3106" t="s">
        <v>2458</v>
      </c>
      <c r="G28" s="3106"/>
    </row>
    <row r="29" spans="1:13" ht="19.5" customHeight="1">
      <c r="A29" s="3776"/>
      <c r="B29" s="3773"/>
      <c r="C29" s="3107" t="s">
        <v>2459</v>
      </c>
      <c r="D29" s="3108"/>
      <c r="E29" s="3109">
        <v>0.8</v>
      </c>
      <c r="F29" s="3106" t="s">
        <v>2460</v>
      </c>
      <c r="G29" s="3106"/>
    </row>
    <row r="30" spans="1:13" ht="19.5" customHeight="1">
      <c r="A30" s="3776"/>
      <c r="B30" s="3773"/>
      <c r="C30" s="3107" t="s">
        <v>2461</v>
      </c>
      <c r="D30" s="3108"/>
      <c r="E30" s="3109">
        <v>0.8</v>
      </c>
      <c r="F30" s="3106" t="s">
        <v>2462</v>
      </c>
      <c r="G30" s="3106"/>
    </row>
    <row r="31" spans="1:13" ht="19.5" customHeight="1">
      <c r="A31" s="3776"/>
      <c r="B31" s="3773"/>
      <c r="C31" s="3107" t="s">
        <v>2463</v>
      </c>
      <c r="D31" s="3108"/>
      <c r="E31" s="3109">
        <v>0.8</v>
      </c>
      <c r="F31" s="3106" t="s">
        <v>2464</v>
      </c>
      <c r="G31" s="3106"/>
    </row>
    <row r="32" spans="1:13" ht="19.5" customHeight="1">
      <c r="A32" s="3776"/>
      <c r="B32" s="3773"/>
      <c r="C32" s="3107" t="s">
        <v>2465</v>
      </c>
      <c r="D32" s="3108"/>
      <c r="E32" s="3109">
        <v>0.7</v>
      </c>
      <c r="F32" s="3106" t="s">
        <v>2466</v>
      </c>
      <c r="G32" s="3106"/>
    </row>
    <row r="33" spans="1:7" ht="19.5" customHeight="1">
      <c r="A33" s="3776"/>
      <c r="B33" s="3773"/>
      <c r="C33" s="3107" t="s">
        <v>2467</v>
      </c>
      <c r="D33" s="3108"/>
      <c r="E33" s="3109">
        <v>0.8</v>
      </c>
      <c r="F33" s="3106" t="s">
        <v>2468</v>
      </c>
      <c r="G33" s="3106"/>
    </row>
    <row r="34" spans="1:7" ht="19.5" customHeight="1">
      <c r="A34" s="3776"/>
      <c r="B34" s="3773"/>
      <c r="C34" s="3107" t="s">
        <v>2469</v>
      </c>
      <c r="D34" s="3108"/>
      <c r="E34" s="3109">
        <v>0.6</v>
      </c>
      <c r="F34" s="3106" t="s">
        <v>2470</v>
      </c>
      <c r="G34" s="3106"/>
    </row>
    <row r="35" spans="1:7" ht="19.5" customHeight="1">
      <c r="A35" s="3776"/>
      <c r="B35" s="3773"/>
      <c r="C35" s="3107" t="s">
        <v>2471</v>
      </c>
      <c r="D35" s="3108"/>
      <c r="E35" s="3109">
        <v>0.2</v>
      </c>
      <c r="F35" s="3106" t="s">
        <v>2472</v>
      </c>
      <c r="G35" s="3106"/>
    </row>
    <row r="36" spans="1:7" ht="19.5" customHeight="1">
      <c r="A36" s="3776"/>
      <c r="B36" s="3773"/>
      <c r="C36" s="3107" t="s">
        <v>2473</v>
      </c>
      <c r="D36" s="3108"/>
      <c r="E36" s="3109">
        <v>0.2</v>
      </c>
      <c r="F36" s="3106" t="s">
        <v>2474</v>
      </c>
      <c r="G36" s="3106"/>
    </row>
    <row r="37" spans="1:7" ht="19.5" customHeight="1">
      <c r="A37" s="3776"/>
      <c r="B37" s="3778" t="s">
        <v>2635</v>
      </c>
      <c r="C37" s="3107" t="s">
        <v>2475</v>
      </c>
      <c r="D37" s="3108"/>
      <c r="E37" s="3109">
        <v>0.6</v>
      </c>
      <c r="F37" s="3106" t="s">
        <v>2476</v>
      </c>
      <c r="G37" s="3106"/>
    </row>
    <row r="38" spans="1:7" ht="19.5" customHeight="1">
      <c r="A38" s="3776"/>
      <c r="B38" s="3773"/>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9" t="s">
        <v>2613</v>
      </c>
      <c r="B41" s="3772" t="s">
        <v>2637</v>
      </c>
      <c r="C41" s="3103" t="s">
        <v>2482</v>
      </c>
      <c r="D41" s="3104"/>
      <c r="E41" s="3105">
        <v>1</v>
      </c>
      <c r="F41" s="3106" t="s">
        <v>2483</v>
      </c>
      <c r="G41" s="3106"/>
    </row>
    <row r="42" spans="1:7" ht="19.5" customHeight="1">
      <c r="A42" s="3780"/>
      <c r="B42" s="3773"/>
      <c r="C42" s="3107" t="s">
        <v>2484</v>
      </c>
      <c r="D42" s="3108"/>
      <c r="E42" s="3109">
        <v>1</v>
      </c>
      <c r="F42" s="3106" t="s">
        <v>2485</v>
      </c>
      <c r="G42" s="3106"/>
    </row>
    <row r="43" spans="1:7" ht="19.5" customHeight="1">
      <c r="A43" s="3780"/>
      <c r="B43" s="3782"/>
      <c r="C43" s="3107" t="s">
        <v>2486</v>
      </c>
      <c r="D43" s="3108"/>
      <c r="E43" s="3109">
        <v>1.5</v>
      </c>
      <c r="F43" s="3106" t="s">
        <v>2487</v>
      </c>
      <c r="G43" s="3106"/>
    </row>
    <row r="44" spans="1:7" ht="19.5" customHeight="1">
      <c r="A44" s="3780"/>
      <c r="B44" s="3118" t="s">
        <v>2638</v>
      </c>
      <c r="C44" s="3107" t="s">
        <v>2639</v>
      </c>
      <c r="D44" s="3108"/>
      <c r="E44" s="3109">
        <v>2</v>
      </c>
      <c r="F44" s="3106" t="s">
        <v>2488</v>
      </c>
      <c r="G44" s="3106"/>
    </row>
    <row r="45" spans="1:7" ht="19.5" customHeight="1">
      <c r="A45" s="3780"/>
      <c r="B45" s="3778" t="s">
        <v>2640</v>
      </c>
      <c r="C45" s="3107" t="s">
        <v>2489</v>
      </c>
      <c r="D45" s="3108"/>
      <c r="E45" s="3109">
        <v>1</v>
      </c>
      <c r="F45" s="3106" t="s">
        <v>2490</v>
      </c>
      <c r="G45" s="3106"/>
    </row>
    <row r="46" spans="1:7" ht="19.5" customHeight="1">
      <c r="A46" s="3780"/>
      <c r="B46" s="3773"/>
      <c r="C46" s="3107" t="s">
        <v>2491</v>
      </c>
      <c r="D46" s="3108"/>
      <c r="E46" s="3109">
        <v>1</v>
      </c>
      <c r="F46" s="3106" t="s">
        <v>2492</v>
      </c>
      <c r="G46" s="3106"/>
    </row>
    <row r="47" spans="1:7" ht="19.5" customHeight="1">
      <c r="A47" s="3780"/>
      <c r="B47" s="3773"/>
      <c r="C47" s="3107" t="s">
        <v>2493</v>
      </c>
      <c r="D47" s="3108"/>
      <c r="E47" s="3109">
        <v>1</v>
      </c>
      <c r="F47" s="3106" t="s">
        <v>2494</v>
      </c>
      <c r="G47" s="3106"/>
    </row>
    <row r="48" spans="1:7" ht="19.5" customHeight="1">
      <c r="A48" s="3780"/>
      <c r="B48" s="3773"/>
      <c r="C48" s="3107" t="s">
        <v>2495</v>
      </c>
      <c r="D48" s="3108"/>
      <c r="E48" s="3109">
        <v>1</v>
      </c>
      <c r="F48" s="3106" t="s">
        <v>2496</v>
      </c>
      <c r="G48" s="3106"/>
    </row>
    <row r="49" spans="1:7" ht="19.5" customHeight="1">
      <c r="A49" s="3780"/>
      <c r="B49" s="3773"/>
      <c r="C49" s="3107" t="s">
        <v>2497</v>
      </c>
      <c r="D49" s="3108"/>
      <c r="E49" s="3109">
        <v>1</v>
      </c>
      <c r="F49" s="3106" t="s">
        <v>2498</v>
      </c>
      <c r="G49" s="3106"/>
    </row>
    <row r="50" spans="1:7" ht="19.5" customHeight="1">
      <c r="A50" s="3780"/>
      <c r="B50" s="3773"/>
      <c r="C50" s="3107" t="s">
        <v>2499</v>
      </c>
      <c r="D50" s="3108"/>
      <c r="E50" s="3109">
        <v>1</v>
      </c>
      <c r="F50" s="3106" t="s">
        <v>2500</v>
      </c>
      <c r="G50" s="3106"/>
    </row>
    <row r="51" spans="1:7" ht="19.5" customHeight="1" thickBot="1">
      <c r="A51" s="3781"/>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8" t="s">
        <v>2654</v>
      </c>
      <c r="C73" s="3092" t="s">
        <v>2655</v>
      </c>
      <c r="D73" s="3092" t="s">
        <v>2656</v>
      </c>
      <c r="E73" s="3118">
        <v>0.2</v>
      </c>
      <c r="F73" s="3118">
        <v>25</v>
      </c>
    </row>
    <row r="74" spans="1:7" ht="24">
      <c r="A74" s="3118">
        <v>2</v>
      </c>
      <c r="B74" s="3773"/>
      <c r="C74" s="3092" t="s">
        <v>2657</v>
      </c>
      <c r="D74" s="3092" t="s">
        <v>2658</v>
      </c>
      <c r="E74" s="3118">
        <v>0.2</v>
      </c>
      <c r="F74" s="3118">
        <v>25</v>
      </c>
    </row>
    <row r="75" spans="1:7" ht="24">
      <c r="A75" s="3118">
        <v>3</v>
      </c>
      <c r="B75" s="3773"/>
      <c r="C75" s="3092" t="s">
        <v>2659</v>
      </c>
      <c r="D75" s="3092" t="s">
        <v>2660</v>
      </c>
      <c r="E75" s="3118">
        <v>0.2</v>
      </c>
      <c r="F75" s="3118">
        <v>25</v>
      </c>
    </row>
    <row r="76" spans="1:7" ht="13.5">
      <c r="A76" s="3118">
        <v>4</v>
      </c>
      <c r="B76" s="3773"/>
      <c r="C76" s="3092" t="s">
        <v>2661</v>
      </c>
      <c r="D76" s="3092" t="s">
        <v>2662</v>
      </c>
      <c r="E76" s="3118">
        <v>0.15</v>
      </c>
      <c r="F76" s="3118">
        <v>20</v>
      </c>
    </row>
    <row r="77" spans="1:7" ht="24">
      <c r="A77" s="3118">
        <v>5</v>
      </c>
      <c r="B77" s="3773"/>
      <c r="C77" s="3092" t="s">
        <v>2663</v>
      </c>
      <c r="D77" s="3092" t="s">
        <v>2664</v>
      </c>
      <c r="E77" s="3118">
        <v>0.15</v>
      </c>
      <c r="F77" s="3118">
        <v>20</v>
      </c>
    </row>
    <row r="78" spans="1:7" ht="24">
      <c r="A78" s="3118">
        <v>6</v>
      </c>
      <c r="B78" s="3773"/>
      <c r="C78" s="3092" t="s">
        <v>2665</v>
      </c>
      <c r="D78" s="3092" t="s">
        <v>2666</v>
      </c>
      <c r="E78" s="3118">
        <v>0.15</v>
      </c>
      <c r="F78" s="3118">
        <v>20</v>
      </c>
    </row>
    <row r="79" spans="1:7" ht="24">
      <c r="A79" s="3118">
        <v>7</v>
      </c>
      <c r="B79" s="3773"/>
      <c r="C79" s="3092" t="s">
        <v>2667</v>
      </c>
      <c r="D79" s="3092" t="s">
        <v>2668</v>
      </c>
      <c r="E79" s="3118">
        <v>0.15</v>
      </c>
      <c r="F79" s="3118">
        <v>20</v>
      </c>
    </row>
    <row r="80" spans="1:7" ht="24">
      <c r="A80" s="3118">
        <v>8</v>
      </c>
      <c r="B80" s="3773"/>
      <c r="C80" s="3092" t="s">
        <v>2669</v>
      </c>
      <c r="D80" s="3092" t="s">
        <v>2670</v>
      </c>
      <c r="E80" s="3118">
        <v>0.1</v>
      </c>
      <c r="F80" s="3118">
        <v>15</v>
      </c>
    </row>
    <row r="81" spans="1:6" ht="24">
      <c r="A81" s="3118">
        <v>9</v>
      </c>
      <c r="B81" s="3773"/>
      <c r="C81" s="3092" t="s">
        <v>2671</v>
      </c>
      <c r="D81" s="3092" t="s">
        <v>2672</v>
      </c>
      <c r="E81" s="3118">
        <v>0.1</v>
      </c>
      <c r="F81" s="3118">
        <v>15</v>
      </c>
    </row>
    <row r="82" spans="1:6" ht="24">
      <c r="A82" s="3118">
        <v>10</v>
      </c>
      <c r="B82" s="3773"/>
      <c r="C82" s="3092" t="s">
        <v>2673</v>
      </c>
      <c r="D82" s="3092" t="s">
        <v>2674</v>
      </c>
      <c r="E82" s="3118">
        <v>0.1</v>
      </c>
      <c r="F82" s="3118">
        <v>15</v>
      </c>
    </row>
    <row r="83" spans="1:6" ht="24">
      <c r="A83" s="3118">
        <v>11</v>
      </c>
      <c r="B83" s="3773"/>
      <c r="C83" s="3092" t="s">
        <v>2675</v>
      </c>
      <c r="D83" s="3092" t="s">
        <v>2676</v>
      </c>
      <c r="E83" s="3118">
        <v>0.1</v>
      </c>
      <c r="F83" s="3118">
        <v>15</v>
      </c>
    </row>
    <row r="84" spans="1:6" ht="24">
      <c r="A84" s="3118">
        <v>12</v>
      </c>
      <c r="B84" s="3773"/>
      <c r="C84" s="3092" t="s">
        <v>2677</v>
      </c>
      <c r="D84" s="3092" t="s">
        <v>2678</v>
      </c>
      <c r="E84" s="3118">
        <v>0.1</v>
      </c>
      <c r="F84" s="3118">
        <v>15</v>
      </c>
    </row>
    <row r="85" spans="1:6" ht="13.5">
      <c r="A85" s="3118">
        <v>13</v>
      </c>
      <c r="B85" s="3773"/>
      <c r="C85" s="3092" t="s">
        <v>2679</v>
      </c>
      <c r="D85" s="3092" t="s">
        <v>2680</v>
      </c>
      <c r="E85" s="3118">
        <v>0.1</v>
      </c>
      <c r="F85" s="3118">
        <v>15</v>
      </c>
    </row>
    <row r="86" spans="1:6" ht="13.5">
      <c r="A86" s="3118">
        <v>14</v>
      </c>
      <c r="B86" s="3773"/>
      <c r="C86" s="3092" t="s">
        <v>2681</v>
      </c>
      <c r="D86" s="3092" t="s">
        <v>2682</v>
      </c>
      <c r="E86" s="3118">
        <v>0.1</v>
      </c>
      <c r="F86" s="3118">
        <v>15</v>
      </c>
    </row>
    <row r="87" spans="1:6" ht="13.5">
      <c r="A87" s="3118">
        <v>15</v>
      </c>
      <c r="B87" s="3773"/>
      <c r="C87" s="3092" t="s">
        <v>2683</v>
      </c>
      <c r="D87" s="3092" t="s">
        <v>2684</v>
      </c>
      <c r="E87" s="3118">
        <v>0.1</v>
      </c>
      <c r="F87" s="3118">
        <v>15</v>
      </c>
    </row>
    <row r="88" spans="1:6" ht="24">
      <c r="A88" s="3118">
        <v>16</v>
      </c>
      <c r="B88" s="3773"/>
      <c r="C88" s="3092" t="s">
        <v>2685</v>
      </c>
      <c r="D88" s="3092" t="s">
        <v>2686</v>
      </c>
      <c r="E88" s="3118">
        <v>0.1</v>
      </c>
      <c r="F88" s="3118">
        <v>15</v>
      </c>
    </row>
    <row r="89" spans="1:6" ht="24">
      <c r="A89" s="3118">
        <v>17</v>
      </c>
      <c r="B89" s="3782"/>
      <c r="C89" s="3092" t="s">
        <v>2687</v>
      </c>
      <c r="D89" s="3092" t="s">
        <v>2688</v>
      </c>
      <c r="E89" s="3118">
        <v>0.1</v>
      </c>
      <c r="F89" s="3118">
        <v>15</v>
      </c>
    </row>
    <row r="90" spans="1:6" ht="13.5">
      <c r="A90" s="3118">
        <v>18</v>
      </c>
      <c r="B90" s="3778" t="s">
        <v>2689</v>
      </c>
      <c r="C90" s="3092" t="s">
        <v>2690</v>
      </c>
      <c r="D90" s="3092" t="s">
        <v>2691</v>
      </c>
      <c r="E90" s="3118">
        <v>0.2</v>
      </c>
      <c r="F90" s="3118">
        <v>25</v>
      </c>
    </row>
    <row r="91" spans="1:6" ht="24">
      <c r="A91" s="3118">
        <v>19</v>
      </c>
      <c r="B91" s="3773"/>
      <c r="C91" s="3092" t="s">
        <v>2692</v>
      </c>
      <c r="D91" s="3092" t="s">
        <v>2693</v>
      </c>
      <c r="E91" s="3118">
        <v>0.2</v>
      </c>
      <c r="F91" s="3118">
        <v>25</v>
      </c>
    </row>
    <row r="92" spans="1:6" ht="13.5">
      <c r="A92" s="3118">
        <v>20</v>
      </c>
      <c r="B92" s="3773"/>
      <c r="C92" s="3092" t="s">
        <v>2694</v>
      </c>
      <c r="D92" s="3092" t="s">
        <v>2695</v>
      </c>
      <c r="E92" s="3118">
        <v>0.15</v>
      </c>
      <c r="F92" s="3118">
        <v>20</v>
      </c>
    </row>
    <row r="93" spans="1:6" ht="13.5">
      <c r="A93" s="3118">
        <v>21</v>
      </c>
      <c r="B93" s="3773"/>
      <c r="C93" s="3092" t="s">
        <v>2696</v>
      </c>
      <c r="D93" s="3092" t="s">
        <v>2697</v>
      </c>
      <c r="E93" s="3118">
        <v>0.15</v>
      </c>
      <c r="F93" s="3118">
        <v>20</v>
      </c>
    </row>
    <row r="94" spans="1:6" ht="13.5">
      <c r="A94" s="3118">
        <v>22</v>
      </c>
      <c r="B94" s="3773"/>
      <c r="C94" s="3092" t="s">
        <v>2698</v>
      </c>
      <c r="D94" s="3092" t="s">
        <v>2699</v>
      </c>
      <c r="E94" s="3118">
        <v>0.15</v>
      </c>
      <c r="F94" s="3118">
        <v>20</v>
      </c>
    </row>
    <row r="95" spans="1:6" ht="36">
      <c r="A95" s="3118">
        <v>23</v>
      </c>
      <c r="B95" s="3773"/>
      <c r="C95" s="3092" t="s">
        <v>2700</v>
      </c>
      <c r="D95" s="3092" t="s">
        <v>2701</v>
      </c>
      <c r="E95" s="3118">
        <v>0.15</v>
      </c>
      <c r="F95" s="3118">
        <v>20</v>
      </c>
    </row>
    <row r="96" spans="1:6" ht="13.5">
      <c r="A96" s="3118">
        <v>24</v>
      </c>
      <c r="B96" s="3773"/>
      <c r="C96" s="3092" t="s">
        <v>2702</v>
      </c>
      <c r="D96" s="3092" t="s">
        <v>2703</v>
      </c>
      <c r="E96" s="3118">
        <v>0.1</v>
      </c>
      <c r="F96" s="3118">
        <v>15</v>
      </c>
    </row>
    <row r="97" spans="1:6" ht="13.5">
      <c r="A97" s="3118">
        <v>25</v>
      </c>
      <c r="B97" s="3773"/>
      <c r="C97" s="3092" t="s">
        <v>2704</v>
      </c>
      <c r="D97" s="3092" t="s">
        <v>2705</v>
      </c>
      <c r="E97" s="3118">
        <v>0.1</v>
      </c>
      <c r="F97" s="3118">
        <v>15</v>
      </c>
    </row>
    <row r="98" spans="1:6" ht="24">
      <c r="A98" s="3118">
        <v>26</v>
      </c>
      <c r="B98" s="3773"/>
      <c r="C98" s="3092" t="s">
        <v>2706</v>
      </c>
      <c r="D98" s="3092" t="s">
        <v>2707</v>
      </c>
      <c r="E98" s="3118">
        <v>0.1</v>
      </c>
      <c r="F98" s="3118">
        <v>15</v>
      </c>
    </row>
    <row r="99" spans="1:6" ht="24">
      <c r="A99" s="3118">
        <v>27</v>
      </c>
      <c r="B99" s="3773"/>
      <c r="C99" s="3092" t="s">
        <v>2708</v>
      </c>
      <c r="D99" s="3092" t="s">
        <v>2709</v>
      </c>
      <c r="E99" s="3118">
        <v>0.1</v>
      </c>
      <c r="F99" s="3118">
        <v>15</v>
      </c>
    </row>
    <row r="100" spans="1:6" ht="13.5">
      <c r="A100" s="3118">
        <v>28</v>
      </c>
      <c r="B100" s="3773"/>
      <c r="C100" s="3092" t="s">
        <v>2710</v>
      </c>
      <c r="D100" s="3092" t="s">
        <v>2711</v>
      </c>
      <c r="E100" s="3118">
        <v>0.1</v>
      </c>
      <c r="F100" s="3118">
        <v>15</v>
      </c>
    </row>
    <row r="101" spans="1:6" ht="13.5">
      <c r="A101" s="3118">
        <v>29</v>
      </c>
      <c r="B101" s="3773"/>
      <c r="C101" s="3092" t="s">
        <v>2712</v>
      </c>
      <c r="D101" s="3092" t="s">
        <v>2713</v>
      </c>
      <c r="E101" s="3118">
        <v>0.1</v>
      </c>
      <c r="F101" s="3118">
        <v>15</v>
      </c>
    </row>
    <row r="102" spans="1:6" ht="13.5">
      <c r="A102" s="3118">
        <v>30</v>
      </c>
      <c r="B102" s="3773"/>
      <c r="C102" s="3092" t="s">
        <v>2714</v>
      </c>
      <c r="D102" s="3092" t="s">
        <v>2715</v>
      </c>
      <c r="E102" s="3118">
        <v>0.1</v>
      </c>
      <c r="F102" s="3118">
        <v>15</v>
      </c>
    </row>
    <row r="103" spans="1:6" ht="24">
      <c r="A103" s="3118">
        <v>31</v>
      </c>
      <c r="B103" s="3773"/>
      <c r="C103" s="3092" t="s">
        <v>2716</v>
      </c>
      <c r="D103" s="3092" t="s">
        <v>2717</v>
      </c>
      <c r="E103" s="3118">
        <v>0.1</v>
      </c>
      <c r="F103" s="3118">
        <v>15</v>
      </c>
    </row>
    <row r="104" spans="1:6" ht="24">
      <c r="A104" s="3118">
        <v>32</v>
      </c>
      <c r="B104" s="3773"/>
      <c r="C104" s="3092" t="s">
        <v>2718</v>
      </c>
      <c r="D104" s="3092" t="s">
        <v>2719</v>
      </c>
      <c r="E104" s="3118">
        <v>0.1</v>
      </c>
      <c r="F104" s="3118">
        <v>15</v>
      </c>
    </row>
    <row r="105" spans="1:6" ht="24">
      <c r="A105" s="3118">
        <v>33</v>
      </c>
      <c r="B105" s="3773"/>
      <c r="C105" s="3092" t="s">
        <v>2720</v>
      </c>
      <c r="D105" s="3092" t="s">
        <v>2721</v>
      </c>
      <c r="E105" s="3118">
        <v>0.1</v>
      </c>
      <c r="F105" s="3118">
        <v>15</v>
      </c>
    </row>
    <row r="106" spans="1:6" ht="24">
      <c r="A106" s="3118">
        <v>34</v>
      </c>
      <c r="B106" s="3782"/>
      <c r="C106" s="3092" t="s">
        <v>2722</v>
      </c>
      <c r="D106" s="3092" t="s">
        <v>2723</v>
      </c>
      <c r="E106" s="3118">
        <v>0.1</v>
      </c>
      <c r="F106" s="3118">
        <v>15</v>
      </c>
    </row>
    <row r="107" spans="1:6" ht="24">
      <c r="A107" s="3118">
        <v>35</v>
      </c>
      <c r="B107" s="3778" t="s">
        <v>2724</v>
      </c>
      <c r="C107" s="3118" t="s">
        <v>2725</v>
      </c>
      <c r="D107" s="3092" t="s">
        <v>2726</v>
      </c>
      <c r="E107" s="3118">
        <v>0.15</v>
      </c>
      <c r="F107" s="3118">
        <v>20</v>
      </c>
    </row>
    <row r="108" spans="1:6" ht="13.5">
      <c r="A108" s="3118">
        <v>36</v>
      </c>
      <c r="B108" s="3773"/>
      <c r="C108" s="3118" t="s">
        <v>2727</v>
      </c>
      <c r="D108" s="3092" t="s">
        <v>2728</v>
      </c>
      <c r="E108" s="3118">
        <v>0.15</v>
      </c>
      <c r="F108" s="3118">
        <v>20</v>
      </c>
    </row>
    <row r="109" spans="1:6" ht="13.5">
      <c r="A109" s="3118">
        <v>37</v>
      </c>
      <c r="B109" s="3773"/>
      <c r="C109" s="3118" t="s">
        <v>2729</v>
      </c>
      <c r="D109" s="3092" t="s">
        <v>2730</v>
      </c>
      <c r="E109" s="3118">
        <v>0.15</v>
      </c>
      <c r="F109" s="3118">
        <v>20</v>
      </c>
    </row>
    <row r="110" spans="1:6" ht="13.5">
      <c r="A110" s="3118">
        <v>38</v>
      </c>
      <c r="B110" s="3773"/>
      <c r="C110" s="3118" t="s">
        <v>2731</v>
      </c>
      <c r="D110" s="3092" t="s">
        <v>2732</v>
      </c>
      <c r="E110" s="3118">
        <v>0.1</v>
      </c>
      <c r="F110" s="3118">
        <v>15</v>
      </c>
    </row>
    <row r="111" spans="1:6" ht="24">
      <c r="A111" s="3118">
        <v>39</v>
      </c>
      <c r="B111" s="3773"/>
      <c r="C111" s="3118" t="s">
        <v>2733</v>
      </c>
      <c r="D111" s="3092" t="s">
        <v>2734</v>
      </c>
      <c r="E111" s="3118">
        <v>0.1</v>
      </c>
      <c r="F111" s="3118">
        <v>15</v>
      </c>
    </row>
    <row r="112" spans="1:6" ht="24">
      <c r="A112" s="3118">
        <v>40</v>
      </c>
      <c r="B112" s="3782"/>
      <c r="C112" s="3118" t="s">
        <v>2735</v>
      </c>
      <c r="D112" s="3092" t="s">
        <v>2736</v>
      </c>
      <c r="E112" s="3118">
        <v>0.1</v>
      </c>
      <c r="F112" s="3118">
        <v>15</v>
      </c>
    </row>
    <row r="113" spans="1:6" ht="13.5">
      <c r="A113" s="3118">
        <v>41</v>
      </c>
      <c r="B113" s="3783" t="s">
        <v>2737</v>
      </c>
      <c r="C113" s="3118" t="s">
        <v>2738</v>
      </c>
      <c r="D113" s="3092" t="s">
        <v>2739</v>
      </c>
      <c r="E113" s="3118">
        <v>0.1</v>
      </c>
      <c r="F113" s="3118">
        <v>15</v>
      </c>
    </row>
    <row r="114" spans="1:6" ht="13.5">
      <c r="A114" s="3118">
        <v>42</v>
      </c>
      <c r="B114" s="3783"/>
      <c r="C114" s="3118" t="s">
        <v>2740</v>
      </c>
      <c r="D114" s="3092" t="s">
        <v>2741</v>
      </c>
      <c r="E114" s="3118">
        <v>0.1</v>
      </c>
      <c r="F114" s="3118">
        <v>15</v>
      </c>
    </row>
    <row r="115" spans="1:6" ht="24">
      <c r="A115" s="3118">
        <v>43</v>
      </c>
      <c r="B115" s="3783"/>
      <c r="C115" s="3118" t="s">
        <v>2742</v>
      </c>
      <c r="D115" s="3092" t="s">
        <v>2743</v>
      </c>
      <c r="E115" s="3118">
        <v>0.1</v>
      </c>
      <c r="F115" s="3118">
        <v>15</v>
      </c>
    </row>
    <row r="116" spans="1:6" ht="13.5">
      <c r="A116" s="3118">
        <v>44</v>
      </c>
      <c r="B116" s="3778" t="s">
        <v>2744</v>
      </c>
      <c r="C116" s="3118" t="s">
        <v>2745</v>
      </c>
      <c r="D116" s="3092" t="s">
        <v>2746</v>
      </c>
      <c r="E116" s="3118">
        <v>0.1</v>
      </c>
      <c r="F116" s="3118">
        <v>15</v>
      </c>
    </row>
    <row r="117" spans="1:6" ht="24">
      <c r="A117" s="3118">
        <v>45</v>
      </c>
      <c r="B117" s="3782"/>
      <c r="C117" s="3092" t="s">
        <v>2747</v>
      </c>
      <c r="D117" s="3092" t="s">
        <v>2748</v>
      </c>
      <c r="E117" s="3118">
        <v>0.1</v>
      </c>
      <c r="F117" s="3118">
        <v>15</v>
      </c>
    </row>
    <row r="118" spans="1:6" ht="24">
      <c r="A118" s="3118">
        <v>46</v>
      </c>
      <c r="B118" s="3778" t="s">
        <v>2749</v>
      </c>
      <c r="C118" s="3118" t="s">
        <v>2750</v>
      </c>
      <c r="D118" s="3092" t="s">
        <v>2751</v>
      </c>
      <c r="E118" s="3118">
        <v>0.1</v>
      </c>
      <c r="F118" s="3118">
        <v>15</v>
      </c>
    </row>
    <row r="119" spans="1:6" ht="24">
      <c r="A119" s="3118">
        <v>47</v>
      </c>
      <c r="B119" s="3782"/>
      <c r="C119" s="3118" t="s">
        <v>2752</v>
      </c>
      <c r="D119" s="3092" t="s">
        <v>2753</v>
      </c>
      <c r="E119" s="3118">
        <v>0.1</v>
      </c>
      <c r="F119" s="3118">
        <v>15</v>
      </c>
    </row>
    <row r="120" spans="1:6" ht="13.5">
      <c r="A120" s="3118">
        <v>48</v>
      </c>
      <c r="B120" s="3778" t="s">
        <v>2754</v>
      </c>
      <c r="C120" s="3118" t="s">
        <v>2755</v>
      </c>
      <c r="D120" s="3092" t="s">
        <v>2756</v>
      </c>
      <c r="E120" s="3118">
        <v>0.1</v>
      </c>
      <c r="F120" s="3118">
        <v>15</v>
      </c>
    </row>
    <row r="121" spans="1:6" ht="13.5">
      <c r="A121" s="3118">
        <v>49</v>
      </c>
      <c r="B121" s="3782"/>
      <c r="C121" s="3118" t="s">
        <v>2757</v>
      </c>
      <c r="D121" s="3092" t="s">
        <v>2758</v>
      </c>
      <c r="E121" s="3118">
        <v>0.1</v>
      </c>
      <c r="F121" s="3118">
        <v>15</v>
      </c>
    </row>
    <row r="122" spans="1:6" ht="24">
      <c r="A122" s="3118">
        <v>50</v>
      </c>
      <c r="B122" s="3783" t="s">
        <v>2759</v>
      </c>
      <c r="C122" s="3118" t="s">
        <v>2760</v>
      </c>
      <c r="D122" s="3092" t="s">
        <v>2761</v>
      </c>
      <c r="E122" s="3118">
        <v>0.1</v>
      </c>
      <c r="F122" s="3118">
        <v>15</v>
      </c>
    </row>
    <row r="123" spans="1:6" ht="24">
      <c r="A123" s="3118">
        <v>51</v>
      </c>
      <c r="B123" s="3783"/>
      <c r="C123" s="3118" t="s">
        <v>2762</v>
      </c>
      <c r="D123" s="3092" t="s">
        <v>2763</v>
      </c>
      <c r="E123" s="3118">
        <v>0.1</v>
      </c>
      <c r="F123" s="3118">
        <v>15</v>
      </c>
    </row>
    <row r="124" spans="1:6" ht="24">
      <c r="A124" s="3118">
        <v>52</v>
      </c>
      <c r="B124" s="3783" t="s">
        <v>2764</v>
      </c>
      <c r="C124" s="3118" t="s">
        <v>2765</v>
      </c>
      <c r="D124" s="3092" t="s">
        <v>2766</v>
      </c>
      <c r="E124" s="3118">
        <v>0.1</v>
      </c>
      <c r="F124" s="3118">
        <v>15</v>
      </c>
    </row>
    <row r="125" spans="1:6" ht="24">
      <c r="A125" s="3118">
        <v>53</v>
      </c>
      <c r="B125" s="378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3" t="s">
        <v>2772</v>
      </c>
      <c r="C127" s="3118" t="s">
        <v>2773</v>
      </c>
      <c r="D127" s="3092" t="s">
        <v>2774</v>
      </c>
      <c r="E127" s="3118">
        <v>0.1</v>
      </c>
      <c r="F127" s="3118">
        <v>15</v>
      </c>
    </row>
    <row r="128" spans="1:6" ht="13.5">
      <c r="A128" s="3118">
        <v>56</v>
      </c>
      <c r="B128" s="3783"/>
      <c r="C128" s="3118" t="s">
        <v>2775</v>
      </c>
      <c r="D128" s="3092" t="s">
        <v>2776</v>
      </c>
      <c r="E128" s="3118">
        <v>0.1</v>
      </c>
      <c r="F128" s="3118">
        <v>15</v>
      </c>
    </row>
    <row r="129" spans="1:6" ht="24">
      <c r="A129" s="3118">
        <v>57</v>
      </c>
      <c r="B129" s="3783"/>
      <c r="C129" s="3118" t="s">
        <v>2777</v>
      </c>
      <c r="D129" s="3092" t="s">
        <v>2778</v>
      </c>
      <c r="E129" s="3118">
        <v>0.1</v>
      </c>
      <c r="F129" s="3118">
        <v>15</v>
      </c>
    </row>
    <row r="130" spans="1:6" ht="24">
      <c r="A130" s="3118">
        <v>58</v>
      </c>
      <c r="B130" s="3783" t="s">
        <v>2779</v>
      </c>
      <c r="C130" s="3118" t="s">
        <v>2780</v>
      </c>
      <c r="D130" s="3092" t="s">
        <v>2781</v>
      </c>
      <c r="E130" s="3118">
        <v>0.1</v>
      </c>
      <c r="F130" s="3118">
        <v>15</v>
      </c>
    </row>
    <row r="131" spans="1:6" ht="13.5">
      <c r="A131" s="3118">
        <v>59</v>
      </c>
      <c r="B131" s="3783"/>
      <c r="C131" s="3118" t="s">
        <v>2782</v>
      </c>
      <c r="D131" s="3092" t="s">
        <v>2783</v>
      </c>
      <c r="E131" s="3118">
        <v>0.1</v>
      </c>
      <c r="F131" s="3118">
        <v>15</v>
      </c>
    </row>
    <row r="132" spans="1:6" ht="13.5">
      <c r="A132" s="3118">
        <v>60</v>
      </c>
      <c r="B132" s="3778" t="s">
        <v>2784</v>
      </c>
      <c r="C132" s="3118" t="s">
        <v>2785</v>
      </c>
      <c r="D132" s="3092" t="s">
        <v>2786</v>
      </c>
      <c r="E132" s="3118">
        <v>0.1</v>
      </c>
      <c r="F132" s="3118">
        <v>15</v>
      </c>
    </row>
    <row r="133" spans="1:6" ht="13.5">
      <c r="A133" s="3118">
        <v>61</v>
      </c>
      <c r="B133" s="378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3" t="s">
        <v>2792</v>
      </c>
      <c r="C135" s="3118" t="s">
        <v>2793</v>
      </c>
      <c r="D135" s="3092" t="s">
        <v>2794</v>
      </c>
      <c r="E135" s="3118">
        <v>0.1</v>
      </c>
      <c r="F135" s="3118">
        <v>15</v>
      </c>
    </row>
    <row r="136" spans="1:6" ht="13.5">
      <c r="A136" s="3118">
        <v>64</v>
      </c>
      <c r="B136" s="378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88016</v>
      </c>
      <c r="C2" s="2" t="s">
        <v>106</v>
      </c>
      <c r="D2" s="199"/>
      <c r="E2" s="199"/>
      <c r="F2" s="199"/>
      <c r="G2" s="199"/>
    </row>
    <row r="3" spans="1:7" s="200" customFormat="1" ht="18" customHeight="1" thickBot="1">
      <c r="A3" s="203" t="s">
        <v>58</v>
      </c>
      <c r="B3" s="204">
        <f ca="1">ROUND(B2*10000/'数据-汇总表'!E3,0)</f>
        <v>14103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999</v>
      </c>
      <c r="D9" s="845">
        <f>'数据-汇总表'!E5</f>
        <v>62411.33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1248</v>
      </c>
      <c r="D19" s="849">
        <f>'数据-汇总表'!E3</f>
        <v>62411.33</v>
      </c>
      <c r="E19" s="211">
        <f>'数据-取费表'!B31</f>
        <v>200</v>
      </c>
      <c r="F19" s="231"/>
      <c r="G19" s="1" t="s">
        <v>436</v>
      </c>
    </row>
    <row r="20" spans="1:7" s="214" customFormat="1" ht="13.5" customHeight="1">
      <c r="A20" s="777" t="s">
        <v>419</v>
      </c>
      <c r="B20" s="210" t="s">
        <v>77</v>
      </c>
      <c r="C20" s="232">
        <f>ROUND((C5+C19)*F20,0)</f>
        <v>437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2362</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134</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3344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3344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30348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44874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37447</v>
      </c>
      <c r="D34" s="217"/>
      <c r="E34" s="220"/>
      <c r="F34" s="257">
        <f>IF('数据-取费表'!B24=0,1,'数据-取费表'!N16)</f>
        <v>1</v>
      </c>
      <c r="G34" s="219" t="s">
        <v>89</v>
      </c>
    </row>
    <row r="35" spans="1:7" ht="13.5" customHeight="1">
      <c r="A35" s="780" t="s">
        <v>351</v>
      </c>
      <c r="B35" s="215" t="s">
        <v>33</v>
      </c>
      <c r="C35" s="220">
        <f>ROUND(C34*F35,0)</f>
        <v>1872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3745</v>
      </c>
      <c r="D36" s="220"/>
      <c r="E36" s="220"/>
      <c r="F36" s="259">
        <f>'数据-取费表'!B34</f>
        <v>0.1</v>
      </c>
      <c r="G36" s="260" t="s">
        <v>35</v>
      </c>
    </row>
    <row r="37" spans="1:7" s="258" customFormat="1" ht="13.5" customHeight="1">
      <c r="A37" s="780" t="s">
        <v>353</v>
      </c>
      <c r="B37" s="215" t="s">
        <v>91</v>
      </c>
      <c r="C37" s="249">
        <f>ROUND(E37*D37*F34/10000,0)</f>
        <v>1248</v>
      </c>
      <c r="D37" s="217">
        <f>'数据-汇总表'!E3</f>
        <v>62411.33</v>
      </c>
      <c r="E37" s="249">
        <f>'数据-取费表'!B35</f>
        <v>200</v>
      </c>
      <c r="F37" s="259"/>
      <c r="G37" s="261" t="s">
        <v>92</v>
      </c>
    </row>
    <row r="38" spans="1:7" ht="13.5" customHeight="1">
      <c r="A38" s="780" t="s">
        <v>354</v>
      </c>
      <c r="B38" s="215" t="s">
        <v>36</v>
      </c>
      <c r="C38" s="220">
        <f>ROUND(C34*F38,0)</f>
        <v>562</v>
      </c>
      <c r="D38" s="220"/>
      <c r="E38" s="220"/>
      <c r="F38" s="259">
        <f>'数据-取费表'!B36</f>
        <v>1.4999999999999999E-2</v>
      </c>
      <c r="G38" s="219" t="s">
        <v>90</v>
      </c>
    </row>
    <row r="39" spans="1:7" s="214" customFormat="1" ht="13.5" customHeight="1">
      <c r="A39" s="777" t="s">
        <v>338</v>
      </c>
      <c r="B39" s="210" t="s">
        <v>77</v>
      </c>
      <c r="C39" s="232">
        <f>ROUND(C33*F20,0)</f>
        <v>897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2387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2340</v>
      </c>
      <c r="D42" s="238"/>
      <c r="E42" s="238"/>
      <c r="F42" s="239"/>
      <c r="G42" s="3648" t="s">
        <v>94</v>
      </c>
    </row>
    <row r="43" spans="1:7" ht="13.5" customHeight="1">
      <c r="A43" s="780" t="s">
        <v>347</v>
      </c>
      <c r="B43" s="215" t="s">
        <v>426</v>
      </c>
      <c r="C43" s="238">
        <f ca="1">ROUND(IF('数据-取费表'!B22&lt;=1,C39*F22*'数据-取费表'!B21/2,C39*(POWER((1+F22),'数据-取费表'!B21/2)-1)),0)</f>
        <v>47</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6866</v>
      </c>
      <c r="D45" s="235">
        <f>C47</f>
        <v>3.0000000000000001E-3</v>
      </c>
      <c r="E45" s="236" t="s">
        <v>102</v>
      </c>
      <c r="F45" s="246"/>
      <c r="G45" s="247" t="s">
        <v>434</v>
      </c>
    </row>
    <row r="46" spans="1:7" s="214" customFormat="1" ht="13.5" customHeight="1">
      <c r="A46" s="780" t="s">
        <v>349</v>
      </c>
      <c r="B46" s="248" t="s">
        <v>427</v>
      </c>
      <c r="C46" s="249">
        <f>ROUND((C33+C39)*F27,0)</f>
        <v>6866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59636</v>
      </c>
      <c r="D49" s="232"/>
      <c r="E49" s="232"/>
      <c r="F49" s="264"/>
      <c r="G49" s="234" t="s">
        <v>435</v>
      </c>
    </row>
    <row r="50" spans="1:7" s="258" customFormat="1" ht="24">
      <c r="A50" s="777" t="s">
        <v>344</v>
      </c>
      <c r="B50" s="210" t="s">
        <v>97</v>
      </c>
      <c r="C50" s="232"/>
      <c r="D50" s="232"/>
      <c r="E50" s="232"/>
      <c r="F50" s="264">
        <f>IF('数据-取费表'!B24=0,'数据-取费表'!N16,1)</f>
        <v>0.96699999999999997</v>
      </c>
      <c r="G50" s="247" t="s">
        <v>98</v>
      </c>
    </row>
    <row r="51" spans="1:7" ht="16.5" customHeight="1">
      <c r="A51" s="777" t="s">
        <v>345</v>
      </c>
      <c r="B51" s="210" t="s">
        <v>105</v>
      </c>
      <c r="C51" s="232">
        <f ca="1">ROUND(C49*F50,0)</f>
        <v>57668</v>
      </c>
      <c r="D51" s="232"/>
      <c r="E51" s="232"/>
      <c r="F51" s="264"/>
      <c r="G51" s="234" t="s">
        <v>37</v>
      </c>
    </row>
    <row r="52" spans="1:7" s="208" customFormat="1" ht="16.5" thickBot="1">
      <c r="A52" s="265" t="s">
        <v>38</v>
      </c>
      <c r="B52" s="266"/>
      <c r="C52" s="267">
        <f ca="1">C31+C51</f>
        <v>88016</v>
      </c>
      <c r="D52" s="266"/>
      <c r="E52" s="266"/>
      <c r="F52" s="266"/>
      <c r="G52" s="268"/>
    </row>
    <row r="55" spans="1:7" ht="15">
      <c r="B55" s="270" t="s">
        <v>39</v>
      </c>
      <c r="C55" s="271"/>
    </row>
    <row r="56" spans="1:7">
      <c r="B56" s="273" t="s">
        <v>40</v>
      </c>
      <c r="C56" s="274">
        <f ca="1">ROUND(C51/C52,3)</f>
        <v>0.65500000000000003</v>
      </c>
    </row>
    <row r="57" spans="1:7">
      <c r="B57" s="273" t="s">
        <v>41</v>
      </c>
      <c r="C57" s="275">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t="e">
        <f ca="1">结果表!H101</f>
        <v>#REF!</v>
      </c>
      <c r="E5" s="1491"/>
    </row>
    <row r="6" spans="1:5" ht="15.75">
      <c r="A6" s="1491"/>
      <c r="B6" s="3467"/>
      <c r="C6" s="1494" t="s">
        <v>911</v>
      </c>
      <c r="D6" s="850" t="e">
        <f ca="1">NUMBERSTRING(INT(D5*10000),2)&amp;"元整"</f>
        <v>#REF!</v>
      </c>
      <c r="E6" s="1491"/>
    </row>
    <row r="7" spans="1:5" ht="15.75">
      <c r="A7" s="1491"/>
      <c r="B7" s="3472"/>
      <c r="C7" s="1495" t="s">
        <v>912</v>
      </c>
      <c r="D7" s="851" t="e">
        <f ca="1">结果表!H102</f>
        <v>#REF!</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t="e">
        <f ca="1">结果表!H107</f>
        <v>#REF!</v>
      </c>
      <c r="E13" s="1491"/>
    </row>
    <row r="14" spans="1:5" ht="15.75">
      <c r="A14" s="1491"/>
      <c r="B14" s="3467"/>
      <c r="C14" s="1494" t="s">
        <v>911</v>
      </c>
      <c r="D14" s="850" t="e">
        <f ca="1">NUMBERSTRING(INT(D13*10000),2)&amp;"元整"</f>
        <v>#REF!</v>
      </c>
      <c r="E14" s="1491"/>
    </row>
    <row r="15" spans="1:5" ht="15">
      <c r="A15" s="1491"/>
      <c r="B15" s="3472"/>
      <c r="C15" s="1495" t="s">
        <v>921</v>
      </c>
      <c r="D15" s="859" t="e">
        <f ca="1">结果表!H108</f>
        <v>#REF!</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2846</v>
      </c>
      <c r="B1" s="3786"/>
      <c r="C1" s="3786"/>
      <c r="D1" s="3786"/>
      <c r="E1" s="3786"/>
      <c r="F1" s="3786"/>
      <c r="G1" s="378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3188</v>
      </c>
      <c r="B1" s="378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9" t="s">
        <v>3239</v>
      </c>
      <c r="B1" s="3789"/>
      <c r="C1" s="3789"/>
      <c r="D1" s="3789"/>
      <c r="E1" s="3789"/>
      <c r="F1" s="379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45001</v>
      </c>
      <c r="B1" s="3210" t="s">
        <v>2845</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1" t="s">
        <v>2833</v>
      </c>
      <c r="S21" s="3792"/>
      <c r="T21" s="3792"/>
      <c r="U21" s="3792"/>
      <c r="V21" s="3792"/>
      <c r="W21" s="3792"/>
      <c r="X21" s="3165"/>
      <c r="Y21" s="3791" t="s">
        <v>2834</v>
      </c>
      <c r="Z21" s="3792"/>
      <c r="AA21" s="3792"/>
      <c r="AB21" s="3792"/>
      <c r="AC21" s="3792"/>
      <c r="AD21" s="379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45001</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M75"/>
  <sheetViews>
    <sheetView topLeftCell="A16" workbookViewId="0">
      <selection activeCell="M45" sqref="M45"/>
    </sheetView>
  </sheetViews>
  <sheetFormatPr defaultRowHeight="13.5"/>
  <sheetData>
    <row r="39" spans="13:13">
      <c r="M39">
        <f>70000/450/30</f>
        <v>5.1851851851851851</v>
      </c>
    </row>
    <row r="41" spans="13:13">
      <c r="M41">
        <f>11500/89/30</f>
        <v>4.3071161048689133</v>
      </c>
    </row>
    <row r="44" spans="13:13">
      <c r="M44">
        <f>13000/89/30</f>
        <v>4.8689138576779021</v>
      </c>
    </row>
    <row r="75" spans="1:1">
      <c r="A75" s="3452" t="s">
        <v>3403</v>
      </c>
    </row>
  </sheetData>
  <phoneticPr fontId="134" type="noConversion"/>
  <hyperlinks>
    <hyperlink ref="A75" r:id="rId1"/>
  </hyperlinks>
  <pageMargins left="0.7" right="0.7" top="0.75" bottom="0.75" header="0.3" footer="0.3"/>
  <pageSetup paperSize="9" orientation="portrait" horizontalDpi="300" verticalDpi="30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C152"/>
  <sheetViews>
    <sheetView topLeftCell="A164" workbookViewId="0">
      <selection activeCell="L164" sqref="L164"/>
    </sheetView>
  </sheetViews>
  <sheetFormatPr defaultRowHeight="13.5"/>
  <cols>
    <col min="6" max="6" width="39.75" customWidth="1"/>
    <col min="14" max="14" width="15.375" customWidth="1"/>
    <col min="26" max="30" width="12.75" customWidth="1"/>
  </cols>
  <sheetData>
    <row r="1" spans="1:54">
      <c r="A1" s="3453" t="s">
        <v>3404</v>
      </c>
      <c r="B1" s="3453" t="s">
        <v>3405</v>
      </c>
      <c r="C1" s="3453" t="s">
        <v>3406</v>
      </c>
      <c r="D1" s="3453" t="s">
        <v>3407</v>
      </c>
      <c r="E1" s="3453" t="s">
        <v>3408</v>
      </c>
      <c r="F1" s="3453" t="s">
        <v>3409</v>
      </c>
      <c r="G1" s="3453" t="s">
        <v>3410</v>
      </c>
      <c r="H1" s="3453" t="s">
        <v>3411</v>
      </c>
      <c r="I1" s="3453" t="s">
        <v>3412</v>
      </c>
      <c r="J1" s="3453" t="s">
        <v>3413</v>
      </c>
      <c r="K1" s="3453" t="s">
        <v>3414</v>
      </c>
      <c r="L1" s="3453" t="s">
        <v>3415</v>
      </c>
      <c r="M1" s="3453" t="s">
        <v>3416</v>
      </c>
      <c r="N1" s="3453" t="s">
        <v>3417</v>
      </c>
      <c r="O1" s="3453" t="s">
        <v>3418</v>
      </c>
      <c r="P1" s="3453" t="s">
        <v>3419</v>
      </c>
      <c r="Q1" s="3453" t="s">
        <v>3420</v>
      </c>
      <c r="R1" s="3453" t="s">
        <v>3421</v>
      </c>
      <c r="S1" s="3453" t="s">
        <v>3422</v>
      </c>
      <c r="T1" s="3453" t="s">
        <v>3423</v>
      </c>
      <c r="U1" s="3453" t="s">
        <v>3424</v>
      </c>
      <c r="V1" s="3453" t="s">
        <v>3425</v>
      </c>
      <c r="W1" s="3453" t="s">
        <v>3426</v>
      </c>
      <c r="X1" s="3453" t="s">
        <v>3427</v>
      </c>
      <c r="Y1" s="3453" t="s">
        <v>3428</v>
      </c>
      <c r="Z1" s="3453" t="s">
        <v>3429</v>
      </c>
      <c r="AA1" s="3453" t="s">
        <v>3430</v>
      </c>
      <c r="AB1" s="3453" t="s">
        <v>3431</v>
      </c>
      <c r="AC1" s="3453" t="s">
        <v>3432</v>
      </c>
      <c r="AD1" s="3453" t="s">
        <v>3433</v>
      </c>
      <c r="AE1" s="3453" t="s">
        <v>3434</v>
      </c>
      <c r="AF1" s="3453" t="s">
        <v>3435</v>
      </c>
      <c r="AG1" s="3453" t="s">
        <v>3436</v>
      </c>
      <c r="AH1" s="3453" t="s">
        <v>3437</v>
      </c>
      <c r="AI1" s="3453" t="s">
        <v>3438</v>
      </c>
      <c r="AJ1" s="3453" t="s">
        <v>3439</v>
      </c>
      <c r="AK1" s="3453" t="s">
        <v>3440</v>
      </c>
      <c r="AL1" s="3453" t="s">
        <v>3441</v>
      </c>
      <c r="AM1" s="3453" t="s">
        <v>3442</v>
      </c>
      <c r="AN1" s="3453" t="s">
        <v>3443</v>
      </c>
      <c r="AO1" s="3453" t="s">
        <v>3444</v>
      </c>
      <c r="AP1" s="3453" t="s">
        <v>3445</v>
      </c>
      <c r="AQ1" s="3453" t="s">
        <v>3446</v>
      </c>
      <c r="AR1" s="3453" t="s">
        <v>3447</v>
      </c>
      <c r="AS1" s="3453" t="s">
        <v>3448</v>
      </c>
      <c r="AT1" s="3453" t="s">
        <v>3449</v>
      </c>
      <c r="AU1" s="3453" t="s">
        <v>3450</v>
      </c>
      <c r="AV1" s="3453" t="s">
        <v>3451</v>
      </c>
      <c r="AW1" s="3453" t="s">
        <v>3452</v>
      </c>
      <c r="AX1" s="3453" t="s">
        <v>3453</v>
      </c>
      <c r="AY1" s="3453" t="s">
        <v>3454</v>
      </c>
      <c r="AZ1" s="3453" t="s">
        <v>3455</v>
      </c>
      <c r="BB1" s="3464" t="s">
        <v>4683</v>
      </c>
    </row>
    <row r="2" spans="1:54" hidden="1">
      <c r="A2" s="3453" t="s">
        <v>3456</v>
      </c>
      <c r="B2" s="3453" t="s">
        <v>3457</v>
      </c>
      <c r="C2" s="3453" t="s">
        <v>3458</v>
      </c>
      <c r="D2" s="3453" t="s">
        <v>3459</v>
      </c>
      <c r="E2" s="3453" t="s">
        <v>3460</v>
      </c>
      <c r="F2" s="3453" t="s">
        <v>3461</v>
      </c>
      <c r="G2" s="3453" t="s">
        <v>3462</v>
      </c>
      <c r="H2" s="3453" t="s">
        <v>3463</v>
      </c>
      <c r="I2" s="3453">
        <v>12060.05</v>
      </c>
      <c r="J2" s="3453">
        <v>30150</v>
      </c>
      <c r="K2" s="3453">
        <v>2.5</v>
      </c>
      <c r="L2" s="3453" t="s">
        <v>3464</v>
      </c>
      <c r="M2" s="3453" t="s">
        <v>3465</v>
      </c>
      <c r="N2" s="3453" t="s">
        <v>3466</v>
      </c>
      <c r="O2" s="3453" t="s">
        <v>3467</v>
      </c>
      <c r="P2" s="3453">
        <v>0.3</v>
      </c>
      <c r="Q2" s="3453">
        <v>60</v>
      </c>
      <c r="R2" s="3453" t="s">
        <v>3468</v>
      </c>
      <c r="S2" s="3453" t="s">
        <v>3469</v>
      </c>
      <c r="T2" s="3453" t="s">
        <v>3470</v>
      </c>
      <c r="U2" s="3453" t="s">
        <v>3470</v>
      </c>
      <c r="V2" s="3453" t="s">
        <v>3470</v>
      </c>
      <c r="W2" s="3453" t="s">
        <v>3470</v>
      </c>
      <c r="X2" s="3453">
        <v>0</v>
      </c>
      <c r="Y2" s="3453">
        <v>0</v>
      </c>
      <c r="Z2" s="3454">
        <v>44925.000497685185</v>
      </c>
      <c r="AA2" s="3454">
        <v>44945.000497685185</v>
      </c>
      <c r="AB2" s="3454">
        <v>44964.000497685185</v>
      </c>
      <c r="AC2" s="3454">
        <v>44965.000497685185</v>
      </c>
      <c r="AD2" s="3453" t="s">
        <v>3471</v>
      </c>
      <c r="AE2" s="3453" t="s">
        <v>3472</v>
      </c>
      <c r="AF2" s="3453" t="s">
        <v>3473</v>
      </c>
      <c r="AG2" s="3453" t="s">
        <v>3474</v>
      </c>
      <c r="AH2" s="3453" t="s">
        <v>3475</v>
      </c>
      <c r="AI2" s="3453">
        <v>124000</v>
      </c>
      <c r="AJ2" s="3453">
        <v>25000</v>
      </c>
      <c r="AK2" s="3453" t="s">
        <v>3476</v>
      </c>
      <c r="AL2" s="3453">
        <v>142600</v>
      </c>
      <c r="AM2" s="3453">
        <v>6854.59</v>
      </c>
      <c r="AN2" s="3453">
        <v>7882.78</v>
      </c>
      <c r="AO2" s="3453">
        <v>41128</v>
      </c>
      <c r="AP2" s="3453">
        <v>47297</v>
      </c>
      <c r="AQ2" s="3453" t="s">
        <v>3470</v>
      </c>
      <c r="AR2" s="3453" t="s">
        <v>3470</v>
      </c>
      <c r="AS2" s="3453">
        <v>15</v>
      </c>
      <c r="AT2" s="3453" t="s">
        <v>3477</v>
      </c>
      <c r="AU2" s="3453">
        <v>142600</v>
      </c>
      <c r="AV2" s="3453" t="s">
        <v>3478</v>
      </c>
      <c r="AW2" s="3453">
        <v>80000</v>
      </c>
      <c r="AX2" s="3453">
        <v>47297</v>
      </c>
      <c r="AY2" s="3453">
        <v>15</v>
      </c>
      <c r="AZ2" s="3453">
        <v>38872</v>
      </c>
    </row>
    <row r="3" spans="1:54" hidden="1">
      <c r="A3" s="3453" t="s">
        <v>3479</v>
      </c>
      <c r="B3" s="3453" t="s">
        <v>3457</v>
      </c>
      <c r="C3" s="3453" t="s">
        <v>3480</v>
      </c>
      <c r="D3" s="3453" t="s">
        <v>3459</v>
      </c>
      <c r="E3" s="3453" t="s">
        <v>3481</v>
      </c>
      <c r="F3" s="3453" t="s">
        <v>3482</v>
      </c>
      <c r="G3" s="3453" t="s">
        <v>3483</v>
      </c>
      <c r="H3" s="3453" t="s">
        <v>3484</v>
      </c>
      <c r="I3" s="3453">
        <v>45099.11</v>
      </c>
      <c r="J3" s="3453">
        <v>102116.42</v>
      </c>
      <c r="K3" s="3453" t="s">
        <v>3485</v>
      </c>
      <c r="L3" s="3453" t="s">
        <v>3464</v>
      </c>
      <c r="M3" s="3453" t="s">
        <v>3486</v>
      </c>
      <c r="N3" s="3453" t="s">
        <v>3466</v>
      </c>
      <c r="O3" s="3453" t="s">
        <v>3467</v>
      </c>
      <c r="P3" s="3453" t="s">
        <v>3470</v>
      </c>
      <c r="Q3" s="3453" t="s">
        <v>3487</v>
      </c>
      <c r="R3" s="3453" t="s">
        <v>3488</v>
      </c>
      <c r="S3" s="3453" t="s">
        <v>3489</v>
      </c>
      <c r="T3" s="3453" t="s">
        <v>3470</v>
      </c>
      <c r="U3" s="3453" t="s">
        <v>3470</v>
      </c>
      <c r="V3" s="3453" t="s">
        <v>3470</v>
      </c>
      <c r="W3" s="3453" t="s">
        <v>3470</v>
      </c>
      <c r="X3" s="3453">
        <v>0</v>
      </c>
      <c r="Y3" s="3453">
        <v>0</v>
      </c>
      <c r="Z3" s="3454">
        <v>44925.000497685185</v>
      </c>
      <c r="AA3" s="3454">
        <v>44945.000497685185</v>
      </c>
      <c r="AB3" s="3454">
        <v>44964.000497685185</v>
      </c>
      <c r="AC3" s="3454">
        <v>44965.000497685185</v>
      </c>
      <c r="AD3" s="3453" t="s">
        <v>3490</v>
      </c>
      <c r="AE3" s="3453" t="s">
        <v>3472</v>
      </c>
      <c r="AF3" s="3453" t="s">
        <v>3491</v>
      </c>
      <c r="AG3" s="3453" t="s">
        <v>3492</v>
      </c>
      <c r="AH3" s="3453" t="s">
        <v>3493</v>
      </c>
      <c r="AI3" s="3453">
        <v>288000</v>
      </c>
      <c r="AJ3" s="3453">
        <v>58000</v>
      </c>
      <c r="AK3" s="3453" t="s">
        <v>3476</v>
      </c>
      <c r="AL3" s="3453">
        <v>331200</v>
      </c>
      <c r="AM3" s="3453">
        <v>4257.29</v>
      </c>
      <c r="AN3" s="3453">
        <v>4895.88</v>
      </c>
      <c r="AO3" s="3453">
        <v>28203</v>
      </c>
      <c r="AP3" s="3453">
        <v>32434</v>
      </c>
      <c r="AQ3" s="3453" t="s">
        <v>3470</v>
      </c>
      <c r="AR3" s="3453" t="s">
        <v>3470</v>
      </c>
      <c r="AS3" s="3453">
        <v>15</v>
      </c>
      <c r="AT3" s="3453" t="s">
        <v>3494</v>
      </c>
      <c r="AU3" s="3453">
        <v>331200</v>
      </c>
      <c r="AV3" s="3453" t="s">
        <v>3478</v>
      </c>
      <c r="AW3" s="3453">
        <v>62000</v>
      </c>
      <c r="AX3" s="3453">
        <v>32434</v>
      </c>
      <c r="AY3" s="3453">
        <v>15</v>
      </c>
      <c r="AZ3" s="3453">
        <v>33797</v>
      </c>
    </row>
    <row r="4" spans="1:54" hidden="1">
      <c r="A4" s="3453" t="s">
        <v>3495</v>
      </c>
      <c r="B4" s="3453" t="s">
        <v>3457</v>
      </c>
      <c r="C4" s="3453" t="s">
        <v>3496</v>
      </c>
      <c r="D4" s="3453" t="s">
        <v>3459</v>
      </c>
      <c r="E4" s="3453" t="s">
        <v>3497</v>
      </c>
      <c r="F4" s="3453" t="s">
        <v>3498</v>
      </c>
      <c r="G4" s="3453" t="s">
        <v>3499</v>
      </c>
      <c r="H4" s="3453" t="s">
        <v>3463</v>
      </c>
      <c r="I4" s="3453">
        <v>31231.38</v>
      </c>
      <c r="J4" s="3453">
        <v>78078.45</v>
      </c>
      <c r="K4" s="3453">
        <v>2.5</v>
      </c>
      <c r="L4" s="3453" t="s">
        <v>3464</v>
      </c>
      <c r="M4" s="3453" t="s">
        <v>3465</v>
      </c>
      <c r="N4" s="3453" t="s">
        <v>3466</v>
      </c>
      <c r="O4" s="3453" t="s">
        <v>3467</v>
      </c>
      <c r="P4" s="3453">
        <v>0.3</v>
      </c>
      <c r="Q4" s="3453" t="s">
        <v>3500</v>
      </c>
      <c r="R4" s="3453" t="s">
        <v>3488</v>
      </c>
      <c r="S4" s="3453" t="s">
        <v>3501</v>
      </c>
      <c r="T4" s="3453" t="s">
        <v>3470</v>
      </c>
      <c r="U4" s="3453" t="s">
        <v>3470</v>
      </c>
      <c r="V4" s="3453" t="s">
        <v>3470</v>
      </c>
      <c r="W4" s="3453" t="s">
        <v>3470</v>
      </c>
      <c r="X4" s="3453">
        <v>0</v>
      </c>
      <c r="Y4" s="3453">
        <v>0</v>
      </c>
      <c r="Z4" s="3454">
        <v>44925.000497685185</v>
      </c>
      <c r="AA4" s="3454">
        <v>44945.000497685185</v>
      </c>
      <c r="AB4" s="3454">
        <v>44964.000497685185</v>
      </c>
      <c r="AC4" s="3454">
        <v>44964.000497685185</v>
      </c>
      <c r="AD4" s="3453" t="s">
        <v>3502</v>
      </c>
      <c r="AE4" s="3453" t="s">
        <v>3472</v>
      </c>
      <c r="AF4" s="3453" t="s">
        <v>3503</v>
      </c>
      <c r="AG4" s="3453" t="s">
        <v>3504</v>
      </c>
      <c r="AH4" s="3453" t="s">
        <v>3475</v>
      </c>
      <c r="AI4" s="3453">
        <v>172000</v>
      </c>
      <c r="AJ4" s="3453">
        <v>35000</v>
      </c>
      <c r="AK4" s="3453" t="s">
        <v>3476</v>
      </c>
      <c r="AL4" s="3453">
        <v>172000</v>
      </c>
      <c r="AM4" s="3453">
        <v>3671.52</v>
      </c>
      <c r="AN4" s="3453">
        <v>3671.52</v>
      </c>
      <c r="AO4" s="3453">
        <v>22029</v>
      </c>
      <c r="AP4" s="3453">
        <v>22029</v>
      </c>
      <c r="AQ4" s="3453" t="s">
        <v>3470</v>
      </c>
      <c r="AR4" s="3453" t="s">
        <v>3470</v>
      </c>
      <c r="AS4" s="3453">
        <v>0</v>
      </c>
      <c r="AT4" s="3453" t="s">
        <v>3477</v>
      </c>
      <c r="AU4" s="3453">
        <v>197800</v>
      </c>
      <c r="AV4" s="3453" t="s">
        <v>3505</v>
      </c>
      <c r="AW4" s="3453">
        <v>45000</v>
      </c>
      <c r="AX4" s="3453">
        <v>25333</v>
      </c>
      <c r="AY4" s="3453">
        <v>15</v>
      </c>
      <c r="AZ4" s="3453">
        <v>22971</v>
      </c>
    </row>
    <row r="5" spans="1:54" hidden="1">
      <c r="A5" s="3453" t="s">
        <v>3506</v>
      </c>
      <c r="B5" s="3453" t="s">
        <v>3457</v>
      </c>
      <c r="C5" s="3453" t="s">
        <v>3507</v>
      </c>
      <c r="D5" s="3453" t="s">
        <v>3459</v>
      </c>
      <c r="E5" s="3453" t="s">
        <v>3508</v>
      </c>
      <c r="F5" s="3453" t="s">
        <v>3509</v>
      </c>
      <c r="G5" s="3453" t="s">
        <v>3510</v>
      </c>
      <c r="H5" s="3453" t="s">
        <v>3484</v>
      </c>
      <c r="I5" s="3453">
        <v>28612.54</v>
      </c>
      <c r="J5" s="3453">
        <v>66536.039999999994</v>
      </c>
      <c r="K5" s="3453" t="s">
        <v>3511</v>
      </c>
      <c r="L5" s="3453" t="s">
        <v>3464</v>
      </c>
      <c r="M5" s="3453" t="s">
        <v>3512</v>
      </c>
      <c r="N5" s="3453" t="s">
        <v>3466</v>
      </c>
      <c r="O5" s="3453" t="s">
        <v>3467</v>
      </c>
      <c r="P5" s="3453" t="s">
        <v>3470</v>
      </c>
      <c r="Q5" s="3453" t="s">
        <v>3513</v>
      </c>
      <c r="R5" s="3453" t="s">
        <v>3488</v>
      </c>
      <c r="S5" s="3453" t="s">
        <v>3501</v>
      </c>
      <c r="T5" s="3453" t="s">
        <v>3470</v>
      </c>
      <c r="U5" s="3453" t="s">
        <v>3470</v>
      </c>
      <c r="V5" s="3453">
        <v>0</v>
      </c>
      <c r="W5" s="3453">
        <v>0</v>
      </c>
      <c r="X5" s="3453">
        <v>0</v>
      </c>
      <c r="Y5" s="3453">
        <v>0</v>
      </c>
      <c r="Z5" s="3454">
        <v>44925.000497685185</v>
      </c>
      <c r="AA5" s="3454">
        <v>44945.000497685185</v>
      </c>
      <c r="AB5" s="3454">
        <v>44964.000497685185</v>
      </c>
      <c r="AC5" s="3454">
        <v>44964.000497685185</v>
      </c>
      <c r="AD5" s="3453" t="s">
        <v>3514</v>
      </c>
      <c r="AE5" s="3453" t="s">
        <v>3472</v>
      </c>
      <c r="AF5" s="3453" t="s">
        <v>3515</v>
      </c>
      <c r="AG5" s="3453" t="s">
        <v>3516</v>
      </c>
      <c r="AH5" s="3453" t="s">
        <v>3470</v>
      </c>
      <c r="AI5" s="3453">
        <v>104000</v>
      </c>
      <c r="AJ5" s="3453">
        <v>20800</v>
      </c>
      <c r="AK5" s="3453" t="s">
        <v>3476</v>
      </c>
      <c r="AL5" s="3453">
        <v>104000</v>
      </c>
      <c r="AM5" s="3453">
        <v>2423.1799999999998</v>
      </c>
      <c r="AN5" s="3453">
        <v>2423.1799999999998</v>
      </c>
      <c r="AO5" s="3453">
        <v>15631</v>
      </c>
      <c r="AP5" s="3453">
        <v>15631</v>
      </c>
      <c r="AQ5" s="3453" t="s">
        <v>3470</v>
      </c>
      <c r="AR5" s="3453" t="s">
        <v>3470</v>
      </c>
      <c r="AS5" s="3453">
        <v>0</v>
      </c>
      <c r="AT5" s="3453" t="s">
        <v>3477</v>
      </c>
      <c r="AU5" s="3453">
        <v>119600</v>
      </c>
      <c r="AV5" s="3453" t="s">
        <v>3505</v>
      </c>
      <c r="AW5" s="3453">
        <v>62000</v>
      </c>
      <c r="AX5" s="3453">
        <v>17975</v>
      </c>
      <c r="AY5" s="3453">
        <v>15</v>
      </c>
      <c r="AZ5" s="3453">
        <v>46369</v>
      </c>
    </row>
    <row r="6" spans="1:54" hidden="1">
      <c r="A6" s="3453" t="s">
        <v>3517</v>
      </c>
      <c r="B6" s="3453" t="s">
        <v>3457</v>
      </c>
      <c r="C6" s="3453" t="s">
        <v>3518</v>
      </c>
      <c r="D6" s="3453" t="s">
        <v>3459</v>
      </c>
      <c r="E6" s="3453" t="s">
        <v>3519</v>
      </c>
      <c r="F6" s="3453" t="s">
        <v>3520</v>
      </c>
      <c r="G6" s="3453" t="s">
        <v>3521</v>
      </c>
      <c r="H6" s="3453" t="s">
        <v>3484</v>
      </c>
      <c r="I6" s="3453">
        <v>71668</v>
      </c>
      <c r="J6" s="3453">
        <v>194641.99</v>
      </c>
      <c r="K6" s="3453" t="s">
        <v>3522</v>
      </c>
      <c r="L6" s="3453" t="s">
        <v>3464</v>
      </c>
      <c r="M6" s="3453" t="s">
        <v>3523</v>
      </c>
      <c r="N6" s="3453" t="s">
        <v>3466</v>
      </c>
      <c r="O6" s="3453" t="s">
        <v>3467</v>
      </c>
      <c r="P6" s="3453" t="s">
        <v>3524</v>
      </c>
      <c r="Q6" s="3453" t="s">
        <v>3525</v>
      </c>
      <c r="R6" s="3453" t="s">
        <v>3526</v>
      </c>
      <c r="S6" s="3453" t="s">
        <v>3501</v>
      </c>
      <c r="T6" s="3453" t="s">
        <v>3470</v>
      </c>
      <c r="U6" s="3453" t="s">
        <v>3470</v>
      </c>
      <c r="V6" s="3453" t="s">
        <v>3470</v>
      </c>
      <c r="W6" s="3453" t="s">
        <v>3470</v>
      </c>
      <c r="X6" s="3453">
        <v>0</v>
      </c>
      <c r="Y6" s="3453">
        <v>0</v>
      </c>
      <c r="Z6" s="3454">
        <v>44925.000497685185</v>
      </c>
      <c r="AA6" s="3454">
        <v>44945.000497685185</v>
      </c>
      <c r="AB6" s="3454">
        <v>44964.000497685185</v>
      </c>
      <c r="AC6" s="3454">
        <v>44964.000497685185</v>
      </c>
      <c r="AD6" s="3453" t="s">
        <v>3527</v>
      </c>
      <c r="AE6" s="3453" t="s">
        <v>3472</v>
      </c>
      <c r="AF6" s="3453" t="s">
        <v>3528</v>
      </c>
      <c r="AG6" s="3453" t="s">
        <v>3529</v>
      </c>
      <c r="AH6" s="3453" t="s">
        <v>3530</v>
      </c>
      <c r="AI6" s="3453">
        <v>311200</v>
      </c>
      <c r="AJ6" s="3453">
        <v>63000</v>
      </c>
      <c r="AK6" s="3453" t="s">
        <v>633</v>
      </c>
      <c r="AL6" s="3453">
        <v>311200</v>
      </c>
      <c r="AM6" s="3453">
        <v>2894.83</v>
      </c>
      <c r="AN6" s="3453">
        <v>2894.83</v>
      </c>
      <c r="AO6" s="3453">
        <v>15988</v>
      </c>
      <c r="AP6" s="3453">
        <v>15988</v>
      </c>
      <c r="AQ6" s="3453" t="s">
        <v>3470</v>
      </c>
      <c r="AR6" s="3453" t="s">
        <v>3470</v>
      </c>
      <c r="AS6" s="3453">
        <v>0</v>
      </c>
      <c r="AT6" s="3453" t="s">
        <v>3531</v>
      </c>
      <c r="AU6" s="3453">
        <v>357880</v>
      </c>
      <c r="AV6" s="3453" t="s">
        <v>3505</v>
      </c>
      <c r="AW6" s="3453">
        <v>58000</v>
      </c>
      <c r="AX6" s="3453">
        <v>18387</v>
      </c>
      <c r="AY6" s="3453">
        <v>15</v>
      </c>
      <c r="AZ6" s="3453">
        <v>42012</v>
      </c>
    </row>
    <row r="7" spans="1:54" hidden="1">
      <c r="A7" s="3453" t="s">
        <v>3532</v>
      </c>
      <c r="B7" s="3453" t="s">
        <v>3457</v>
      </c>
      <c r="C7" s="3453" t="s">
        <v>3533</v>
      </c>
      <c r="D7" s="3453" t="s">
        <v>3459</v>
      </c>
      <c r="E7" s="3453" t="s">
        <v>3534</v>
      </c>
      <c r="F7" s="3453" t="s">
        <v>3535</v>
      </c>
      <c r="G7" s="3453" t="s">
        <v>3536</v>
      </c>
      <c r="H7" s="3453" t="s">
        <v>3484</v>
      </c>
      <c r="I7" s="3453">
        <v>26060.080000000002</v>
      </c>
      <c r="J7" s="3453">
        <v>60278</v>
      </c>
      <c r="K7" s="3453" t="s">
        <v>3537</v>
      </c>
      <c r="L7" s="3453" t="s">
        <v>3464</v>
      </c>
      <c r="M7" s="3453" t="s">
        <v>3538</v>
      </c>
      <c r="N7" s="3453" t="s">
        <v>3466</v>
      </c>
      <c r="O7" s="3453" t="s">
        <v>3467</v>
      </c>
      <c r="P7" s="3453" t="s">
        <v>3470</v>
      </c>
      <c r="Q7" s="3453" t="s">
        <v>3539</v>
      </c>
      <c r="R7" s="3453" t="s">
        <v>3488</v>
      </c>
      <c r="S7" s="3453" t="s">
        <v>3540</v>
      </c>
      <c r="T7" s="3453" t="s">
        <v>3470</v>
      </c>
      <c r="U7" s="3453" t="s">
        <v>3470</v>
      </c>
      <c r="V7" s="3453" t="s">
        <v>3470</v>
      </c>
      <c r="W7" s="3453" t="s">
        <v>3470</v>
      </c>
      <c r="X7" s="3453">
        <v>0</v>
      </c>
      <c r="Y7" s="3453">
        <v>0</v>
      </c>
      <c r="Z7" s="3454">
        <v>44925.000497685185</v>
      </c>
      <c r="AA7" s="3454">
        <v>44945.000497685185</v>
      </c>
      <c r="AB7" s="3454">
        <v>44964.000497685185</v>
      </c>
      <c r="AC7" s="3454">
        <v>44965.000497685185</v>
      </c>
      <c r="AD7" s="3453" t="s">
        <v>3541</v>
      </c>
      <c r="AE7" s="3453" t="s">
        <v>3472</v>
      </c>
      <c r="AF7" s="3453" t="s">
        <v>3491</v>
      </c>
      <c r="AG7" s="3453" t="s">
        <v>3492</v>
      </c>
      <c r="AH7" s="3453" t="s">
        <v>3493</v>
      </c>
      <c r="AI7" s="3453">
        <v>226000</v>
      </c>
      <c r="AJ7" s="3453">
        <v>46000</v>
      </c>
      <c r="AK7" s="3453" t="s">
        <v>3476</v>
      </c>
      <c r="AL7" s="3453">
        <v>259900</v>
      </c>
      <c r="AM7" s="3453">
        <v>5781.51</v>
      </c>
      <c r="AN7" s="3453">
        <v>6648.74</v>
      </c>
      <c r="AO7" s="3453">
        <v>37493</v>
      </c>
      <c r="AP7" s="3453">
        <v>43117</v>
      </c>
      <c r="AQ7" s="3453" t="s">
        <v>3470</v>
      </c>
      <c r="AR7" s="3453" t="s">
        <v>3470</v>
      </c>
      <c r="AS7" s="3453">
        <v>15</v>
      </c>
      <c r="AT7" s="3453" t="s">
        <v>3542</v>
      </c>
      <c r="AU7" s="3453">
        <v>259900</v>
      </c>
      <c r="AV7" s="3453" t="s">
        <v>3478</v>
      </c>
      <c r="AW7" s="3453">
        <v>74800</v>
      </c>
      <c r="AX7" s="3453">
        <v>43117</v>
      </c>
      <c r="AY7" s="3453">
        <v>15</v>
      </c>
      <c r="AZ7" s="3453">
        <v>37307</v>
      </c>
    </row>
    <row r="8" spans="1:54" hidden="1">
      <c r="A8" s="3453" t="s">
        <v>3543</v>
      </c>
      <c r="B8" s="3453" t="s">
        <v>3457</v>
      </c>
      <c r="C8" s="3453" t="s">
        <v>3544</v>
      </c>
      <c r="D8" s="3453" t="s">
        <v>3459</v>
      </c>
      <c r="E8" s="3453" t="s">
        <v>3534</v>
      </c>
      <c r="F8" s="3453" t="s">
        <v>3535</v>
      </c>
      <c r="G8" s="3453" t="s">
        <v>3545</v>
      </c>
      <c r="H8" s="3453" t="s">
        <v>3463</v>
      </c>
      <c r="I8" s="3453">
        <v>30556.98</v>
      </c>
      <c r="J8" s="3453">
        <v>70795</v>
      </c>
      <c r="K8" s="3453">
        <v>2.3199999999999998</v>
      </c>
      <c r="L8" s="3453" t="s">
        <v>3464</v>
      </c>
      <c r="M8" s="3453" t="s">
        <v>3465</v>
      </c>
      <c r="N8" s="3453" t="s">
        <v>3546</v>
      </c>
      <c r="O8" s="3453" t="s">
        <v>3467</v>
      </c>
      <c r="P8" s="3453" t="s">
        <v>3470</v>
      </c>
      <c r="Q8" s="3453">
        <v>60</v>
      </c>
      <c r="R8" s="3453" t="s">
        <v>3547</v>
      </c>
      <c r="S8" s="3453" t="s">
        <v>3548</v>
      </c>
      <c r="T8" s="3453" t="s">
        <v>3470</v>
      </c>
      <c r="U8" s="3453" t="s">
        <v>3470</v>
      </c>
      <c r="V8" s="3453" t="s">
        <v>3470</v>
      </c>
      <c r="W8" s="3453" t="s">
        <v>3470</v>
      </c>
      <c r="X8" s="3453">
        <v>0</v>
      </c>
      <c r="Y8" s="3453">
        <v>0</v>
      </c>
      <c r="Z8" s="3454">
        <v>44859.000497685185</v>
      </c>
      <c r="AA8" s="3454">
        <v>44879.000497685185</v>
      </c>
      <c r="AB8" s="3454">
        <v>44893.000497685185</v>
      </c>
      <c r="AC8" s="3454">
        <v>44894.000497685185</v>
      </c>
      <c r="AD8" s="3453" t="s">
        <v>3549</v>
      </c>
      <c r="AE8" s="3453" t="s">
        <v>3472</v>
      </c>
      <c r="AF8" s="3453" t="s">
        <v>3550</v>
      </c>
      <c r="AG8" s="3453" t="s">
        <v>3551</v>
      </c>
      <c r="AH8" s="3453" t="s">
        <v>3475</v>
      </c>
      <c r="AI8" s="3453">
        <v>269000</v>
      </c>
      <c r="AJ8" s="3453">
        <v>54000</v>
      </c>
      <c r="AK8" s="3453" t="s">
        <v>3552</v>
      </c>
      <c r="AL8" s="3453">
        <v>284000</v>
      </c>
      <c r="AM8" s="3453">
        <v>5868.82</v>
      </c>
      <c r="AN8" s="3453">
        <v>6196.07</v>
      </c>
      <c r="AO8" s="3453">
        <v>37997</v>
      </c>
      <c r="AP8" s="3453">
        <v>40116</v>
      </c>
      <c r="AQ8" s="3453" t="s">
        <v>3470</v>
      </c>
      <c r="AR8" s="3453" t="s">
        <v>3470</v>
      </c>
      <c r="AS8" s="3453">
        <v>5.58</v>
      </c>
      <c r="AT8" s="3453" t="s">
        <v>3553</v>
      </c>
      <c r="AU8" s="3453">
        <v>309350</v>
      </c>
      <c r="AV8" s="3453" t="s">
        <v>3505</v>
      </c>
      <c r="AW8" s="3453">
        <v>75800</v>
      </c>
      <c r="AX8" s="3453">
        <v>43697</v>
      </c>
      <c r="AY8" s="3453">
        <v>15</v>
      </c>
      <c r="AZ8" s="3453">
        <v>37803</v>
      </c>
    </row>
    <row r="9" spans="1:54" hidden="1">
      <c r="A9" s="3453" t="s">
        <v>3554</v>
      </c>
      <c r="B9" s="3453" t="s">
        <v>3457</v>
      </c>
      <c r="C9" s="3453" t="s">
        <v>3555</v>
      </c>
      <c r="D9" s="3453" t="s">
        <v>3459</v>
      </c>
      <c r="E9" s="3453" t="s">
        <v>3556</v>
      </c>
      <c r="F9" s="3453" t="s">
        <v>3557</v>
      </c>
      <c r="G9" s="3453" t="s">
        <v>3558</v>
      </c>
      <c r="H9" s="3453" t="s">
        <v>3463</v>
      </c>
      <c r="I9" s="3453">
        <v>23004.15</v>
      </c>
      <c r="J9" s="3453">
        <v>32205.81</v>
      </c>
      <c r="K9" s="3453">
        <v>1.4</v>
      </c>
      <c r="L9" s="3453" t="s">
        <v>3464</v>
      </c>
      <c r="M9" s="3453" t="s">
        <v>3465</v>
      </c>
      <c r="N9" s="3453" t="s">
        <v>3546</v>
      </c>
      <c r="O9" s="3453" t="s">
        <v>3467</v>
      </c>
      <c r="P9" s="3453">
        <v>0.3</v>
      </c>
      <c r="Q9" s="3453">
        <v>18</v>
      </c>
      <c r="R9" s="3453" t="s">
        <v>3547</v>
      </c>
      <c r="S9" s="3453" t="s">
        <v>3548</v>
      </c>
      <c r="T9" s="3453" t="s">
        <v>3470</v>
      </c>
      <c r="U9" s="3453" t="s">
        <v>3470</v>
      </c>
      <c r="V9" s="3453" t="s">
        <v>3470</v>
      </c>
      <c r="W9" s="3453" t="s">
        <v>3470</v>
      </c>
      <c r="X9" s="3453">
        <v>0</v>
      </c>
      <c r="Y9" s="3453">
        <v>0</v>
      </c>
      <c r="Z9" s="3454">
        <v>44859.000497685185</v>
      </c>
      <c r="AA9" s="3454">
        <v>44879.000497685185</v>
      </c>
      <c r="AB9" s="3454">
        <v>44893.000497685185</v>
      </c>
      <c r="AC9" s="3454">
        <v>44893.000497685185</v>
      </c>
      <c r="AD9" s="3453" t="s">
        <v>3559</v>
      </c>
      <c r="AE9" s="3453" t="s">
        <v>3472</v>
      </c>
      <c r="AF9" s="3453" t="s">
        <v>3560</v>
      </c>
      <c r="AG9" s="3453" t="s">
        <v>3561</v>
      </c>
      <c r="AH9" s="3453" t="s">
        <v>3562</v>
      </c>
      <c r="AI9" s="3453">
        <v>79000</v>
      </c>
      <c r="AJ9" s="3453">
        <v>16000</v>
      </c>
      <c r="AK9" s="3453" t="s">
        <v>3552</v>
      </c>
      <c r="AL9" s="3453">
        <v>79000</v>
      </c>
      <c r="AM9" s="3453">
        <v>2289.44</v>
      </c>
      <c r="AN9" s="3453">
        <v>2289.44</v>
      </c>
      <c r="AO9" s="3453">
        <v>24530</v>
      </c>
      <c r="AP9" s="3453">
        <v>24530</v>
      </c>
      <c r="AQ9" s="3453" t="s">
        <v>3470</v>
      </c>
      <c r="AR9" s="3453" t="s">
        <v>3470</v>
      </c>
      <c r="AS9" s="3453">
        <v>0</v>
      </c>
      <c r="AT9" s="3453" t="s">
        <v>3553</v>
      </c>
      <c r="AU9" s="3453">
        <v>90850</v>
      </c>
      <c r="AV9" s="3453" t="s">
        <v>3505</v>
      </c>
      <c r="AW9" s="3453">
        <v>61000</v>
      </c>
      <c r="AX9" s="3453">
        <v>28209</v>
      </c>
      <c r="AY9" s="3453">
        <v>15</v>
      </c>
      <c r="AZ9" s="3453">
        <v>36470</v>
      </c>
    </row>
    <row r="10" spans="1:54" hidden="1">
      <c r="A10" s="3453" t="s">
        <v>3563</v>
      </c>
      <c r="B10" s="3453" t="s">
        <v>3457</v>
      </c>
      <c r="C10" s="3453" t="s">
        <v>3564</v>
      </c>
      <c r="D10" s="3453" t="s">
        <v>3459</v>
      </c>
      <c r="E10" s="3453" t="s">
        <v>3508</v>
      </c>
      <c r="F10" s="3453" t="s">
        <v>3565</v>
      </c>
      <c r="G10" s="3453" t="s">
        <v>3566</v>
      </c>
      <c r="H10" s="3453" t="s">
        <v>3463</v>
      </c>
      <c r="I10" s="3453">
        <v>24837.200000000001</v>
      </c>
      <c r="J10" s="3453">
        <v>49674.400000000001</v>
      </c>
      <c r="K10" s="3453">
        <v>2</v>
      </c>
      <c r="L10" s="3453" t="s">
        <v>3464</v>
      </c>
      <c r="M10" s="3453" t="s">
        <v>3465</v>
      </c>
      <c r="N10" s="3453" t="s">
        <v>3546</v>
      </c>
      <c r="O10" s="3453" t="s">
        <v>3467</v>
      </c>
      <c r="P10" s="3453" t="s">
        <v>3470</v>
      </c>
      <c r="Q10" s="3453">
        <v>36</v>
      </c>
      <c r="R10" s="3453" t="s">
        <v>3567</v>
      </c>
      <c r="S10" s="3453" t="s">
        <v>3568</v>
      </c>
      <c r="T10" s="3453" t="s">
        <v>3470</v>
      </c>
      <c r="U10" s="3453" t="s">
        <v>3470</v>
      </c>
      <c r="V10" s="3453">
        <v>0</v>
      </c>
      <c r="W10" s="3453">
        <v>0</v>
      </c>
      <c r="X10" s="3453">
        <v>0</v>
      </c>
      <c r="Y10" s="3453">
        <v>0</v>
      </c>
      <c r="Z10" s="3454">
        <v>44859.000497685185</v>
      </c>
      <c r="AA10" s="3454">
        <v>44879.000497685185</v>
      </c>
      <c r="AB10" s="3454">
        <v>44893.000497685185</v>
      </c>
      <c r="AC10" s="3454">
        <v>44893.000497685185</v>
      </c>
      <c r="AD10" s="3453" t="s">
        <v>3569</v>
      </c>
      <c r="AE10" s="3453" t="s">
        <v>3472</v>
      </c>
      <c r="AF10" s="3453" t="s">
        <v>3570</v>
      </c>
      <c r="AG10" s="3453" t="s">
        <v>3571</v>
      </c>
      <c r="AH10" s="3453" t="s">
        <v>3493</v>
      </c>
      <c r="AI10" s="3453">
        <v>166000</v>
      </c>
      <c r="AJ10" s="3453">
        <v>34000</v>
      </c>
      <c r="AK10" s="3453" t="s">
        <v>3552</v>
      </c>
      <c r="AL10" s="3453">
        <v>166900</v>
      </c>
      <c r="AM10" s="3453">
        <v>4455.68</v>
      </c>
      <c r="AN10" s="3453">
        <v>4479.84</v>
      </c>
      <c r="AO10" s="3453">
        <v>33418</v>
      </c>
      <c r="AP10" s="3453">
        <v>33599</v>
      </c>
      <c r="AQ10" s="3453" t="s">
        <v>3470</v>
      </c>
      <c r="AR10" s="3453" t="s">
        <v>3470</v>
      </c>
      <c r="AS10" s="3453">
        <v>0.54</v>
      </c>
      <c r="AT10" s="3453" t="s">
        <v>3572</v>
      </c>
      <c r="AU10" s="3453">
        <v>190900</v>
      </c>
      <c r="AV10" s="3453" t="s">
        <v>3505</v>
      </c>
      <c r="AW10" s="3453">
        <v>65000</v>
      </c>
      <c r="AX10" s="3453">
        <v>38430</v>
      </c>
      <c r="AY10" s="3453">
        <v>15</v>
      </c>
      <c r="AZ10" s="3453">
        <v>31582</v>
      </c>
    </row>
    <row r="11" spans="1:54" hidden="1">
      <c r="A11" s="3453" t="s">
        <v>3573</v>
      </c>
      <c r="B11" s="3453" t="s">
        <v>3457</v>
      </c>
      <c r="C11" s="3453" t="s">
        <v>3574</v>
      </c>
      <c r="D11" s="3453" t="s">
        <v>3459</v>
      </c>
      <c r="E11" s="3453" t="s">
        <v>3460</v>
      </c>
      <c r="F11" s="3453" t="s">
        <v>3565</v>
      </c>
      <c r="G11" s="3453" t="s">
        <v>3575</v>
      </c>
      <c r="H11" s="3453" t="s">
        <v>3463</v>
      </c>
      <c r="I11" s="3453">
        <v>18681.22</v>
      </c>
      <c r="J11" s="3453">
        <v>46703.06</v>
      </c>
      <c r="K11" s="3453">
        <v>2.5</v>
      </c>
      <c r="L11" s="3453" t="s">
        <v>3464</v>
      </c>
      <c r="M11" s="3453" t="s">
        <v>3465</v>
      </c>
      <c r="N11" s="3453" t="s">
        <v>3546</v>
      </c>
      <c r="O11" s="3453" t="s">
        <v>3467</v>
      </c>
      <c r="P11" s="3453">
        <v>0.3</v>
      </c>
      <c r="Q11" s="3453" t="s">
        <v>3470</v>
      </c>
      <c r="R11" s="3453" t="s">
        <v>3547</v>
      </c>
      <c r="S11" s="3453" t="s">
        <v>3547</v>
      </c>
      <c r="T11" s="3453" t="s">
        <v>3470</v>
      </c>
      <c r="U11" s="3453" t="s">
        <v>3470</v>
      </c>
      <c r="V11" s="3453">
        <v>0</v>
      </c>
      <c r="W11" s="3453">
        <v>0</v>
      </c>
      <c r="X11" s="3453">
        <v>0</v>
      </c>
      <c r="Y11" s="3453">
        <v>0</v>
      </c>
      <c r="Z11" s="3454">
        <v>44859.000497685185</v>
      </c>
      <c r="AA11" s="3454">
        <v>44879.000497685185</v>
      </c>
      <c r="AB11" s="3454">
        <v>44893.000497685185</v>
      </c>
      <c r="AC11" s="3454">
        <v>44894.000497685185</v>
      </c>
      <c r="AD11" s="3453" t="s">
        <v>3576</v>
      </c>
      <c r="AE11" s="3453" t="s">
        <v>3472</v>
      </c>
      <c r="AF11" s="3453" t="s">
        <v>3577</v>
      </c>
      <c r="AG11" s="3453" t="s">
        <v>3578</v>
      </c>
      <c r="AH11" s="3453" t="s">
        <v>3530</v>
      </c>
      <c r="AI11" s="3453">
        <v>212000</v>
      </c>
      <c r="AJ11" s="3453">
        <v>43000</v>
      </c>
      <c r="AK11" s="3453" t="s">
        <v>3552</v>
      </c>
      <c r="AL11" s="3453">
        <v>243800</v>
      </c>
      <c r="AM11" s="3453">
        <v>7565.53</v>
      </c>
      <c r="AN11" s="3453">
        <v>8700.36</v>
      </c>
      <c r="AO11" s="3453">
        <v>45393</v>
      </c>
      <c r="AP11" s="3453">
        <v>52202</v>
      </c>
      <c r="AQ11" s="3453" t="s">
        <v>3470</v>
      </c>
      <c r="AR11" s="3453" t="s">
        <v>3470</v>
      </c>
      <c r="AS11" s="3453">
        <v>15</v>
      </c>
      <c r="AT11" s="3453" t="s">
        <v>3553</v>
      </c>
      <c r="AU11" s="3453">
        <v>243800</v>
      </c>
      <c r="AV11" s="3453" t="s">
        <v>3478</v>
      </c>
      <c r="AW11" s="3453">
        <v>85000</v>
      </c>
      <c r="AX11" s="3453">
        <v>52202</v>
      </c>
      <c r="AY11" s="3453">
        <v>15</v>
      </c>
      <c r="AZ11" s="3453">
        <v>39607</v>
      </c>
    </row>
    <row r="12" spans="1:54" hidden="1">
      <c r="A12" s="3453" t="s">
        <v>3579</v>
      </c>
      <c r="B12" s="3453" t="s">
        <v>3457</v>
      </c>
      <c r="C12" s="3453" t="s">
        <v>3580</v>
      </c>
      <c r="D12" s="3453" t="s">
        <v>3459</v>
      </c>
      <c r="E12" s="3453" t="s">
        <v>3460</v>
      </c>
      <c r="F12" s="3453" t="s">
        <v>3565</v>
      </c>
      <c r="G12" s="3453" t="s">
        <v>3575</v>
      </c>
      <c r="H12" s="3453" t="s">
        <v>3463</v>
      </c>
      <c r="I12" s="3453">
        <v>19603.849999999999</v>
      </c>
      <c r="J12" s="3453">
        <v>49009.63</v>
      </c>
      <c r="K12" s="3453">
        <v>2.5</v>
      </c>
      <c r="L12" s="3453" t="s">
        <v>3464</v>
      </c>
      <c r="M12" s="3453" t="s">
        <v>3465</v>
      </c>
      <c r="N12" s="3453" t="s">
        <v>3546</v>
      </c>
      <c r="O12" s="3453" t="s">
        <v>3467</v>
      </c>
      <c r="P12" s="3453">
        <v>0.3</v>
      </c>
      <c r="Q12" s="3453" t="s">
        <v>3470</v>
      </c>
      <c r="R12" s="3453" t="s">
        <v>3547</v>
      </c>
      <c r="S12" s="3453" t="s">
        <v>3547</v>
      </c>
      <c r="T12" s="3453" t="s">
        <v>3470</v>
      </c>
      <c r="U12" s="3453" t="s">
        <v>3470</v>
      </c>
      <c r="V12" s="3453">
        <v>0</v>
      </c>
      <c r="W12" s="3453">
        <v>0</v>
      </c>
      <c r="X12" s="3453">
        <v>0</v>
      </c>
      <c r="Y12" s="3453">
        <v>0</v>
      </c>
      <c r="Z12" s="3454">
        <v>44859.000497685185</v>
      </c>
      <c r="AA12" s="3454">
        <v>44879.000497685185</v>
      </c>
      <c r="AB12" s="3454">
        <v>44893.000497685185</v>
      </c>
      <c r="AC12" s="3454">
        <v>44894.000497685185</v>
      </c>
      <c r="AD12" s="3453" t="s">
        <v>3581</v>
      </c>
      <c r="AE12" s="3453" t="s">
        <v>3472</v>
      </c>
      <c r="AF12" s="3453" t="s">
        <v>3582</v>
      </c>
      <c r="AG12" s="3453" t="s">
        <v>3583</v>
      </c>
      <c r="AH12" s="3453" t="s">
        <v>3584</v>
      </c>
      <c r="AI12" s="3453">
        <v>222000</v>
      </c>
      <c r="AJ12" s="3453">
        <v>45000</v>
      </c>
      <c r="AK12" s="3453" t="s">
        <v>3552</v>
      </c>
      <c r="AL12" s="3453">
        <v>255300</v>
      </c>
      <c r="AM12" s="3453">
        <v>7549.54</v>
      </c>
      <c r="AN12" s="3453">
        <v>8681.9699999999993</v>
      </c>
      <c r="AO12" s="3453">
        <v>45297</v>
      </c>
      <c r="AP12" s="3453">
        <v>52092</v>
      </c>
      <c r="AQ12" s="3453" t="s">
        <v>3470</v>
      </c>
      <c r="AR12" s="3453" t="s">
        <v>3470</v>
      </c>
      <c r="AS12" s="3453">
        <v>15</v>
      </c>
      <c r="AT12" s="3453" t="s">
        <v>3553</v>
      </c>
      <c r="AU12" s="3453">
        <v>255300</v>
      </c>
      <c r="AV12" s="3453" t="s">
        <v>3478</v>
      </c>
      <c r="AW12" s="3453">
        <v>85000</v>
      </c>
      <c r="AX12" s="3453">
        <v>52092</v>
      </c>
      <c r="AY12" s="3453">
        <v>15</v>
      </c>
      <c r="AZ12" s="3453">
        <v>39703</v>
      </c>
    </row>
    <row r="13" spans="1:54" hidden="1">
      <c r="A13" s="3453" t="s">
        <v>3585</v>
      </c>
      <c r="B13" s="3453" t="s">
        <v>3457</v>
      </c>
      <c r="C13" s="3453" t="s">
        <v>3586</v>
      </c>
      <c r="D13" s="3453" t="s">
        <v>3459</v>
      </c>
      <c r="E13" s="3453" t="s">
        <v>3460</v>
      </c>
      <c r="F13" s="3453" t="s">
        <v>3587</v>
      </c>
      <c r="G13" s="3453" t="s">
        <v>3588</v>
      </c>
      <c r="H13" s="3453" t="s">
        <v>3463</v>
      </c>
      <c r="I13" s="3453">
        <v>31920.74</v>
      </c>
      <c r="J13" s="3453">
        <v>70864</v>
      </c>
      <c r="K13" s="3453">
        <v>2.2200000000000002</v>
      </c>
      <c r="L13" s="3453" t="s">
        <v>3464</v>
      </c>
      <c r="M13" s="3453" t="s">
        <v>3465</v>
      </c>
      <c r="N13" s="3453" t="s">
        <v>3546</v>
      </c>
      <c r="O13" s="3453" t="s">
        <v>3467</v>
      </c>
      <c r="P13" s="3453">
        <v>0.25</v>
      </c>
      <c r="Q13" s="3453">
        <v>60</v>
      </c>
      <c r="R13" s="3453" t="s">
        <v>3547</v>
      </c>
      <c r="S13" s="3453" t="s">
        <v>3547</v>
      </c>
      <c r="T13" s="3453" t="s">
        <v>3470</v>
      </c>
      <c r="U13" s="3453" t="s">
        <v>3470</v>
      </c>
      <c r="V13" s="3453">
        <v>0</v>
      </c>
      <c r="W13" s="3453">
        <v>0</v>
      </c>
      <c r="X13" s="3453">
        <v>0</v>
      </c>
      <c r="Y13" s="3453">
        <v>0</v>
      </c>
      <c r="Z13" s="3454">
        <v>44859.000497685185</v>
      </c>
      <c r="AA13" s="3454">
        <v>44879.000497685185</v>
      </c>
      <c r="AB13" s="3454">
        <v>44893.000497685185</v>
      </c>
      <c r="AC13" s="3454">
        <v>44894.000497685185</v>
      </c>
      <c r="AD13" s="3453" t="s">
        <v>3589</v>
      </c>
      <c r="AE13" s="3453" t="s">
        <v>3472</v>
      </c>
      <c r="AF13" s="3453" t="s">
        <v>3590</v>
      </c>
      <c r="AG13" s="3453" t="s">
        <v>3591</v>
      </c>
      <c r="AH13" s="3453" t="s">
        <v>3493</v>
      </c>
      <c r="AI13" s="3453">
        <v>281000</v>
      </c>
      <c r="AJ13" s="3453">
        <v>57000</v>
      </c>
      <c r="AK13" s="3453" t="s">
        <v>3552</v>
      </c>
      <c r="AL13" s="3453">
        <v>323150</v>
      </c>
      <c r="AM13" s="3453">
        <v>5868.7</v>
      </c>
      <c r="AN13" s="3453">
        <v>6749.01</v>
      </c>
      <c r="AO13" s="3453">
        <v>39653</v>
      </c>
      <c r="AP13" s="3453">
        <v>45601</v>
      </c>
      <c r="AQ13" s="3453" t="s">
        <v>3470</v>
      </c>
      <c r="AR13" s="3453" t="s">
        <v>3470</v>
      </c>
      <c r="AS13" s="3453">
        <v>15</v>
      </c>
      <c r="AT13" s="3453" t="s">
        <v>3553</v>
      </c>
      <c r="AU13" s="3453">
        <v>323150</v>
      </c>
      <c r="AV13" s="3453" t="s">
        <v>3478</v>
      </c>
      <c r="AW13" s="3453">
        <v>85000</v>
      </c>
      <c r="AX13" s="3453">
        <v>45601</v>
      </c>
      <c r="AY13" s="3453">
        <v>15</v>
      </c>
      <c r="AZ13" s="3453">
        <v>45347</v>
      </c>
    </row>
    <row r="14" spans="1:54" hidden="1">
      <c r="A14" s="3453" t="s">
        <v>3592</v>
      </c>
      <c r="B14" s="3453" t="s">
        <v>3457</v>
      </c>
      <c r="C14" s="3453" t="s">
        <v>3593</v>
      </c>
      <c r="D14" s="3453" t="s">
        <v>3459</v>
      </c>
      <c r="E14" s="3453" t="s">
        <v>3594</v>
      </c>
      <c r="F14" s="3453" t="s">
        <v>3595</v>
      </c>
      <c r="G14" s="3453" t="s">
        <v>3596</v>
      </c>
      <c r="H14" s="3453" t="s">
        <v>3484</v>
      </c>
      <c r="I14" s="3453">
        <v>89084.800000000003</v>
      </c>
      <c r="J14" s="3453">
        <v>141877.1</v>
      </c>
      <c r="K14" s="3453" t="s">
        <v>3597</v>
      </c>
      <c r="L14" s="3453" t="s">
        <v>3464</v>
      </c>
      <c r="M14" s="3453" t="s">
        <v>3598</v>
      </c>
      <c r="N14" s="3453" t="s">
        <v>3599</v>
      </c>
      <c r="O14" s="3453" t="s">
        <v>3467</v>
      </c>
      <c r="P14" s="3453">
        <v>0.3</v>
      </c>
      <c r="Q14" s="3453" t="s">
        <v>3600</v>
      </c>
      <c r="R14" s="3453" t="s">
        <v>3601</v>
      </c>
      <c r="S14" s="3453" t="s">
        <v>3548</v>
      </c>
      <c r="T14" s="3453" t="s">
        <v>3602</v>
      </c>
      <c r="U14" s="3453" t="s">
        <v>3603</v>
      </c>
      <c r="V14" s="3453">
        <v>42312.87</v>
      </c>
      <c r="W14" s="3453">
        <v>42312.87</v>
      </c>
      <c r="X14" s="3453">
        <v>0</v>
      </c>
      <c r="Y14" s="3453">
        <v>0</v>
      </c>
      <c r="Z14" s="3454">
        <v>44791.000497685185</v>
      </c>
      <c r="AA14" s="3454">
        <v>44811.000497685185</v>
      </c>
      <c r="AB14" s="3454">
        <v>44826.000497685185</v>
      </c>
      <c r="AC14" s="3454">
        <v>44826.000497685185</v>
      </c>
      <c r="AD14" s="3453" t="s">
        <v>3604</v>
      </c>
      <c r="AE14" s="3453" t="s">
        <v>3472</v>
      </c>
      <c r="AF14" s="3453" t="s">
        <v>3605</v>
      </c>
      <c r="AG14" s="3453" t="s">
        <v>3571</v>
      </c>
      <c r="AH14" s="3453" t="s">
        <v>3493</v>
      </c>
      <c r="AI14" s="3453">
        <v>160000</v>
      </c>
      <c r="AJ14" s="3453">
        <v>32000</v>
      </c>
      <c r="AK14" s="3453" t="s">
        <v>3606</v>
      </c>
      <c r="AL14" s="3453">
        <v>160000</v>
      </c>
      <c r="AM14" s="3453">
        <v>1197.3599999999999</v>
      </c>
      <c r="AN14" s="3453">
        <v>1197.3599999999999</v>
      </c>
      <c r="AO14" s="3453">
        <v>11277</v>
      </c>
      <c r="AP14" s="3453">
        <v>11277</v>
      </c>
      <c r="AQ14" s="3453">
        <v>16070</v>
      </c>
      <c r="AR14" s="3453">
        <v>16070</v>
      </c>
      <c r="AS14" s="3453">
        <v>0</v>
      </c>
      <c r="AT14" s="3453" t="s">
        <v>3607</v>
      </c>
      <c r="AU14" s="3453">
        <v>184000</v>
      </c>
      <c r="AV14" s="3453" t="s">
        <v>3505</v>
      </c>
      <c r="AW14" s="3453" t="s">
        <v>3467</v>
      </c>
      <c r="AX14" s="3453">
        <v>12969</v>
      </c>
      <c r="AY14" s="3453">
        <v>15</v>
      </c>
      <c r="AZ14" s="3453" t="s">
        <v>3470</v>
      </c>
    </row>
    <row r="15" spans="1:54" hidden="1">
      <c r="A15" s="3453" t="s">
        <v>3608</v>
      </c>
      <c r="B15" s="3453" t="s">
        <v>3457</v>
      </c>
      <c r="C15" s="3453" t="s">
        <v>3609</v>
      </c>
      <c r="D15" s="3453" t="s">
        <v>3459</v>
      </c>
      <c r="E15" s="3453" t="s">
        <v>3497</v>
      </c>
      <c r="F15" s="3453" t="s">
        <v>3498</v>
      </c>
      <c r="G15" s="3453" t="s">
        <v>3610</v>
      </c>
      <c r="H15" s="3453" t="s">
        <v>3484</v>
      </c>
      <c r="I15" s="3453">
        <v>17779.03</v>
      </c>
      <c r="J15" s="3453">
        <v>18677</v>
      </c>
      <c r="K15" s="3453" t="s">
        <v>3611</v>
      </c>
      <c r="L15" s="3453" t="s">
        <v>3464</v>
      </c>
      <c r="M15" s="3453" t="s">
        <v>3612</v>
      </c>
      <c r="N15" s="3453" t="s">
        <v>3599</v>
      </c>
      <c r="O15" s="3453" t="s">
        <v>3467</v>
      </c>
      <c r="P15" s="3453" t="s">
        <v>3613</v>
      </c>
      <c r="Q15" s="3453" t="s">
        <v>3614</v>
      </c>
      <c r="R15" s="3453" t="s">
        <v>3615</v>
      </c>
      <c r="S15" s="3453" t="s">
        <v>3548</v>
      </c>
      <c r="T15" s="3453" t="s">
        <v>3470</v>
      </c>
      <c r="U15" s="3453" t="s">
        <v>3470</v>
      </c>
      <c r="V15" s="3453" t="s">
        <v>3470</v>
      </c>
      <c r="W15" s="3453" t="s">
        <v>3470</v>
      </c>
      <c r="X15" s="3453">
        <v>0</v>
      </c>
      <c r="Y15" s="3453">
        <v>0</v>
      </c>
      <c r="Z15" s="3454">
        <v>44791.000497685185</v>
      </c>
      <c r="AA15" s="3454">
        <v>44811.000497685185</v>
      </c>
      <c r="AB15" s="3454">
        <v>44826.000497685185</v>
      </c>
      <c r="AC15" s="3454">
        <v>44826.000497685185</v>
      </c>
      <c r="AD15" s="3453" t="s">
        <v>3616</v>
      </c>
      <c r="AE15" s="3453" t="s">
        <v>3472</v>
      </c>
      <c r="AF15" s="3453" t="s">
        <v>3617</v>
      </c>
      <c r="AG15" s="3453" t="s">
        <v>3618</v>
      </c>
      <c r="AH15" s="3453" t="s">
        <v>3493</v>
      </c>
      <c r="AI15" s="3453">
        <v>43000</v>
      </c>
      <c r="AJ15" s="3453">
        <v>8600</v>
      </c>
      <c r="AK15" s="3453" t="s">
        <v>3606</v>
      </c>
      <c r="AL15" s="3453">
        <v>43000</v>
      </c>
      <c r="AM15" s="3453">
        <v>1612.39</v>
      </c>
      <c r="AN15" s="3453">
        <v>1612.39</v>
      </c>
      <c r="AO15" s="3453">
        <v>23023</v>
      </c>
      <c r="AP15" s="3453">
        <v>23023</v>
      </c>
      <c r="AQ15" s="3453" t="s">
        <v>3470</v>
      </c>
      <c r="AR15" s="3453" t="s">
        <v>3470</v>
      </c>
      <c r="AS15" s="3453">
        <v>0</v>
      </c>
      <c r="AT15" s="3453" t="s">
        <v>3607</v>
      </c>
      <c r="AU15" s="3453">
        <v>49450</v>
      </c>
      <c r="AV15" s="3453" t="s">
        <v>3505</v>
      </c>
      <c r="AW15" s="3453" t="s">
        <v>3467</v>
      </c>
      <c r="AX15" s="3453">
        <v>26476</v>
      </c>
      <c r="AY15" s="3453">
        <v>15</v>
      </c>
      <c r="AZ15" s="3453" t="s">
        <v>3470</v>
      </c>
    </row>
    <row r="16" spans="1:54" hidden="1">
      <c r="A16" s="3453" t="s">
        <v>3619</v>
      </c>
      <c r="B16" s="3453" t="s">
        <v>3457</v>
      </c>
      <c r="C16" s="3453" t="s">
        <v>3620</v>
      </c>
      <c r="D16" s="3453" t="s">
        <v>3459</v>
      </c>
      <c r="E16" s="3453" t="s">
        <v>3481</v>
      </c>
      <c r="F16" s="3453" t="s">
        <v>3482</v>
      </c>
      <c r="G16" s="3453" t="s">
        <v>3621</v>
      </c>
      <c r="H16" s="3453" t="s">
        <v>3463</v>
      </c>
      <c r="I16" s="3453">
        <v>32830.720000000001</v>
      </c>
      <c r="J16" s="3453">
        <v>90830.7</v>
      </c>
      <c r="K16" s="3453" t="s">
        <v>3622</v>
      </c>
      <c r="L16" s="3453" t="s">
        <v>3464</v>
      </c>
      <c r="M16" s="3453" t="s">
        <v>3465</v>
      </c>
      <c r="N16" s="3453" t="s">
        <v>3599</v>
      </c>
      <c r="O16" s="3453" t="s">
        <v>3467</v>
      </c>
      <c r="P16" s="3453" t="s">
        <v>3470</v>
      </c>
      <c r="Q16" s="3453">
        <v>80</v>
      </c>
      <c r="R16" s="3453" t="s">
        <v>3547</v>
      </c>
      <c r="S16" s="3453" t="s">
        <v>3548</v>
      </c>
      <c r="T16" s="3453" t="s">
        <v>3470</v>
      </c>
      <c r="U16" s="3453" t="s">
        <v>3470</v>
      </c>
      <c r="V16" s="3453" t="s">
        <v>3470</v>
      </c>
      <c r="W16" s="3453" t="s">
        <v>3470</v>
      </c>
      <c r="X16" s="3453">
        <v>0</v>
      </c>
      <c r="Y16" s="3453">
        <v>0</v>
      </c>
      <c r="Z16" s="3454">
        <v>44791.000497685185</v>
      </c>
      <c r="AA16" s="3454">
        <v>44811.000497685185</v>
      </c>
      <c r="AB16" s="3454">
        <v>44826.000497685185</v>
      </c>
      <c r="AC16" s="3454">
        <v>44827.000497685185</v>
      </c>
      <c r="AD16" s="3453" t="s">
        <v>3623</v>
      </c>
      <c r="AE16" s="3453" t="s">
        <v>3472</v>
      </c>
      <c r="AF16" s="3453" t="s">
        <v>3624</v>
      </c>
      <c r="AG16" s="3453" t="s">
        <v>3625</v>
      </c>
      <c r="AH16" s="3453" t="s">
        <v>3493</v>
      </c>
      <c r="AI16" s="3453">
        <v>317000</v>
      </c>
      <c r="AJ16" s="3453">
        <v>64000</v>
      </c>
      <c r="AK16" s="3453" t="s">
        <v>3606</v>
      </c>
      <c r="AL16" s="3453">
        <v>326600</v>
      </c>
      <c r="AM16" s="3453">
        <v>6437.06</v>
      </c>
      <c r="AN16" s="3453">
        <v>6632</v>
      </c>
      <c r="AO16" s="3453">
        <v>34900</v>
      </c>
      <c r="AP16" s="3453">
        <v>35957</v>
      </c>
      <c r="AQ16" s="3453" t="s">
        <v>3470</v>
      </c>
      <c r="AR16" s="3453" t="s">
        <v>3470</v>
      </c>
      <c r="AS16" s="3453">
        <v>3.03</v>
      </c>
      <c r="AT16" s="3453" t="s">
        <v>3477</v>
      </c>
      <c r="AU16" s="3453">
        <v>364550</v>
      </c>
      <c r="AV16" s="3453" t="s">
        <v>3505</v>
      </c>
      <c r="AW16" s="3453" t="s">
        <v>3467</v>
      </c>
      <c r="AX16" s="3453">
        <v>40135</v>
      </c>
      <c r="AY16" s="3453">
        <v>15</v>
      </c>
      <c r="AZ16" s="3453" t="s">
        <v>3470</v>
      </c>
    </row>
    <row r="17" spans="1:55" hidden="1">
      <c r="A17" s="3453" t="s">
        <v>3626</v>
      </c>
      <c r="B17" s="3453" t="s">
        <v>3457</v>
      </c>
      <c r="C17" s="3453" t="s">
        <v>3627</v>
      </c>
      <c r="D17" s="3453" t="s">
        <v>3459</v>
      </c>
      <c r="E17" s="3453" t="s">
        <v>3508</v>
      </c>
      <c r="F17" s="3453" t="s">
        <v>3509</v>
      </c>
      <c r="G17" s="3453" t="s">
        <v>3510</v>
      </c>
      <c r="H17" s="3453" t="s">
        <v>3484</v>
      </c>
      <c r="I17" s="3453">
        <v>24601.759999999998</v>
      </c>
      <c r="J17" s="3453">
        <v>56395.59</v>
      </c>
      <c r="K17" s="3453" t="s">
        <v>3628</v>
      </c>
      <c r="L17" s="3453" t="s">
        <v>3464</v>
      </c>
      <c r="M17" s="3453" t="s">
        <v>3629</v>
      </c>
      <c r="N17" s="3453" t="s">
        <v>3599</v>
      </c>
      <c r="O17" s="3453" t="s">
        <v>3467</v>
      </c>
      <c r="P17" s="3453" t="s">
        <v>3470</v>
      </c>
      <c r="Q17" s="3453" t="s">
        <v>3630</v>
      </c>
      <c r="R17" s="3453" t="s">
        <v>3547</v>
      </c>
      <c r="S17" s="3453" t="s">
        <v>3548</v>
      </c>
      <c r="T17" s="3453" t="s">
        <v>3470</v>
      </c>
      <c r="U17" s="3453" t="s">
        <v>3470</v>
      </c>
      <c r="V17" s="3453" t="s">
        <v>3470</v>
      </c>
      <c r="W17" s="3453" t="s">
        <v>3470</v>
      </c>
      <c r="X17" s="3453">
        <v>0</v>
      </c>
      <c r="Y17" s="3453">
        <v>0</v>
      </c>
      <c r="Z17" s="3454">
        <v>44791.000497685185</v>
      </c>
      <c r="AA17" s="3454">
        <v>44811.000497685185</v>
      </c>
      <c r="AB17" s="3454">
        <v>44826.000497685185</v>
      </c>
      <c r="AC17" s="3454">
        <v>44826.000497685185</v>
      </c>
      <c r="AD17" s="3453" t="s">
        <v>3631</v>
      </c>
      <c r="AE17" s="3453" t="s">
        <v>3472</v>
      </c>
      <c r="AF17" s="3453" t="s">
        <v>3632</v>
      </c>
      <c r="AG17" s="3453" t="s">
        <v>3633</v>
      </c>
      <c r="AH17" s="3453" t="s">
        <v>3634</v>
      </c>
      <c r="AI17" s="3453">
        <v>165000</v>
      </c>
      <c r="AJ17" s="3453">
        <v>33000</v>
      </c>
      <c r="AK17" s="3453" t="s">
        <v>3606</v>
      </c>
      <c r="AL17" s="3453">
        <v>165000</v>
      </c>
      <c r="AM17" s="3453">
        <v>4471.22</v>
      </c>
      <c r="AN17" s="3453">
        <v>4471.22</v>
      </c>
      <c r="AO17" s="3453">
        <v>29258</v>
      </c>
      <c r="AP17" s="3453">
        <v>29258</v>
      </c>
      <c r="AQ17" s="3453" t="s">
        <v>3470</v>
      </c>
      <c r="AR17" s="3453" t="s">
        <v>3470</v>
      </c>
      <c r="AS17" s="3453">
        <v>0</v>
      </c>
      <c r="AT17" s="3453" t="s">
        <v>3607</v>
      </c>
      <c r="AU17" s="3453">
        <v>189700</v>
      </c>
      <c r="AV17" s="3453" t="s">
        <v>3505</v>
      </c>
      <c r="AW17" s="3453" t="s">
        <v>3467</v>
      </c>
      <c r="AX17" s="3453">
        <v>33637</v>
      </c>
      <c r="AY17" s="3453">
        <v>14.97</v>
      </c>
      <c r="AZ17" s="3453" t="s">
        <v>3470</v>
      </c>
    </row>
    <row r="18" spans="1:55" hidden="1">
      <c r="A18" s="3453" t="s">
        <v>3635</v>
      </c>
      <c r="B18" s="3453" t="s">
        <v>3457</v>
      </c>
      <c r="C18" s="3453" t="s">
        <v>3636</v>
      </c>
      <c r="D18" s="3453" t="s">
        <v>3459</v>
      </c>
      <c r="E18" s="3453" t="s">
        <v>3519</v>
      </c>
      <c r="F18" s="3453" t="s">
        <v>3520</v>
      </c>
      <c r="G18" s="3453" t="s">
        <v>3637</v>
      </c>
      <c r="H18" s="3453" t="s">
        <v>3463</v>
      </c>
      <c r="I18" s="3453">
        <v>21625</v>
      </c>
      <c r="J18" s="3453">
        <v>43250</v>
      </c>
      <c r="K18" s="3453" t="s">
        <v>3638</v>
      </c>
      <c r="L18" s="3453" t="s">
        <v>3464</v>
      </c>
      <c r="M18" s="3453" t="s">
        <v>3465</v>
      </c>
      <c r="N18" s="3453" t="s">
        <v>3599</v>
      </c>
      <c r="O18" s="3453" t="s">
        <v>3467</v>
      </c>
      <c r="P18" s="3453">
        <v>0.3</v>
      </c>
      <c r="Q18" s="3453" t="s">
        <v>3639</v>
      </c>
      <c r="R18" s="3453" t="s">
        <v>3640</v>
      </c>
      <c r="S18" s="3453" t="s">
        <v>3568</v>
      </c>
      <c r="T18" s="3453" t="s">
        <v>3470</v>
      </c>
      <c r="U18" s="3453" t="s">
        <v>3470</v>
      </c>
      <c r="V18" s="3453" t="s">
        <v>3470</v>
      </c>
      <c r="W18" s="3453" t="s">
        <v>3470</v>
      </c>
      <c r="X18" s="3453">
        <v>0</v>
      </c>
      <c r="Y18" s="3453">
        <v>0</v>
      </c>
      <c r="Z18" s="3454">
        <v>44791.000497685185</v>
      </c>
      <c r="AA18" s="3454">
        <v>44811.000497685185</v>
      </c>
      <c r="AB18" s="3454">
        <v>44826.000497685185</v>
      </c>
      <c r="AC18" s="3454">
        <v>44826.000497685185</v>
      </c>
      <c r="AD18" s="3453" t="s">
        <v>3641</v>
      </c>
      <c r="AE18" s="3453" t="s">
        <v>3472</v>
      </c>
      <c r="AF18" s="3453" t="s">
        <v>3642</v>
      </c>
      <c r="AG18" s="3453" t="s">
        <v>3643</v>
      </c>
      <c r="AH18" s="3453" t="s">
        <v>3493</v>
      </c>
      <c r="AI18" s="3453">
        <v>143000</v>
      </c>
      <c r="AJ18" s="3453">
        <v>29000</v>
      </c>
      <c r="AK18" s="3453" t="s">
        <v>3606</v>
      </c>
      <c r="AL18" s="3453">
        <v>143000</v>
      </c>
      <c r="AM18" s="3453">
        <v>4408.4799999999996</v>
      </c>
      <c r="AN18" s="3453">
        <v>4408.4799999999996</v>
      </c>
      <c r="AO18" s="3453">
        <v>33064</v>
      </c>
      <c r="AP18" s="3453">
        <v>33064</v>
      </c>
      <c r="AQ18" s="3453" t="s">
        <v>3470</v>
      </c>
      <c r="AR18" s="3453" t="s">
        <v>3470</v>
      </c>
      <c r="AS18" s="3453">
        <v>0</v>
      </c>
      <c r="AT18" s="3453" t="s">
        <v>3477</v>
      </c>
      <c r="AU18" s="3453">
        <v>164450</v>
      </c>
      <c r="AV18" s="3453" t="s">
        <v>3505</v>
      </c>
      <c r="AW18" s="3453" t="s">
        <v>3467</v>
      </c>
      <c r="AX18" s="3453">
        <v>38023</v>
      </c>
      <c r="AY18" s="3453">
        <v>15</v>
      </c>
      <c r="AZ18" s="3453" t="s">
        <v>3470</v>
      </c>
    </row>
    <row r="19" spans="1:55" hidden="1">
      <c r="A19" s="3453" t="s">
        <v>3644</v>
      </c>
      <c r="B19" s="3453" t="s">
        <v>3457</v>
      </c>
      <c r="C19" s="3453" t="s">
        <v>3645</v>
      </c>
      <c r="D19" s="3453" t="s">
        <v>3459</v>
      </c>
      <c r="E19" s="3453" t="s">
        <v>3497</v>
      </c>
      <c r="F19" s="3453" t="s">
        <v>3646</v>
      </c>
      <c r="G19" s="3453" t="s">
        <v>3647</v>
      </c>
      <c r="H19" s="3453" t="s">
        <v>3484</v>
      </c>
      <c r="I19" s="3453">
        <v>48701.2</v>
      </c>
      <c r="J19" s="3453">
        <v>111831</v>
      </c>
      <c r="K19" s="3453" t="s">
        <v>3648</v>
      </c>
      <c r="L19" s="3453" t="s">
        <v>3464</v>
      </c>
      <c r="M19" s="3453" t="s">
        <v>3612</v>
      </c>
      <c r="N19" s="3453" t="s">
        <v>3599</v>
      </c>
      <c r="O19" s="3453" t="s">
        <v>3467</v>
      </c>
      <c r="P19" s="3453" t="s">
        <v>3649</v>
      </c>
      <c r="Q19" s="3453" t="s">
        <v>3650</v>
      </c>
      <c r="R19" s="3453" t="s">
        <v>3547</v>
      </c>
      <c r="S19" s="3453" t="s">
        <v>3548</v>
      </c>
      <c r="T19" s="3453" t="s">
        <v>3470</v>
      </c>
      <c r="U19" s="3453" t="s">
        <v>3470</v>
      </c>
      <c r="V19" s="3453" t="s">
        <v>3470</v>
      </c>
      <c r="W19" s="3453" t="s">
        <v>3470</v>
      </c>
      <c r="X19" s="3453">
        <v>0</v>
      </c>
      <c r="Y19" s="3453">
        <v>0</v>
      </c>
      <c r="Z19" s="3454">
        <v>44791.000497685185</v>
      </c>
      <c r="AA19" s="3454">
        <v>44811.000497685185</v>
      </c>
      <c r="AB19" s="3454">
        <v>44826.000497685185</v>
      </c>
      <c r="AC19" s="3454">
        <v>44826.000497685185</v>
      </c>
      <c r="AD19" s="3453" t="s">
        <v>3651</v>
      </c>
      <c r="AE19" s="3453" t="s">
        <v>3472</v>
      </c>
      <c r="AF19" s="3453" t="s">
        <v>3652</v>
      </c>
      <c r="AG19" s="3453" t="s">
        <v>3653</v>
      </c>
      <c r="AH19" s="3453" t="s">
        <v>3493</v>
      </c>
      <c r="AI19" s="3453">
        <v>167000</v>
      </c>
      <c r="AJ19" s="3453">
        <v>34000</v>
      </c>
      <c r="AK19" s="3453" t="s">
        <v>3606</v>
      </c>
      <c r="AL19" s="3453">
        <v>167000</v>
      </c>
      <c r="AM19" s="3453">
        <v>2286.0500000000002</v>
      </c>
      <c r="AN19" s="3453">
        <v>2286.0500000000002</v>
      </c>
      <c r="AO19" s="3453">
        <v>14933</v>
      </c>
      <c r="AP19" s="3453">
        <v>14933</v>
      </c>
      <c r="AQ19" s="3453" t="s">
        <v>3470</v>
      </c>
      <c r="AR19" s="3453" t="s">
        <v>3470</v>
      </c>
      <c r="AS19" s="3453">
        <v>0</v>
      </c>
      <c r="AT19" s="3453" t="s">
        <v>3607</v>
      </c>
      <c r="AU19" s="3453">
        <v>192050</v>
      </c>
      <c r="AV19" s="3453" t="s">
        <v>3505</v>
      </c>
      <c r="AW19" s="3453" t="s">
        <v>3467</v>
      </c>
      <c r="AX19" s="3453">
        <v>17173</v>
      </c>
      <c r="AY19" s="3453">
        <v>15</v>
      </c>
      <c r="AZ19" s="3453" t="s">
        <v>3470</v>
      </c>
    </row>
    <row r="20" spans="1:55" s="3458" customFormat="1">
      <c r="A20" s="3455" t="s">
        <v>4680</v>
      </c>
      <c r="B20" s="3456" t="s">
        <v>3457</v>
      </c>
      <c r="C20" s="3456" t="s">
        <v>3654</v>
      </c>
      <c r="D20" s="3456" t="s">
        <v>3459</v>
      </c>
      <c r="E20" s="3456" t="s">
        <v>3655</v>
      </c>
      <c r="F20" s="3456" t="s">
        <v>3656</v>
      </c>
      <c r="G20" s="3456" t="s">
        <v>3657</v>
      </c>
      <c r="H20" s="3456" t="s">
        <v>3463</v>
      </c>
      <c r="I20" s="3456">
        <v>32689.63</v>
      </c>
      <c r="J20" s="3456">
        <v>71917</v>
      </c>
      <c r="K20" s="3456">
        <v>2.2000000000000002</v>
      </c>
      <c r="L20" s="3456" t="s">
        <v>3464</v>
      </c>
      <c r="M20" s="3456" t="s">
        <v>3465</v>
      </c>
      <c r="N20" s="3456" t="s">
        <v>3599</v>
      </c>
      <c r="O20" s="3456" t="s">
        <v>3467</v>
      </c>
      <c r="P20" s="3456" t="s">
        <v>3470</v>
      </c>
      <c r="Q20" s="3456" t="s">
        <v>3639</v>
      </c>
      <c r="R20" s="3456" t="s">
        <v>3547</v>
      </c>
      <c r="S20" s="3456" t="s">
        <v>3548</v>
      </c>
      <c r="T20" s="3456" t="s">
        <v>3470</v>
      </c>
      <c r="U20" s="3456" t="s">
        <v>3470</v>
      </c>
      <c r="V20" s="3456" t="s">
        <v>3470</v>
      </c>
      <c r="W20" s="3456" t="s">
        <v>3470</v>
      </c>
      <c r="X20" s="3456">
        <v>0</v>
      </c>
      <c r="Y20" s="3456">
        <v>0</v>
      </c>
      <c r="Z20" s="3457">
        <v>44791.000497685185</v>
      </c>
      <c r="AA20" s="3457">
        <v>44811.000497685185</v>
      </c>
      <c r="AB20" s="3457">
        <v>44826.000497685185</v>
      </c>
      <c r="AC20" s="3457">
        <v>44827.000497685185</v>
      </c>
      <c r="AD20" s="3456" t="s">
        <v>3658</v>
      </c>
      <c r="AE20" s="3456" t="s">
        <v>3472</v>
      </c>
      <c r="AF20" s="3456" t="s">
        <v>3624</v>
      </c>
      <c r="AG20" s="3456" t="s">
        <v>3625</v>
      </c>
      <c r="AH20" s="3456" t="s">
        <v>3493</v>
      </c>
      <c r="AI20" s="3456">
        <v>294000</v>
      </c>
      <c r="AJ20" s="3456">
        <v>60000</v>
      </c>
      <c r="AK20" s="3456" t="s">
        <v>3606</v>
      </c>
      <c r="AL20" s="3456">
        <v>338100</v>
      </c>
      <c r="AM20" s="3456">
        <v>5995.79</v>
      </c>
      <c r="AN20" s="3456">
        <v>6895.15</v>
      </c>
      <c r="AO20" s="3456">
        <v>40880</v>
      </c>
      <c r="AP20" s="3456">
        <v>47013</v>
      </c>
      <c r="AQ20" s="3456" t="s">
        <v>3470</v>
      </c>
      <c r="AR20" s="3456" t="s">
        <v>3470</v>
      </c>
      <c r="AS20" s="3456">
        <v>15</v>
      </c>
      <c r="AT20" s="3456" t="s">
        <v>3477</v>
      </c>
      <c r="AU20" s="3456">
        <v>338100</v>
      </c>
      <c r="AV20" s="3456" t="s">
        <v>3478</v>
      </c>
      <c r="AW20" s="3456" t="s">
        <v>3467</v>
      </c>
      <c r="AX20" s="3456">
        <v>47013</v>
      </c>
      <c r="AY20" s="3456">
        <v>15</v>
      </c>
      <c r="AZ20" s="3456" t="s">
        <v>3470</v>
      </c>
      <c r="BB20" s="3458">
        <v>83000</v>
      </c>
      <c r="BC20" s="3463" t="s">
        <v>4684</v>
      </c>
    </row>
    <row r="21" spans="1:55" hidden="1">
      <c r="A21" s="3453" t="s">
        <v>3659</v>
      </c>
      <c r="B21" s="3453" t="s">
        <v>3457</v>
      </c>
      <c r="C21" s="3453" t="s">
        <v>3660</v>
      </c>
      <c r="D21" s="3453" t="s">
        <v>3459</v>
      </c>
      <c r="E21" s="3453" t="s">
        <v>3661</v>
      </c>
      <c r="F21" s="3453" t="s">
        <v>3662</v>
      </c>
      <c r="G21" s="3453" t="s">
        <v>3663</v>
      </c>
      <c r="H21" s="3453" t="s">
        <v>3484</v>
      </c>
      <c r="I21" s="3453">
        <v>46313.85</v>
      </c>
      <c r="J21" s="3453">
        <v>104753.24</v>
      </c>
      <c r="K21" s="3453" t="s">
        <v>3664</v>
      </c>
      <c r="L21" s="3453" t="s">
        <v>3464</v>
      </c>
      <c r="M21" s="3453" t="s">
        <v>3612</v>
      </c>
      <c r="N21" s="3453" t="s">
        <v>3599</v>
      </c>
      <c r="O21" s="3453" t="s">
        <v>3467</v>
      </c>
      <c r="P21" s="3453" t="s">
        <v>3470</v>
      </c>
      <c r="Q21" s="3453" t="s">
        <v>3665</v>
      </c>
      <c r="R21" s="3453" t="s">
        <v>3547</v>
      </c>
      <c r="S21" s="3453" t="s">
        <v>3666</v>
      </c>
      <c r="T21" s="3453" t="s">
        <v>3470</v>
      </c>
      <c r="U21" s="3453" t="s">
        <v>3470</v>
      </c>
      <c r="V21" s="3453" t="s">
        <v>3470</v>
      </c>
      <c r="W21" s="3453" t="s">
        <v>3470</v>
      </c>
      <c r="X21" s="3453">
        <v>0</v>
      </c>
      <c r="Y21" s="3453">
        <v>0</v>
      </c>
      <c r="Z21" s="3454">
        <v>44791.000497685185</v>
      </c>
      <c r="AA21" s="3454">
        <v>44811.000497685185</v>
      </c>
      <c r="AB21" s="3454">
        <v>44826.000497685185</v>
      </c>
      <c r="AC21" s="3454">
        <v>44827.000497685185</v>
      </c>
      <c r="AD21" s="3453" t="s">
        <v>3667</v>
      </c>
      <c r="AE21" s="3453" t="s">
        <v>3472</v>
      </c>
      <c r="AF21" s="3453" t="s">
        <v>3550</v>
      </c>
      <c r="AG21" s="3453" t="s">
        <v>3551</v>
      </c>
      <c r="AH21" s="3453" t="s">
        <v>3475</v>
      </c>
      <c r="AI21" s="3453">
        <v>485000</v>
      </c>
      <c r="AJ21" s="3453">
        <v>97000</v>
      </c>
      <c r="AK21" s="3453" t="s">
        <v>3606</v>
      </c>
      <c r="AL21" s="3453">
        <v>557750</v>
      </c>
      <c r="AM21" s="3453">
        <v>6981.35</v>
      </c>
      <c r="AN21" s="3453">
        <v>8028.56</v>
      </c>
      <c r="AO21" s="3453">
        <v>46299</v>
      </c>
      <c r="AP21" s="3453">
        <v>53244</v>
      </c>
      <c r="AQ21" s="3453" t="s">
        <v>3470</v>
      </c>
      <c r="AR21" s="3453" t="s">
        <v>3470</v>
      </c>
      <c r="AS21" s="3453">
        <v>15</v>
      </c>
      <c r="AT21" s="3453" t="s">
        <v>3607</v>
      </c>
      <c r="AU21" s="3453">
        <v>557750</v>
      </c>
      <c r="AV21" s="3453" t="s">
        <v>3478</v>
      </c>
      <c r="AW21" s="3453" t="s">
        <v>3467</v>
      </c>
      <c r="AX21" s="3453">
        <v>53244</v>
      </c>
      <c r="AY21" s="3453">
        <v>15</v>
      </c>
      <c r="AZ21" s="3453" t="s">
        <v>3470</v>
      </c>
    </row>
    <row r="22" spans="1:55" hidden="1">
      <c r="A22" s="3453" t="s">
        <v>3668</v>
      </c>
      <c r="B22" s="3453" t="s">
        <v>3457</v>
      </c>
      <c r="C22" s="3453" t="s">
        <v>3669</v>
      </c>
      <c r="D22" s="3453" t="s">
        <v>3459</v>
      </c>
      <c r="E22" s="3453" t="s">
        <v>3670</v>
      </c>
      <c r="F22" s="3453" t="s">
        <v>3671</v>
      </c>
      <c r="G22" s="3453" t="s">
        <v>3672</v>
      </c>
      <c r="H22" s="3453" t="s">
        <v>3463</v>
      </c>
      <c r="I22" s="3453">
        <v>55570.2</v>
      </c>
      <c r="J22" s="3453">
        <v>122254.44</v>
      </c>
      <c r="K22" s="3453">
        <v>2.2000000000000002</v>
      </c>
      <c r="L22" s="3453" t="s">
        <v>3464</v>
      </c>
      <c r="M22" s="3453" t="s">
        <v>3465</v>
      </c>
      <c r="N22" s="3453" t="s">
        <v>3599</v>
      </c>
      <c r="O22" s="3453" t="s">
        <v>3467</v>
      </c>
      <c r="P22" s="3453">
        <v>0.3</v>
      </c>
      <c r="Q22" s="3453" t="s">
        <v>3639</v>
      </c>
      <c r="R22" s="3453" t="s">
        <v>3615</v>
      </c>
      <c r="S22" s="3453" t="s">
        <v>3548</v>
      </c>
      <c r="T22" s="3453" t="s">
        <v>3470</v>
      </c>
      <c r="U22" s="3453" t="s">
        <v>3470</v>
      </c>
      <c r="V22" s="3453">
        <v>0</v>
      </c>
      <c r="W22" s="3453">
        <v>0</v>
      </c>
      <c r="X22" s="3453">
        <v>0</v>
      </c>
      <c r="Y22" s="3453">
        <v>0</v>
      </c>
      <c r="Z22" s="3454">
        <v>44791.000497685185</v>
      </c>
      <c r="AA22" s="3454">
        <v>44811.000497685185</v>
      </c>
      <c r="AB22" s="3454">
        <v>44826.000497685185</v>
      </c>
      <c r="AC22" s="3454">
        <v>44826.000497685185</v>
      </c>
      <c r="AD22" s="3453" t="s">
        <v>3673</v>
      </c>
      <c r="AE22" s="3453" t="s">
        <v>3472</v>
      </c>
      <c r="AF22" s="3453" t="s">
        <v>3674</v>
      </c>
      <c r="AG22" s="3453" t="s">
        <v>3675</v>
      </c>
      <c r="AH22" s="3453" t="s">
        <v>3676</v>
      </c>
      <c r="AI22" s="3453">
        <v>152000</v>
      </c>
      <c r="AJ22" s="3453">
        <v>31000</v>
      </c>
      <c r="AK22" s="3453" t="s">
        <v>3606</v>
      </c>
      <c r="AL22" s="3453">
        <v>152000</v>
      </c>
      <c r="AM22" s="3453">
        <v>1823.52</v>
      </c>
      <c r="AN22" s="3453">
        <v>1823.52</v>
      </c>
      <c r="AO22" s="3453">
        <v>12433</v>
      </c>
      <c r="AP22" s="3453">
        <v>12433</v>
      </c>
      <c r="AQ22" s="3453" t="s">
        <v>3470</v>
      </c>
      <c r="AR22" s="3453" t="s">
        <v>3470</v>
      </c>
      <c r="AS22" s="3453">
        <v>0</v>
      </c>
      <c r="AT22" s="3453" t="s">
        <v>3477</v>
      </c>
      <c r="AU22" s="3453">
        <v>174800</v>
      </c>
      <c r="AV22" s="3453" t="s">
        <v>3505</v>
      </c>
      <c r="AW22" s="3453" t="s">
        <v>3467</v>
      </c>
      <c r="AX22" s="3453">
        <v>14298</v>
      </c>
      <c r="AY22" s="3453">
        <v>15</v>
      </c>
      <c r="AZ22" s="3453" t="s">
        <v>3470</v>
      </c>
    </row>
    <row r="23" spans="1:55" hidden="1">
      <c r="A23" s="3453" t="s">
        <v>3677</v>
      </c>
      <c r="B23" s="3453" t="s">
        <v>3457</v>
      </c>
      <c r="C23" s="3453" t="s">
        <v>3678</v>
      </c>
      <c r="D23" s="3453" t="s">
        <v>3459</v>
      </c>
      <c r="E23" s="3453" t="s">
        <v>3670</v>
      </c>
      <c r="F23" s="3453" t="s">
        <v>3679</v>
      </c>
      <c r="G23" s="3453" t="s">
        <v>3680</v>
      </c>
      <c r="H23" s="3453" t="s">
        <v>3463</v>
      </c>
      <c r="I23" s="3453">
        <v>9953.99</v>
      </c>
      <c r="J23" s="3453">
        <v>19907.98</v>
      </c>
      <c r="K23" s="3453">
        <v>2</v>
      </c>
      <c r="L23" s="3453" t="s">
        <v>3464</v>
      </c>
      <c r="M23" s="3453" t="s">
        <v>3465</v>
      </c>
      <c r="N23" s="3453" t="s">
        <v>3599</v>
      </c>
      <c r="O23" s="3453" t="s">
        <v>3467</v>
      </c>
      <c r="P23" s="3453" t="s">
        <v>3470</v>
      </c>
      <c r="Q23" s="3453">
        <v>30</v>
      </c>
      <c r="R23" s="3453" t="s">
        <v>3615</v>
      </c>
      <c r="S23" s="3453" t="s">
        <v>3548</v>
      </c>
      <c r="T23" s="3453" t="s">
        <v>3470</v>
      </c>
      <c r="U23" s="3453" t="s">
        <v>3470</v>
      </c>
      <c r="V23" s="3453" t="s">
        <v>3470</v>
      </c>
      <c r="W23" s="3453" t="s">
        <v>3470</v>
      </c>
      <c r="X23" s="3453">
        <v>0</v>
      </c>
      <c r="Y23" s="3453">
        <v>0</v>
      </c>
      <c r="Z23" s="3454">
        <v>44791.000497685185</v>
      </c>
      <c r="AA23" s="3454">
        <v>44811.000497685185</v>
      </c>
      <c r="AB23" s="3454">
        <v>44826.000497685185</v>
      </c>
      <c r="AC23" s="3454">
        <v>44826.000497685185</v>
      </c>
      <c r="AD23" s="3453" t="s">
        <v>3681</v>
      </c>
      <c r="AE23" s="3453" t="s">
        <v>3472</v>
      </c>
      <c r="AF23" s="3453" t="s">
        <v>3682</v>
      </c>
      <c r="AG23" s="3453" t="s">
        <v>3683</v>
      </c>
      <c r="AH23" s="3453" t="s">
        <v>3470</v>
      </c>
      <c r="AI23" s="3453">
        <v>18000</v>
      </c>
      <c r="AJ23" s="3453">
        <v>4000</v>
      </c>
      <c r="AK23" s="3453" t="s">
        <v>3606</v>
      </c>
      <c r="AL23" s="3453">
        <v>18000</v>
      </c>
      <c r="AM23" s="3453">
        <v>1205.55</v>
      </c>
      <c r="AN23" s="3453">
        <v>1205.55</v>
      </c>
      <c r="AO23" s="3453">
        <v>9042</v>
      </c>
      <c r="AP23" s="3453">
        <v>9042</v>
      </c>
      <c r="AQ23" s="3453" t="s">
        <v>3470</v>
      </c>
      <c r="AR23" s="3453" t="s">
        <v>3470</v>
      </c>
      <c r="AS23" s="3453">
        <v>0</v>
      </c>
      <c r="AT23" s="3453" t="s">
        <v>3477</v>
      </c>
      <c r="AU23" s="3453">
        <v>20700</v>
      </c>
      <c r="AV23" s="3453" t="s">
        <v>3505</v>
      </c>
      <c r="AW23" s="3453" t="s">
        <v>3467</v>
      </c>
      <c r="AX23" s="3453">
        <v>10398</v>
      </c>
      <c r="AY23" s="3453">
        <v>15</v>
      </c>
      <c r="AZ23" s="3453" t="s">
        <v>3470</v>
      </c>
    </row>
    <row r="24" spans="1:55" hidden="1">
      <c r="A24" s="3453" t="s">
        <v>3684</v>
      </c>
      <c r="B24" s="3453" t="s">
        <v>3457</v>
      </c>
      <c r="C24" s="3453" t="s">
        <v>3685</v>
      </c>
      <c r="D24" s="3453" t="s">
        <v>3459</v>
      </c>
      <c r="E24" s="3453" t="s">
        <v>3519</v>
      </c>
      <c r="F24" s="3453" t="s">
        <v>3686</v>
      </c>
      <c r="G24" s="3453" t="s">
        <v>3687</v>
      </c>
      <c r="H24" s="3453" t="s">
        <v>3484</v>
      </c>
      <c r="I24" s="3453">
        <v>27876.52</v>
      </c>
      <c r="J24" s="3453">
        <v>69691.3</v>
      </c>
      <c r="K24" s="3453">
        <v>2.5</v>
      </c>
      <c r="L24" s="3453" t="s">
        <v>3464</v>
      </c>
      <c r="M24" s="3453" t="s">
        <v>3688</v>
      </c>
      <c r="N24" s="3453" t="s">
        <v>3599</v>
      </c>
      <c r="O24" s="3453">
        <v>5.74</v>
      </c>
      <c r="P24" s="3453" t="s">
        <v>3470</v>
      </c>
      <c r="Q24" s="3453">
        <v>45</v>
      </c>
      <c r="R24" s="3453" t="s">
        <v>3547</v>
      </c>
      <c r="S24" s="3453" t="s">
        <v>3548</v>
      </c>
      <c r="T24" s="3453" t="s">
        <v>3470</v>
      </c>
      <c r="U24" s="3453" t="s">
        <v>3470</v>
      </c>
      <c r="V24" s="3453">
        <v>0</v>
      </c>
      <c r="W24" s="3453">
        <v>0</v>
      </c>
      <c r="X24" s="3453">
        <v>0</v>
      </c>
      <c r="Y24" s="3453">
        <v>0</v>
      </c>
      <c r="Z24" s="3454">
        <v>44791.000497685185</v>
      </c>
      <c r="AA24" s="3454">
        <v>44811.000497685185</v>
      </c>
      <c r="AB24" s="3454">
        <v>44826.000497685185</v>
      </c>
      <c r="AC24" s="3454">
        <v>44826.000497685185</v>
      </c>
      <c r="AD24" s="3453" t="s">
        <v>3689</v>
      </c>
      <c r="AE24" s="3453" t="s">
        <v>3472</v>
      </c>
      <c r="AF24" s="3453" t="s">
        <v>3690</v>
      </c>
      <c r="AG24" s="3453" t="s">
        <v>3691</v>
      </c>
      <c r="AH24" s="3453" t="s">
        <v>3692</v>
      </c>
      <c r="AI24" s="3453">
        <v>250000</v>
      </c>
      <c r="AJ24" s="3453">
        <v>50000</v>
      </c>
      <c r="AK24" s="3453" t="s">
        <v>3606</v>
      </c>
      <c r="AL24" s="3453">
        <v>250000</v>
      </c>
      <c r="AM24" s="3453">
        <v>5978.75</v>
      </c>
      <c r="AN24" s="3453">
        <v>5978.75</v>
      </c>
      <c r="AO24" s="3453">
        <v>35872</v>
      </c>
      <c r="AP24" s="3453">
        <v>35872</v>
      </c>
      <c r="AQ24" s="3453" t="s">
        <v>3470</v>
      </c>
      <c r="AR24" s="3453" t="s">
        <v>3470</v>
      </c>
      <c r="AS24" s="3453">
        <v>0</v>
      </c>
      <c r="AT24" s="3453" t="s">
        <v>3693</v>
      </c>
      <c r="AU24" s="3453">
        <v>287500</v>
      </c>
      <c r="AV24" s="3453" t="s">
        <v>3505</v>
      </c>
      <c r="AW24" s="3453" t="s">
        <v>3467</v>
      </c>
      <c r="AX24" s="3453">
        <v>41253</v>
      </c>
      <c r="AY24" s="3453">
        <v>15</v>
      </c>
      <c r="AZ24" s="3453" t="s">
        <v>3470</v>
      </c>
    </row>
    <row r="25" spans="1:55" hidden="1">
      <c r="A25" s="3453" t="s">
        <v>3694</v>
      </c>
      <c r="B25" s="3453" t="s">
        <v>3457</v>
      </c>
      <c r="C25" s="3453" t="s">
        <v>3695</v>
      </c>
      <c r="D25" s="3453" t="s">
        <v>3459</v>
      </c>
      <c r="E25" s="3453" t="s">
        <v>3661</v>
      </c>
      <c r="F25" s="3453" t="s">
        <v>3662</v>
      </c>
      <c r="G25" s="3453" t="s">
        <v>3663</v>
      </c>
      <c r="H25" s="3453" t="s">
        <v>3463</v>
      </c>
      <c r="I25" s="3453">
        <v>47827.06</v>
      </c>
      <c r="J25" s="3453">
        <v>71740.59</v>
      </c>
      <c r="K25" s="3453">
        <v>1.5</v>
      </c>
      <c r="L25" s="3453" t="s">
        <v>3464</v>
      </c>
      <c r="M25" s="3453" t="s">
        <v>3465</v>
      </c>
      <c r="N25" s="3453" t="s">
        <v>3599</v>
      </c>
      <c r="O25" s="3453" t="s">
        <v>3467</v>
      </c>
      <c r="P25" s="3453" t="s">
        <v>3470</v>
      </c>
      <c r="Q25" s="3453" t="s">
        <v>3470</v>
      </c>
      <c r="R25" s="3453" t="s">
        <v>3547</v>
      </c>
      <c r="S25" s="3453" t="s">
        <v>3547</v>
      </c>
      <c r="T25" s="3453" t="s">
        <v>3470</v>
      </c>
      <c r="U25" s="3453" t="s">
        <v>3470</v>
      </c>
      <c r="V25" s="3453" t="s">
        <v>3470</v>
      </c>
      <c r="W25" s="3453" t="s">
        <v>3470</v>
      </c>
      <c r="X25" s="3453">
        <v>0</v>
      </c>
      <c r="Y25" s="3453">
        <v>0</v>
      </c>
      <c r="Z25" s="3454">
        <v>44791.000497685185</v>
      </c>
      <c r="AA25" s="3454">
        <v>44811.000497685185</v>
      </c>
      <c r="AB25" s="3454">
        <v>44826.000497685185</v>
      </c>
      <c r="AC25" s="3454">
        <v>44827.000497685185</v>
      </c>
      <c r="AD25" s="3453" t="s">
        <v>3696</v>
      </c>
      <c r="AE25" s="3453" t="s">
        <v>3472</v>
      </c>
      <c r="AF25" s="3453" t="s">
        <v>3550</v>
      </c>
      <c r="AG25" s="3453" t="s">
        <v>3551</v>
      </c>
      <c r="AH25" s="3453" t="s">
        <v>3475</v>
      </c>
      <c r="AI25" s="3453">
        <v>365000</v>
      </c>
      <c r="AJ25" s="3453">
        <v>73000</v>
      </c>
      <c r="AK25" s="3453" t="s">
        <v>3606</v>
      </c>
      <c r="AL25" s="3453">
        <v>419750</v>
      </c>
      <c r="AM25" s="3453">
        <v>5087.78</v>
      </c>
      <c r="AN25" s="3453">
        <v>5850.94</v>
      </c>
      <c r="AO25" s="3453">
        <v>50878</v>
      </c>
      <c r="AP25" s="3453">
        <v>58509</v>
      </c>
      <c r="AQ25" s="3453" t="s">
        <v>3470</v>
      </c>
      <c r="AR25" s="3453" t="s">
        <v>3470</v>
      </c>
      <c r="AS25" s="3453">
        <v>15</v>
      </c>
      <c r="AT25" s="3453" t="s">
        <v>3477</v>
      </c>
      <c r="AU25" s="3453">
        <v>419750</v>
      </c>
      <c r="AV25" s="3453" t="s">
        <v>3478</v>
      </c>
      <c r="AW25" s="3453" t="s">
        <v>3467</v>
      </c>
      <c r="AX25" s="3453">
        <v>58509</v>
      </c>
      <c r="AY25" s="3453">
        <v>15</v>
      </c>
      <c r="AZ25" s="3453" t="s">
        <v>3470</v>
      </c>
    </row>
    <row r="26" spans="1:55" hidden="1">
      <c r="A26" s="3453" t="s">
        <v>3697</v>
      </c>
      <c r="B26" s="3453" t="s">
        <v>3457</v>
      </c>
      <c r="C26" s="3453" t="s">
        <v>3698</v>
      </c>
      <c r="D26" s="3453" t="s">
        <v>3459</v>
      </c>
      <c r="E26" s="3453" t="s">
        <v>3534</v>
      </c>
      <c r="F26" s="3453" t="s">
        <v>3535</v>
      </c>
      <c r="G26" s="3453" t="s">
        <v>3699</v>
      </c>
      <c r="H26" s="3453" t="s">
        <v>3484</v>
      </c>
      <c r="I26" s="3453">
        <v>82958.13</v>
      </c>
      <c r="J26" s="3453">
        <v>99550</v>
      </c>
      <c r="K26" s="3453">
        <v>1.2</v>
      </c>
      <c r="L26" s="3453" t="s">
        <v>3464</v>
      </c>
      <c r="M26" s="3453" t="s">
        <v>3700</v>
      </c>
      <c r="N26" s="3453" t="s">
        <v>3599</v>
      </c>
      <c r="O26" s="3453" t="s">
        <v>3467</v>
      </c>
      <c r="P26" s="3453" t="s">
        <v>3470</v>
      </c>
      <c r="Q26" s="3453" t="s">
        <v>3701</v>
      </c>
      <c r="R26" s="3453" t="s">
        <v>3615</v>
      </c>
      <c r="S26" s="3453" t="s">
        <v>3548</v>
      </c>
      <c r="T26" s="3453" t="s">
        <v>3470</v>
      </c>
      <c r="U26" s="3453" t="s">
        <v>3470</v>
      </c>
      <c r="V26" s="3453" t="s">
        <v>3470</v>
      </c>
      <c r="W26" s="3453" t="s">
        <v>3470</v>
      </c>
      <c r="X26" s="3453">
        <v>0</v>
      </c>
      <c r="Y26" s="3453">
        <v>0</v>
      </c>
      <c r="Z26" s="3454">
        <v>44791.000497685185</v>
      </c>
      <c r="AA26" s="3454">
        <v>44811.000497685185</v>
      </c>
      <c r="AB26" s="3454">
        <v>44826.000497685185</v>
      </c>
      <c r="AC26" s="3454">
        <v>44826.000497685185</v>
      </c>
      <c r="AD26" s="3453" t="s">
        <v>3702</v>
      </c>
      <c r="AE26" s="3453" t="s">
        <v>3472</v>
      </c>
      <c r="AF26" s="3453" t="s">
        <v>3703</v>
      </c>
      <c r="AG26" s="3453" t="s">
        <v>3704</v>
      </c>
      <c r="AH26" s="3453" t="s">
        <v>3530</v>
      </c>
      <c r="AI26" s="3453">
        <v>227000</v>
      </c>
      <c r="AJ26" s="3453">
        <v>46000</v>
      </c>
      <c r="AK26" s="3453" t="s">
        <v>3606</v>
      </c>
      <c r="AL26" s="3453">
        <v>227000</v>
      </c>
      <c r="AM26" s="3453">
        <v>1824.21</v>
      </c>
      <c r="AN26" s="3453">
        <v>1824.21</v>
      </c>
      <c r="AO26" s="3453">
        <v>22803</v>
      </c>
      <c r="AP26" s="3453">
        <v>22803</v>
      </c>
      <c r="AQ26" s="3453" t="s">
        <v>3470</v>
      </c>
      <c r="AR26" s="3453" t="s">
        <v>3470</v>
      </c>
      <c r="AS26" s="3453">
        <v>0</v>
      </c>
      <c r="AT26" s="3453" t="s">
        <v>3494</v>
      </c>
      <c r="AU26" s="3453">
        <v>261050</v>
      </c>
      <c r="AV26" s="3453" t="s">
        <v>3505</v>
      </c>
      <c r="AW26" s="3453" t="s">
        <v>3467</v>
      </c>
      <c r="AX26" s="3453">
        <v>26223</v>
      </c>
      <c r="AY26" s="3453">
        <v>15</v>
      </c>
      <c r="AZ26" s="3453" t="s">
        <v>3470</v>
      </c>
    </row>
    <row r="27" spans="1:55" s="3458" customFormat="1">
      <c r="A27" s="3455" t="s">
        <v>4681</v>
      </c>
      <c r="B27" s="3456" t="s">
        <v>3457</v>
      </c>
      <c r="C27" s="3456" t="s">
        <v>3705</v>
      </c>
      <c r="D27" s="3456" t="s">
        <v>3459</v>
      </c>
      <c r="E27" s="3456" t="s">
        <v>3655</v>
      </c>
      <c r="F27" s="3456" t="s">
        <v>3706</v>
      </c>
      <c r="G27" s="3456" t="s">
        <v>3707</v>
      </c>
      <c r="H27" s="3456" t="s">
        <v>3463</v>
      </c>
      <c r="I27" s="3456">
        <v>39419.43</v>
      </c>
      <c r="J27" s="3456">
        <v>94607</v>
      </c>
      <c r="K27" s="3456">
        <v>2.4</v>
      </c>
      <c r="L27" s="3456" t="s">
        <v>3464</v>
      </c>
      <c r="M27" s="3456" t="s">
        <v>3465</v>
      </c>
      <c r="N27" s="3456" t="s">
        <v>3599</v>
      </c>
      <c r="O27" s="3456" t="s">
        <v>3467</v>
      </c>
      <c r="P27" s="3456" t="s">
        <v>3470</v>
      </c>
      <c r="Q27" s="3456" t="s">
        <v>3639</v>
      </c>
      <c r="R27" s="3456" t="s">
        <v>3547</v>
      </c>
      <c r="S27" s="3456" t="s">
        <v>3548</v>
      </c>
      <c r="T27" s="3456" t="s">
        <v>3470</v>
      </c>
      <c r="U27" s="3456" t="s">
        <v>3470</v>
      </c>
      <c r="V27" s="3456" t="s">
        <v>3470</v>
      </c>
      <c r="W27" s="3456" t="s">
        <v>3470</v>
      </c>
      <c r="X27" s="3456">
        <v>0</v>
      </c>
      <c r="Y27" s="3456">
        <v>0</v>
      </c>
      <c r="Z27" s="3457">
        <v>44791.000497685185</v>
      </c>
      <c r="AA27" s="3457">
        <v>44811.000497685185</v>
      </c>
      <c r="AB27" s="3457">
        <v>44826.000497685185</v>
      </c>
      <c r="AC27" s="3457">
        <v>44827.000497685185</v>
      </c>
      <c r="AD27" s="3456" t="s">
        <v>3708</v>
      </c>
      <c r="AE27" s="3456" t="s">
        <v>3472</v>
      </c>
      <c r="AF27" s="3456" t="s">
        <v>3550</v>
      </c>
      <c r="AG27" s="3456" t="s">
        <v>3551</v>
      </c>
      <c r="AH27" s="3456" t="s">
        <v>3475</v>
      </c>
      <c r="AI27" s="3456">
        <v>480000</v>
      </c>
      <c r="AJ27" s="3456">
        <v>96000</v>
      </c>
      <c r="AK27" s="3456" t="s">
        <v>3606</v>
      </c>
      <c r="AL27" s="3456">
        <v>497000</v>
      </c>
      <c r="AM27" s="3456">
        <v>8117.82</v>
      </c>
      <c r="AN27" s="3456">
        <v>8405.33</v>
      </c>
      <c r="AO27" s="3456">
        <v>50736</v>
      </c>
      <c r="AP27" s="3456">
        <v>52533</v>
      </c>
      <c r="AQ27" s="3456" t="s">
        <v>3470</v>
      </c>
      <c r="AR27" s="3456" t="s">
        <v>3470</v>
      </c>
      <c r="AS27" s="3456">
        <v>3.54</v>
      </c>
      <c r="AT27" s="3456" t="s">
        <v>3477</v>
      </c>
      <c r="AU27" s="3456">
        <v>552000</v>
      </c>
      <c r="AV27" s="3456" t="s">
        <v>3505</v>
      </c>
      <c r="AW27" s="3456" t="s">
        <v>3467</v>
      </c>
      <c r="AX27" s="3456">
        <v>58347</v>
      </c>
      <c r="AY27" s="3456">
        <v>15</v>
      </c>
      <c r="AZ27" s="3456" t="s">
        <v>3470</v>
      </c>
      <c r="BB27" s="3458">
        <v>95000</v>
      </c>
      <c r="BC27" s="3463" t="s">
        <v>4685</v>
      </c>
    </row>
    <row r="28" spans="1:55" s="3458" customFormat="1">
      <c r="A28" s="3455" t="s">
        <v>4682</v>
      </c>
      <c r="B28" s="3456" t="s">
        <v>3457</v>
      </c>
      <c r="C28" s="3456" t="s">
        <v>3709</v>
      </c>
      <c r="D28" s="3456" t="s">
        <v>3459</v>
      </c>
      <c r="E28" s="3456" t="s">
        <v>3655</v>
      </c>
      <c r="F28" s="3456" t="s">
        <v>3706</v>
      </c>
      <c r="G28" s="3456" t="s">
        <v>3707</v>
      </c>
      <c r="H28" s="3456" t="s">
        <v>3463</v>
      </c>
      <c r="I28" s="3456">
        <v>26171.64</v>
      </c>
      <c r="J28" s="3456">
        <v>68046</v>
      </c>
      <c r="K28" s="3456">
        <v>2.6</v>
      </c>
      <c r="L28" s="3456" t="s">
        <v>3464</v>
      </c>
      <c r="M28" s="3456" t="s">
        <v>3465</v>
      </c>
      <c r="N28" s="3456" t="s">
        <v>3599</v>
      </c>
      <c r="O28" s="3456" t="s">
        <v>3467</v>
      </c>
      <c r="P28" s="3456" t="s">
        <v>3470</v>
      </c>
      <c r="Q28" s="3456" t="s">
        <v>3710</v>
      </c>
      <c r="R28" s="3456" t="s">
        <v>3547</v>
      </c>
      <c r="S28" s="3456" t="s">
        <v>3548</v>
      </c>
      <c r="T28" s="3456" t="s">
        <v>3470</v>
      </c>
      <c r="U28" s="3456" t="s">
        <v>3470</v>
      </c>
      <c r="V28" s="3456" t="s">
        <v>3470</v>
      </c>
      <c r="W28" s="3456" t="s">
        <v>3470</v>
      </c>
      <c r="X28" s="3456">
        <v>0</v>
      </c>
      <c r="Y28" s="3456">
        <v>0</v>
      </c>
      <c r="Z28" s="3457">
        <v>44791.000497685185</v>
      </c>
      <c r="AA28" s="3457">
        <v>44811.000497685185</v>
      </c>
      <c r="AB28" s="3457">
        <v>44826.000497685185</v>
      </c>
      <c r="AC28" s="3457">
        <v>44827.000497685185</v>
      </c>
      <c r="AD28" s="3456" t="s">
        <v>3711</v>
      </c>
      <c r="AE28" s="3456" t="s">
        <v>3472</v>
      </c>
      <c r="AF28" s="3456" t="s">
        <v>3712</v>
      </c>
      <c r="AG28" s="3456" t="s">
        <v>3713</v>
      </c>
      <c r="AH28" s="3456" t="s">
        <v>3475</v>
      </c>
      <c r="AI28" s="3456">
        <v>366000</v>
      </c>
      <c r="AJ28" s="3456">
        <v>74000</v>
      </c>
      <c r="AK28" s="3456" t="s">
        <v>3606</v>
      </c>
      <c r="AL28" s="3456">
        <v>381000</v>
      </c>
      <c r="AM28" s="3456">
        <v>9323.07</v>
      </c>
      <c r="AN28" s="3456">
        <v>9705.16</v>
      </c>
      <c r="AO28" s="3456">
        <v>53787</v>
      </c>
      <c r="AP28" s="3456">
        <v>55992</v>
      </c>
      <c r="AQ28" s="3456" t="s">
        <v>3470</v>
      </c>
      <c r="AR28" s="3456" t="s">
        <v>3470</v>
      </c>
      <c r="AS28" s="3456">
        <v>4.0999999999999996</v>
      </c>
      <c r="AT28" s="3456" t="s">
        <v>3553</v>
      </c>
      <c r="AU28" s="3456">
        <v>420900</v>
      </c>
      <c r="AV28" s="3456" t="s">
        <v>3505</v>
      </c>
      <c r="AW28" s="3456" t="s">
        <v>3467</v>
      </c>
      <c r="AX28" s="3456">
        <v>61855</v>
      </c>
      <c r="AY28" s="3456">
        <v>15</v>
      </c>
      <c r="AZ28" s="3456" t="s">
        <v>3470</v>
      </c>
      <c r="BB28" s="3458">
        <v>95000</v>
      </c>
      <c r="BC28" s="3463" t="s">
        <v>4686</v>
      </c>
    </row>
    <row r="29" spans="1:55" hidden="1">
      <c r="A29" s="3453" t="s">
        <v>3714</v>
      </c>
      <c r="B29" s="3453" t="s">
        <v>3457</v>
      </c>
      <c r="C29" s="3453" t="s">
        <v>3715</v>
      </c>
      <c r="D29" s="3453" t="s">
        <v>3459</v>
      </c>
      <c r="E29" s="3453" t="s">
        <v>3661</v>
      </c>
      <c r="F29" s="3453" t="s">
        <v>3662</v>
      </c>
      <c r="G29" s="3453" t="s">
        <v>3663</v>
      </c>
      <c r="H29" s="3453" t="s">
        <v>3484</v>
      </c>
      <c r="I29" s="3453">
        <v>52463.4</v>
      </c>
      <c r="J29" s="3453">
        <v>123492.16</v>
      </c>
      <c r="K29" s="3453" t="s">
        <v>3716</v>
      </c>
      <c r="L29" s="3453" t="s">
        <v>3464</v>
      </c>
      <c r="M29" s="3453" t="s">
        <v>3700</v>
      </c>
      <c r="N29" s="3453" t="s">
        <v>3599</v>
      </c>
      <c r="O29" s="3453">
        <v>0.4</v>
      </c>
      <c r="P29" s="3453" t="s">
        <v>3470</v>
      </c>
      <c r="Q29" s="3453" t="s">
        <v>3717</v>
      </c>
      <c r="R29" s="3453" t="s">
        <v>3547</v>
      </c>
      <c r="S29" s="3453" t="s">
        <v>3548</v>
      </c>
      <c r="T29" s="3453" t="s">
        <v>3470</v>
      </c>
      <c r="U29" s="3453" t="s">
        <v>3470</v>
      </c>
      <c r="V29" s="3453" t="s">
        <v>3470</v>
      </c>
      <c r="W29" s="3453" t="s">
        <v>3470</v>
      </c>
      <c r="X29" s="3453">
        <v>0</v>
      </c>
      <c r="Y29" s="3453">
        <v>0</v>
      </c>
      <c r="Z29" s="3454">
        <v>44791.000497685185</v>
      </c>
      <c r="AA29" s="3454">
        <v>44811.000497685185</v>
      </c>
      <c r="AB29" s="3454">
        <v>44826.000497685185</v>
      </c>
      <c r="AC29" s="3454">
        <v>44827.000497685185</v>
      </c>
      <c r="AD29" s="3453" t="s">
        <v>3718</v>
      </c>
      <c r="AE29" s="3453" t="s">
        <v>3472</v>
      </c>
      <c r="AF29" s="3453" t="s">
        <v>3719</v>
      </c>
      <c r="AG29" s="3453" t="s">
        <v>3720</v>
      </c>
      <c r="AH29" s="3453" t="s">
        <v>3721</v>
      </c>
      <c r="AI29" s="3453">
        <v>509000</v>
      </c>
      <c r="AJ29" s="3453">
        <v>102000</v>
      </c>
      <c r="AK29" s="3453" t="s">
        <v>3606</v>
      </c>
      <c r="AL29" s="3453">
        <v>531800</v>
      </c>
      <c r="AM29" s="3453">
        <v>6468</v>
      </c>
      <c r="AN29" s="3453">
        <v>6757.73</v>
      </c>
      <c r="AO29" s="3453">
        <v>41217</v>
      </c>
      <c r="AP29" s="3453">
        <v>43063</v>
      </c>
      <c r="AQ29" s="3453" t="s">
        <v>3470</v>
      </c>
      <c r="AR29" s="3453" t="s">
        <v>3470</v>
      </c>
      <c r="AS29" s="3453">
        <v>4.4800000000000004</v>
      </c>
      <c r="AT29" s="3453" t="s">
        <v>3494</v>
      </c>
      <c r="AU29" s="3453">
        <v>585350</v>
      </c>
      <c r="AV29" s="3453" t="s">
        <v>3505</v>
      </c>
      <c r="AW29" s="3453" t="s">
        <v>3467</v>
      </c>
      <c r="AX29" s="3453">
        <v>47400</v>
      </c>
      <c r="AY29" s="3453">
        <v>15</v>
      </c>
      <c r="AZ29" s="3453" t="s">
        <v>3470</v>
      </c>
    </row>
    <row r="30" spans="1:55">
      <c r="A30" s="3453" t="s">
        <v>3722</v>
      </c>
      <c r="B30" s="3453" t="s">
        <v>3457</v>
      </c>
      <c r="C30" s="3453" t="s">
        <v>3723</v>
      </c>
      <c r="D30" s="3453" t="s">
        <v>3459</v>
      </c>
      <c r="E30" s="3453" t="s">
        <v>3655</v>
      </c>
      <c r="F30" s="3453" t="s">
        <v>3724</v>
      </c>
      <c r="G30" s="3453" t="s">
        <v>3725</v>
      </c>
      <c r="H30" s="3453" t="s">
        <v>3463</v>
      </c>
      <c r="I30" s="3453">
        <v>23125</v>
      </c>
      <c r="J30" s="3453">
        <v>55500</v>
      </c>
      <c r="K30" s="3453">
        <v>2.4</v>
      </c>
      <c r="L30" s="3453" t="s">
        <v>3464</v>
      </c>
      <c r="M30" s="3453" t="s">
        <v>3465</v>
      </c>
      <c r="N30" s="3453" t="s">
        <v>3599</v>
      </c>
      <c r="O30" s="3453" t="s">
        <v>3467</v>
      </c>
      <c r="P30" s="3453" t="s">
        <v>3470</v>
      </c>
      <c r="Q30" s="3453">
        <v>45</v>
      </c>
      <c r="R30" s="3453" t="s">
        <v>3547</v>
      </c>
      <c r="S30" s="3453" t="s">
        <v>3666</v>
      </c>
      <c r="T30" s="3453" t="s">
        <v>3470</v>
      </c>
      <c r="U30" s="3453" t="s">
        <v>3470</v>
      </c>
      <c r="V30" s="3453" t="s">
        <v>3470</v>
      </c>
      <c r="W30" s="3453" t="s">
        <v>3470</v>
      </c>
      <c r="X30" s="3453">
        <v>0</v>
      </c>
      <c r="Y30" s="3453">
        <v>0</v>
      </c>
      <c r="Z30" s="3454">
        <v>44791.000497685185</v>
      </c>
      <c r="AA30" s="3454">
        <v>44811.000497685185</v>
      </c>
      <c r="AB30" s="3454">
        <v>44826.000497685185</v>
      </c>
      <c r="AC30" s="3454">
        <v>44827.000497685185</v>
      </c>
      <c r="AD30" s="3453" t="s">
        <v>3726</v>
      </c>
      <c r="AE30" s="3453" t="s">
        <v>3472</v>
      </c>
      <c r="AF30" s="3453" t="s">
        <v>3727</v>
      </c>
      <c r="AG30" s="3453" t="s">
        <v>3728</v>
      </c>
      <c r="AH30" s="3453" t="s">
        <v>3493</v>
      </c>
      <c r="AI30" s="3453">
        <v>333000</v>
      </c>
      <c r="AJ30" s="3453">
        <v>67000</v>
      </c>
      <c r="AK30" s="3453" t="s">
        <v>3606</v>
      </c>
      <c r="AL30" s="3453">
        <v>382950</v>
      </c>
      <c r="AM30" s="3453">
        <v>9600</v>
      </c>
      <c r="AN30" s="3453">
        <v>11040</v>
      </c>
      <c r="AO30" s="3453">
        <v>60000</v>
      </c>
      <c r="AP30" s="3453">
        <v>69000</v>
      </c>
      <c r="AQ30" s="3453" t="s">
        <v>3470</v>
      </c>
      <c r="AR30" s="3453" t="s">
        <v>3470</v>
      </c>
      <c r="AS30" s="3453">
        <v>15</v>
      </c>
      <c r="AT30" s="3453" t="s">
        <v>3477</v>
      </c>
      <c r="AU30" s="3453">
        <v>382950</v>
      </c>
      <c r="AV30" s="3453" t="s">
        <v>3478</v>
      </c>
      <c r="AW30" s="3453" t="s">
        <v>3467</v>
      </c>
      <c r="AX30" s="3453">
        <v>69000</v>
      </c>
      <c r="AY30" s="3453">
        <v>15</v>
      </c>
      <c r="AZ30" s="3453" t="s">
        <v>3470</v>
      </c>
    </row>
    <row r="31" spans="1:55" hidden="1">
      <c r="A31" s="3453" t="s">
        <v>3729</v>
      </c>
      <c r="B31" s="3453" t="s">
        <v>3457</v>
      </c>
      <c r="C31" s="3453" t="s">
        <v>3730</v>
      </c>
      <c r="D31" s="3453" t="s">
        <v>3459</v>
      </c>
      <c r="E31" s="3453" t="s">
        <v>3594</v>
      </c>
      <c r="F31" s="3453" t="s">
        <v>3595</v>
      </c>
      <c r="G31" s="3453" t="s">
        <v>3731</v>
      </c>
      <c r="H31" s="3453" t="s">
        <v>3463</v>
      </c>
      <c r="I31" s="3453">
        <v>69193.56</v>
      </c>
      <c r="J31" s="3453">
        <v>110709.69</v>
      </c>
      <c r="K31" s="3453">
        <v>1.6</v>
      </c>
      <c r="L31" s="3453" t="s">
        <v>3464</v>
      </c>
      <c r="M31" s="3453" t="s">
        <v>3465</v>
      </c>
      <c r="N31" s="3453" t="s">
        <v>3599</v>
      </c>
      <c r="O31" s="3453" t="s">
        <v>3467</v>
      </c>
      <c r="P31" s="3453">
        <v>0.3</v>
      </c>
      <c r="Q31" s="3453">
        <v>36</v>
      </c>
      <c r="R31" s="3453" t="s">
        <v>3547</v>
      </c>
      <c r="S31" s="3453" t="s">
        <v>3548</v>
      </c>
      <c r="T31" s="3453" t="s">
        <v>3470</v>
      </c>
      <c r="U31" s="3453" t="s">
        <v>3470</v>
      </c>
      <c r="V31" s="3453" t="s">
        <v>3470</v>
      </c>
      <c r="W31" s="3453" t="s">
        <v>3470</v>
      </c>
      <c r="X31" s="3453">
        <v>0</v>
      </c>
      <c r="Y31" s="3453">
        <v>0</v>
      </c>
      <c r="Z31" s="3454">
        <v>44791.000497685185</v>
      </c>
      <c r="AA31" s="3454">
        <v>44811.000497685185</v>
      </c>
      <c r="AB31" s="3454">
        <v>44826.000497685185</v>
      </c>
      <c r="AC31" s="3454">
        <v>44826.000497685185</v>
      </c>
      <c r="AD31" s="3453" t="s">
        <v>3732</v>
      </c>
      <c r="AE31" s="3453" t="s">
        <v>3472</v>
      </c>
      <c r="AF31" s="3453" t="s">
        <v>3733</v>
      </c>
      <c r="AG31" s="3453" t="s">
        <v>3734</v>
      </c>
      <c r="AH31" s="3453" t="s">
        <v>3530</v>
      </c>
      <c r="AI31" s="3453">
        <v>243000</v>
      </c>
      <c r="AJ31" s="3453">
        <v>49000</v>
      </c>
      <c r="AK31" s="3453" t="s">
        <v>3606</v>
      </c>
      <c r="AL31" s="3453">
        <v>243000</v>
      </c>
      <c r="AM31" s="3453">
        <v>2341.2600000000002</v>
      </c>
      <c r="AN31" s="3453">
        <v>2341.2600000000002</v>
      </c>
      <c r="AO31" s="3453">
        <v>21949</v>
      </c>
      <c r="AP31" s="3453">
        <v>21949</v>
      </c>
      <c r="AQ31" s="3453" t="s">
        <v>3470</v>
      </c>
      <c r="AR31" s="3453" t="s">
        <v>3470</v>
      </c>
      <c r="AS31" s="3453">
        <v>0</v>
      </c>
      <c r="AT31" s="3453" t="s">
        <v>3477</v>
      </c>
      <c r="AU31" s="3453">
        <v>279450</v>
      </c>
      <c r="AV31" s="3453" t="s">
        <v>3505</v>
      </c>
      <c r="AW31" s="3453" t="s">
        <v>3467</v>
      </c>
      <c r="AX31" s="3453">
        <v>25242</v>
      </c>
      <c r="AY31" s="3453">
        <v>15</v>
      </c>
      <c r="AZ31" s="3453" t="s">
        <v>3470</v>
      </c>
    </row>
    <row r="32" spans="1:55" hidden="1">
      <c r="A32" s="3453" t="s">
        <v>3735</v>
      </c>
      <c r="B32" s="3453" t="s">
        <v>3457</v>
      </c>
      <c r="C32" s="3453" t="s">
        <v>3736</v>
      </c>
      <c r="D32" s="3453" t="s">
        <v>3459</v>
      </c>
      <c r="E32" s="3453" t="s">
        <v>3481</v>
      </c>
      <c r="F32" s="3453" t="s">
        <v>3737</v>
      </c>
      <c r="G32" s="3453" t="s">
        <v>3738</v>
      </c>
      <c r="H32" s="3453" t="s">
        <v>3484</v>
      </c>
      <c r="I32" s="3453">
        <v>64820.86</v>
      </c>
      <c r="J32" s="3453">
        <v>96913.38</v>
      </c>
      <c r="K32" s="3453" t="s">
        <v>3739</v>
      </c>
      <c r="L32" s="3453" t="s">
        <v>3464</v>
      </c>
      <c r="M32" s="3453" t="s">
        <v>3612</v>
      </c>
      <c r="N32" s="3453" t="s">
        <v>3740</v>
      </c>
      <c r="O32" s="3453" t="s">
        <v>3467</v>
      </c>
      <c r="P32" s="3453" t="s">
        <v>3470</v>
      </c>
      <c r="Q32" s="3453" t="s">
        <v>3741</v>
      </c>
      <c r="R32" s="3453" t="s">
        <v>3742</v>
      </c>
      <c r="S32" s="3453" t="s">
        <v>3743</v>
      </c>
      <c r="T32" s="3453" t="s">
        <v>3470</v>
      </c>
      <c r="U32" s="3453" t="s">
        <v>3470</v>
      </c>
      <c r="V32" s="3453" t="s">
        <v>3470</v>
      </c>
      <c r="W32" s="3453" t="s">
        <v>3470</v>
      </c>
      <c r="X32" s="3453">
        <v>0</v>
      </c>
      <c r="Y32" s="3453">
        <v>0</v>
      </c>
      <c r="Z32" s="3454">
        <v>44670.000497685185</v>
      </c>
      <c r="AA32" s="3454">
        <v>44691.000497685185</v>
      </c>
      <c r="AB32" s="3454">
        <v>44712.000497685185</v>
      </c>
      <c r="AC32" s="3454">
        <v>44712.000497685185</v>
      </c>
      <c r="AD32" s="3453" t="s">
        <v>3744</v>
      </c>
      <c r="AE32" s="3453" t="s">
        <v>3472</v>
      </c>
      <c r="AF32" s="3453" t="s">
        <v>3745</v>
      </c>
      <c r="AG32" s="3453" t="s">
        <v>3746</v>
      </c>
      <c r="AH32" s="3453" t="s">
        <v>3747</v>
      </c>
      <c r="AI32" s="3453">
        <v>230000</v>
      </c>
      <c r="AJ32" s="3453">
        <v>46000</v>
      </c>
      <c r="AK32" s="3453" t="s">
        <v>3748</v>
      </c>
      <c r="AL32" s="3453">
        <v>230000</v>
      </c>
      <c r="AM32" s="3453">
        <v>2365.4899999999998</v>
      </c>
      <c r="AN32" s="3453">
        <v>2365.4899999999998</v>
      </c>
      <c r="AO32" s="3453">
        <v>23733</v>
      </c>
      <c r="AP32" s="3453">
        <v>23733</v>
      </c>
      <c r="AQ32" s="3453" t="s">
        <v>3470</v>
      </c>
      <c r="AR32" s="3453" t="s">
        <v>3470</v>
      </c>
      <c r="AS32" s="3453">
        <v>0</v>
      </c>
      <c r="AT32" s="3453" t="s">
        <v>3749</v>
      </c>
      <c r="AU32" s="3453">
        <v>264500</v>
      </c>
      <c r="AV32" s="3453" t="s">
        <v>3505</v>
      </c>
      <c r="AW32" s="3453" t="s">
        <v>3467</v>
      </c>
      <c r="AX32" s="3453">
        <v>27292</v>
      </c>
      <c r="AY32" s="3453">
        <v>15</v>
      </c>
      <c r="AZ32" s="3453" t="s">
        <v>3470</v>
      </c>
    </row>
    <row r="33" spans="1:52" hidden="1">
      <c r="A33" s="3453" t="s">
        <v>3750</v>
      </c>
      <c r="B33" s="3453" t="s">
        <v>3457</v>
      </c>
      <c r="C33" s="3453" t="s">
        <v>3751</v>
      </c>
      <c r="D33" s="3453" t="s">
        <v>3459</v>
      </c>
      <c r="E33" s="3453" t="s">
        <v>3594</v>
      </c>
      <c r="F33" s="3453" t="s">
        <v>3752</v>
      </c>
      <c r="G33" s="3453" t="s">
        <v>3753</v>
      </c>
      <c r="H33" s="3453" t="s">
        <v>3484</v>
      </c>
      <c r="I33" s="3453">
        <v>157751.99</v>
      </c>
      <c r="J33" s="3453">
        <v>187262.38</v>
      </c>
      <c r="K33" s="3453" t="s">
        <v>3754</v>
      </c>
      <c r="L33" s="3453" t="s">
        <v>3464</v>
      </c>
      <c r="M33" s="3453" t="s">
        <v>3598</v>
      </c>
      <c r="N33" s="3453" t="s">
        <v>3740</v>
      </c>
      <c r="O33" s="3453" t="s">
        <v>3467</v>
      </c>
      <c r="P33" s="3453" t="s">
        <v>3470</v>
      </c>
      <c r="Q33" s="3453" t="s">
        <v>3755</v>
      </c>
      <c r="R33" s="3453" t="s">
        <v>3742</v>
      </c>
      <c r="S33" s="3453" t="s">
        <v>3743</v>
      </c>
      <c r="T33" s="3453" t="s">
        <v>3470</v>
      </c>
      <c r="U33" s="3453" t="s">
        <v>3470</v>
      </c>
      <c r="V33" s="3453" t="s">
        <v>3470</v>
      </c>
      <c r="W33" s="3453" t="s">
        <v>3470</v>
      </c>
      <c r="X33" s="3453">
        <v>0</v>
      </c>
      <c r="Y33" s="3453">
        <v>0</v>
      </c>
      <c r="Z33" s="3454">
        <v>44670.000497685185</v>
      </c>
      <c r="AA33" s="3454">
        <v>44691.000497685185</v>
      </c>
      <c r="AB33" s="3454">
        <v>44712.000497685185</v>
      </c>
      <c r="AC33" s="3454">
        <v>44713.000497685185</v>
      </c>
      <c r="AD33" s="3453" t="s">
        <v>3756</v>
      </c>
      <c r="AE33" s="3453" t="s">
        <v>3472</v>
      </c>
      <c r="AF33" s="3453" t="s">
        <v>3550</v>
      </c>
      <c r="AG33" s="3453" t="s">
        <v>3551</v>
      </c>
      <c r="AH33" s="3453" t="s">
        <v>3475</v>
      </c>
      <c r="AI33" s="3453">
        <v>539000</v>
      </c>
      <c r="AJ33" s="3453">
        <v>108000</v>
      </c>
      <c r="AK33" s="3453" t="s">
        <v>3748</v>
      </c>
      <c r="AL33" s="3453">
        <v>547000</v>
      </c>
      <c r="AM33" s="3453">
        <v>2277.84</v>
      </c>
      <c r="AN33" s="3453">
        <v>2311.65</v>
      </c>
      <c r="AO33" s="3453">
        <v>28783</v>
      </c>
      <c r="AP33" s="3453">
        <v>29210</v>
      </c>
      <c r="AQ33" s="3453" t="s">
        <v>3470</v>
      </c>
      <c r="AR33" s="3453" t="s">
        <v>3470</v>
      </c>
      <c r="AS33" s="3453">
        <v>1.48</v>
      </c>
      <c r="AT33" s="3453" t="s">
        <v>3749</v>
      </c>
      <c r="AU33" s="3453">
        <v>619850</v>
      </c>
      <c r="AV33" s="3453" t="s">
        <v>3505</v>
      </c>
      <c r="AW33" s="3453" t="s">
        <v>3467</v>
      </c>
      <c r="AX33" s="3453">
        <v>33101</v>
      </c>
      <c r="AY33" s="3453">
        <v>15</v>
      </c>
      <c r="AZ33" s="3453" t="s">
        <v>3470</v>
      </c>
    </row>
    <row r="34" spans="1:52" hidden="1">
      <c r="A34" s="3453" t="s">
        <v>3757</v>
      </c>
      <c r="B34" s="3453" t="s">
        <v>3457</v>
      </c>
      <c r="C34" s="3453" t="s">
        <v>3758</v>
      </c>
      <c r="D34" s="3453" t="s">
        <v>3459</v>
      </c>
      <c r="E34" s="3453" t="s">
        <v>3481</v>
      </c>
      <c r="F34" s="3453" t="s">
        <v>3759</v>
      </c>
      <c r="G34" s="3453" t="s">
        <v>3738</v>
      </c>
      <c r="H34" s="3453" t="s">
        <v>3463</v>
      </c>
      <c r="I34" s="3453">
        <v>50073.34</v>
      </c>
      <c r="J34" s="3453">
        <v>125183.35</v>
      </c>
      <c r="K34" s="3453" t="s">
        <v>3760</v>
      </c>
      <c r="L34" s="3453" t="s">
        <v>3464</v>
      </c>
      <c r="M34" s="3453" t="s">
        <v>3465</v>
      </c>
      <c r="N34" s="3453" t="s">
        <v>3740</v>
      </c>
      <c r="O34" s="3453" t="s">
        <v>3467</v>
      </c>
      <c r="P34" s="3453" t="s">
        <v>3470</v>
      </c>
      <c r="Q34" s="3453">
        <v>60</v>
      </c>
      <c r="R34" s="3453" t="s">
        <v>3761</v>
      </c>
      <c r="S34" s="3453" t="s">
        <v>3762</v>
      </c>
      <c r="T34" s="3453" t="s">
        <v>3470</v>
      </c>
      <c r="U34" s="3453" t="s">
        <v>3470</v>
      </c>
      <c r="V34" s="3453" t="s">
        <v>3470</v>
      </c>
      <c r="W34" s="3453" t="s">
        <v>3470</v>
      </c>
      <c r="X34" s="3453">
        <v>0</v>
      </c>
      <c r="Y34" s="3453">
        <v>0</v>
      </c>
      <c r="Z34" s="3454">
        <v>44670.000497685185</v>
      </c>
      <c r="AA34" s="3454">
        <v>44691.000497685185</v>
      </c>
      <c r="AB34" s="3454">
        <v>44712.000497685185</v>
      </c>
      <c r="AC34" s="3454">
        <v>44713.000497685185</v>
      </c>
      <c r="AD34" s="3453" t="s">
        <v>3763</v>
      </c>
      <c r="AE34" s="3453" t="s">
        <v>3472</v>
      </c>
      <c r="AF34" s="3453" t="s">
        <v>3764</v>
      </c>
      <c r="AG34" s="3453" t="s">
        <v>3765</v>
      </c>
      <c r="AH34" s="3453" t="s">
        <v>3766</v>
      </c>
      <c r="AI34" s="3453">
        <v>384000</v>
      </c>
      <c r="AJ34" s="3453">
        <v>77000</v>
      </c>
      <c r="AK34" s="3453" t="s">
        <v>3748</v>
      </c>
      <c r="AL34" s="3453">
        <v>441600</v>
      </c>
      <c r="AM34" s="3453">
        <v>5112.5</v>
      </c>
      <c r="AN34" s="3453">
        <v>5879.38</v>
      </c>
      <c r="AO34" s="3453">
        <v>30675</v>
      </c>
      <c r="AP34" s="3453">
        <v>35276</v>
      </c>
      <c r="AQ34" s="3453" t="s">
        <v>3470</v>
      </c>
      <c r="AR34" s="3453" t="s">
        <v>3470</v>
      </c>
      <c r="AS34" s="3453">
        <v>15</v>
      </c>
      <c r="AT34" s="3453" t="s">
        <v>3767</v>
      </c>
      <c r="AU34" s="3453">
        <v>441600</v>
      </c>
      <c r="AV34" s="3453" t="s">
        <v>3478</v>
      </c>
      <c r="AW34" s="3453" t="s">
        <v>3467</v>
      </c>
      <c r="AX34" s="3453">
        <v>35276</v>
      </c>
      <c r="AY34" s="3453">
        <v>15</v>
      </c>
      <c r="AZ34" s="3453" t="s">
        <v>3470</v>
      </c>
    </row>
    <row r="35" spans="1:52" hidden="1">
      <c r="A35" s="3453" t="s">
        <v>3768</v>
      </c>
      <c r="B35" s="3453" t="s">
        <v>3457</v>
      </c>
      <c r="C35" s="3453" t="s">
        <v>3769</v>
      </c>
      <c r="D35" s="3453" t="s">
        <v>3459</v>
      </c>
      <c r="E35" s="3453" t="s">
        <v>3460</v>
      </c>
      <c r="F35" s="3453" t="s">
        <v>3587</v>
      </c>
      <c r="G35" s="3453" t="s">
        <v>3588</v>
      </c>
      <c r="H35" s="3453" t="s">
        <v>3463</v>
      </c>
      <c r="I35" s="3453">
        <v>40508.61</v>
      </c>
      <c r="J35" s="3453">
        <v>56712</v>
      </c>
      <c r="K35" s="3453" t="s">
        <v>3770</v>
      </c>
      <c r="L35" s="3453" t="s">
        <v>3464</v>
      </c>
      <c r="M35" s="3453" t="s">
        <v>3465</v>
      </c>
      <c r="N35" s="3453" t="s">
        <v>3740</v>
      </c>
      <c r="O35" s="3453" t="s">
        <v>3467</v>
      </c>
      <c r="P35" s="3453" t="s">
        <v>3470</v>
      </c>
      <c r="Q35" s="3453">
        <v>30</v>
      </c>
      <c r="R35" s="3453" t="s">
        <v>3771</v>
      </c>
      <c r="S35" s="3453" t="s">
        <v>3743</v>
      </c>
      <c r="T35" s="3453" t="s">
        <v>3470</v>
      </c>
      <c r="U35" s="3453" t="s">
        <v>3470</v>
      </c>
      <c r="V35" s="3453" t="s">
        <v>3470</v>
      </c>
      <c r="W35" s="3453" t="s">
        <v>3470</v>
      </c>
      <c r="X35" s="3453">
        <v>0</v>
      </c>
      <c r="Y35" s="3453">
        <v>0</v>
      </c>
      <c r="Z35" s="3454">
        <v>44670.000497685185</v>
      </c>
      <c r="AA35" s="3454">
        <v>44691.000497685185</v>
      </c>
      <c r="AB35" s="3454">
        <v>44712.000497685185</v>
      </c>
      <c r="AC35" s="3454">
        <v>44713.000497685185</v>
      </c>
      <c r="AD35" s="3453" t="s">
        <v>3772</v>
      </c>
      <c r="AE35" s="3453" t="s">
        <v>3472</v>
      </c>
      <c r="AF35" s="3453" t="s">
        <v>3503</v>
      </c>
      <c r="AG35" s="3453" t="s">
        <v>3504</v>
      </c>
      <c r="AH35" s="3453" t="s">
        <v>3475</v>
      </c>
      <c r="AI35" s="3453">
        <v>263000</v>
      </c>
      <c r="AJ35" s="3453">
        <v>53000</v>
      </c>
      <c r="AK35" s="3453" t="s">
        <v>3748</v>
      </c>
      <c r="AL35" s="3453">
        <v>298000</v>
      </c>
      <c r="AM35" s="3453">
        <v>4328.3</v>
      </c>
      <c r="AN35" s="3453">
        <v>4904.3100000000004</v>
      </c>
      <c r="AO35" s="3453">
        <v>46375</v>
      </c>
      <c r="AP35" s="3453">
        <v>52546</v>
      </c>
      <c r="AQ35" s="3453" t="s">
        <v>3470</v>
      </c>
      <c r="AR35" s="3453" t="s">
        <v>3470</v>
      </c>
      <c r="AS35" s="3453">
        <v>13.31</v>
      </c>
      <c r="AT35" s="3453" t="s">
        <v>3767</v>
      </c>
      <c r="AU35" s="3453">
        <v>302450</v>
      </c>
      <c r="AV35" s="3453" t="s">
        <v>3505</v>
      </c>
      <c r="AW35" s="3453" t="s">
        <v>3467</v>
      </c>
      <c r="AX35" s="3453">
        <v>53331</v>
      </c>
      <c r="AY35" s="3453">
        <v>15</v>
      </c>
      <c r="AZ35" s="3453" t="s">
        <v>3470</v>
      </c>
    </row>
    <row r="36" spans="1:52">
      <c r="A36" s="3453" t="s">
        <v>3773</v>
      </c>
      <c r="B36" s="3453" t="s">
        <v>3457</v>
      </c>
      <c r="C36" s="3453" t="s">
        <v>3774</v>
      </c>
      <c r="D36" s="3453" t="s">
        <v>3459</v>
      </c>
      <c r="E36" s="3453" t="s">
        <v>3655</v>
      </c>
      <c r="F36" s="3453" t="s">
        <v>3775</v>
      </c>
      <c r="G36" s="3453" t="s">
        <v>3776</v>
      </c>
      <c r="H36" s="3453" t="s">
        <v>3484</v>
      </c>
      <c r="I36" s="3453">
        <v>59541.89</v>
      </c>
      <c r="J36" s="3453">
        <v>201892</v>
      </c>
      <c r="K36" s="3453" t="s">
        <v>3777</v>
      </c>
      <c r="L36" s="3453" t="s">
        <v>3464</v>
      </c>
      <c r="M36" s="3453" t="s">
        <v>3778</v>
      </c>
      <c r="N36" s="3453" t="s">
        <v>3740</v>
      </c>
      <c r="O36" s="3453" t="s">
        <v>3467</v>
      </c>
      <c r="P36" s="3453" t="s">
        <v>3470</v>
      </c>
      <c r="Q36" s="3453" t="s">
        <v>3779</v>
      </c>
      <c r="R36" s="3453" t="s">
        <v>3780</v>
      </c>
      <c r="S36" s="3453" t="s">
        <v>3743</v>
      </c>
      <c r="T36" s="3453" t="s">
        <v>3602</v>
      </c>
      <c r="U36" s="3453" t="s">
        <v>3603</v>
      </c>
      <c r="V36" s="3453">
        <v>33188</v>
      </c>
      <c r="W36" s="3453">
        <v>33188</v>
      </c>
      <c r="X36" s="3453">
        <v>0</v>
      </c>
      <c r="Y36" s="3453">
        <v>0</v>
      </c>
      <c r="Z36" s="3454">
        <v>44670.000497685185</v>
      </c>
      <c r="AA36" s="3454">
        <v>44691.000497685185</v>
      </c>
      <c r="AB36" s="3454">
        <v>44712.000497685185</v>
      </c>
      <c r="AC36" s="3454">
        <v>44712.000497685185</v>
      </c>
      <c r="AD36" s="3453" t="s">
        <v>3781</v>
      </c>
      <c r="AE36" s="3453" t="s">
        <v>3472</v>
      </c>
      <c r="AF36" s="3453" t="s">
        <v>3782</v>
      </c>
      <c r="AG36" s="3453" t="s">
        <v>3783</v>
      </c>
      <c r="AH36" s="3453" t="s">
        <v>3475</v>
      </c>
      <c r="AI36" s="3453">
        <v>747000</v>
      </c>
      <c r="AJ36" s="3453">
        <v>150000</v>
      </c>
      <c r="AK36" s="3453" t="s">
        <v>3748</v>
      </c>
      <c r="AL36" s="3453">
        <v>747000</v>
      </c>
      <c r="AM36" s="3453">
        <v>8363.86</v>
      </c>
      <c r="AN36" s="3453">
        <v>8363.86</v>
      </c>
      <c r="AO36" s="3453">
        <v>37000</v>
      </c>
      <c r="AP36" s="3453">
        <v>37000</v>
      </c>
      <c r="AQ36" s="3453">
        <v>44279</v>
      </c>
      <c r="AR36" s="3453">
        <v>44279</v>
      </c>
      <c r="AS36" s="3453">
        <v>0</v>
      </c>
      <c r="AT36" s="3453" t="s">
        <v>3553</v>
      </c>
      <c r="AU36" s="3453">
        <v>859050</v>
      </c>
      <c r="AV36" s="3453" t="s">
        <v>3505</v>
      </c>
      <c r="AW36" s="3453" t="s">
        <v>3467</v>
      </c>
      <c r="AX36" s="3453">
        <v>42550</v>
      </c>
      <c r="AY36" s="3453">
        <v>15</v>
      </c>
      <c r="AZ36" s="3453" t="s">
        <v>3470</v>
      </c>
    </row>
    <row r="37" spans="1:52" hidden="1">
      <c r="A37" s="3453" t="s">
        <v>3784</v>
      </c>
      <c r="B37" s="3453" t="s">
        <v>3457</v>
      </c>
      <c r="C37" s="3453" t="s">
        <v>3785</v>
      </c>
      <c r="D37" s="3453" t="s">
        <v>3459</v>
      </c>
      <c r="E37" s="3453" t="s">
        <v>3460</v>
      </c>
      <c r="F37" s="3453" t="s">
        <v>3786</v>
      </c>
      <c r="G37" s="3453" t="s">
        <v>3787</v>
      </c>
      <c r="H37" s="3453" t="s">
        <v>3463</v>
      </c>
      <c r="I37" s="3453">
        <v>34502.36</v>
      </c>
      <c r="J37" s="3453">
        <v>86256</v>
      </c>
      <c r="K37" s="3453" t="s">
        <v>3760</v>
      </c>
      <c r="L37" s="3453" t="s">
        <v>3464</v>
      </c>
      <c r="M37" s="3453" t="s">
        <v>3465</v>
      </c>
      <c r="N37" s="3453" t="s">
        <v>3740</v>
      </c>
      <c r="O37" s="3453" t="s">
        <v>3467</v>
      </c>
      <c r="P37" s="3453" t="s">
        <v>3470</v>
      </c>
      <c r="Q37" s="3453">
        <v>60</v>
      </c>
      <c r="R37" s="3453" t="s">
        <v>3488</v>
      </c>
      <c r="S37" s="3453" t="s">
        <v>3743</v>
      </c>
      <c r="T37" s="3453" t="s">
        <v>3470</v>
      </c>
      <c r="U37" s="3453" t="s">
        <v>3470</v>
      </c>
      <c r="V37" s="3453" t="s">
        <v>3470</v>
      </c>
      <c r="W37" s="3453" t="s">
        <v>3470</v>
      </c>
      <c r="X37" s="3453">
        <v>0</v>
      </c>
      <c r="Y37" s="3453">
        <v>0</v>
      </c>
      <c r="Z37" s="3454">
        <v>44670.000497685185</v>
      </c>
      <c r="AA37" s="3454">
        <v>44691.000497685185</v>
      </c>
      <c r="AB37" s="3454">
        <v>44712.000497685185</v>
      </c>
      <c r="AC37" s="3454">
        <v>44712.000497685185</v>
      </c>
      <c r="AD37" s="3453" t="s">
        <v>3788</v>
      </c>
      <c r="AE37" s="3453" t="s">
        <v>3472</v>
      </c>
      <c r="AF37" s="3453" t="s">
        <v>3789</v>
      </c>
      <c r="AG37" s="3453" t="s">
        <v>3790</v>
      </c>
      <c r="AH37" s="3453" t="s">
        <v>3791</v>
      </c>
      <c r="AI37" s="3453">
        <v>388000</v>
      </c>
      <c r="AJ37" s="3453">
        <v>78000</v>
      </c>
      <c r="AK37" s="3453" t="s">
        <v>3748</v>
      </c>
      <c r="AL37" s="3453">
        <v>388000</v>
      </c>
      <c r="AM37" s="3453">
        <v>7497.07</v>
      </c>
      <c r="AN37" s="3453">
        <v>7497.07</v>
      </c>
      <c r="AO37" s="3453">
        <v>44982</v>
      </c>
      <c r="AP37" s="3453">
        <v>44982</v>
      </c>
      <c r="AQ37" s="3453" t="s">
        <v>3470</v>
      </c>
      <c r="AR37" s="3453" t="s">
        <v>3470</v>
      </c>
      <c r="AS37" s="3453">
        <v>0</v>
      </c>
      <c r="AT37" s="3453" t="s">
        <v>3767</v>
      </c>
      <c r="AU37" s="3453">
        <v>446200</v>
      </c>
      <c r="AV37" s="3453" t="s">
        <v>3505</v>
      </c>
      <c r="AW37" s="3453" t="s">
        <v>3467</v>
      </c>
      <c r="AX37" s="3453">
        <v>51730</v>
      </c>
      <c r="AY37" s="3453">
        <v>15</v>
      </c>
      <c r="AZ37" s="3453" t="s">
        <v>3470</v>
      </c>
    </row>
    <row r="38" spans="1:52" hidden="1">
      <c r="A38" s="3453" t="s">
        <v>3792</v>
      </c>
      <c r="B38" s="3453" t="s">
        <v>3457</v>
      </c>
      <c r="C38" s="3453" t="s">
        <v>3793</v>
      </c>
      <c r="D38" s="3453" t="s">
        <v>3459</v>
      </c>
      <c r="E38" s="3453" t="s">
        <v>3460</v>
      </c>
      <c r="F38" s="3453" t="s">
        <v>3794</v>
      </c>
      <c r="G38" s="3453" t="s">
        <v>3795</v>
      </c>
      <c r="H38" s="3453" t="s">
        <v>3463</v>
      </c>
      <c r="I38" s="3453">
        <v>27039.75</v>
      </c>
      <c r="J38" s="3453">
        <v>75711.3</v>
      </c>
      <c r="K38" s="3453" t="s">
        <v>3796</v>
      </c>
      <c r="L38" s="3453" t="s">
        <v>3464</v>
      </c>
      <c r="M38" s="3453" t="s">
        <v>3465</v>
      </c>
      <c r="N38" s="3453" t="s">
        <v>3740</v>
      </c>
      <c r="O38" s="3453" t="s">
        <v>3467</v>
      </c>
      <c r="P38" s="3453" t="s">
        <v>3470</v>
      </c>
      <c r="Q38" s="3453">
        <v>80</v>
      </c>
      <c r="R38" s="3453" t="s">
        <v>3780</v>
      </c>
      <c r="S38" s="3453" t="s">
        <v>3780</v>
      </c>
      <c r="T38" s="3453" t="s">
        <v>3470</v>
      </c>
      <c r="U38" s="3453" t="s">
        <v>3470</v>
      </c>
      <c r="V38" s="3453" t="s">
        <v>3470</v>
      </c>
      <c r="W38" s="3453" t="s">
        <v>3470</v>
      </c>
      <c r="X38" s="3453">
        <v>0</v>
      </c>
      <c r="Y38" s="3453">
        <v>0</v>
      </c>
      <c r="Z38" s="3454">
        <v>44670.000497685185</v>
      </c>
      <c r="AA38" s="3454">
        <v>44691.000497685185</v>
      </c>
      <c r="AB38" s="3454">
        <v>44712.000497685185</v>
      </c>
      <c r="AC38" s="3454">
        <v>44713.000497685185</v>
      </c>
      <c r="AD38" s="3453" t="s">
        <v>3797</v>
      </c>
      <c r="AE38" s="3453" t="s">
        <v>3472</v>
      </c>
      <c r="AF38" s="3453" t="s">
        <v>3798</v>
      </c>
      <c r="AG38" s="3453" t="s">
        <v>3799</v>
      </c>
      <c r="AH38" s="3453" t="s">
        <v>3470</v>
      </c>
      <c r="AI38" s="3453">
        <v>581000</v>
      </c>
      <c r="AJ38" s="3453">
        <v>116200</v>
      </c>
      <c r="AK38" s="3453" t="s">
        <v>3748</v>
      </c>
      <c r="AL38" s="3453">
        <v>668150</v>
      </c>
      <c r="AM38" s="3453">
        <v>14324.59</v>
      </c>
      <c r="AN38" s="3453">
        <v>16473.28</v>
      </c>
      <c r="AO38" s="3453">
        <v>76739</v>
      </c>
      <c r="AP38" s="3453">
        <v>88250</v>
      </c>
      <c r="AQ38" s="3453" t="s">
        <v>3470</v>
      </c>
      <c r="AR38" s="3453" t="s">
        <v>3470</v>
      </c>
      <c r="AS38" s="3453">
        <v>15</v>
      </c>
      <c r="AT38" s="3453" t="s">
        <v>3767</v>
      </c>
      <c r="AU38" s="3453">
        <v>668150</v>
      </c>
      <c r="AV38" s="3453" t="s">
        <v>3478</v>
      </c>
      <c r="AW38" s="3453" t="s">
        <v>3467</v>
      </c>
      <c r="AX38" s="3453">
        <v>88250</v>
      </c>
      <c r="AY38" s="3453">
        <v>15</v>
      </c>
      <c r="AZ38" s="3453" t="s">
        <v>3470</v>
      </c>
    </row>
    <row r="39" spans="1:52" hidden="1">
      <c r="A39" s="3453" t="s">
        <v>3800</v>
      </c>
      <c r="B39" s="3453" t="s">
        <v>3457</v>
      </c>
      <c r="C39" s="3453" t="s">
        <v>3801</v>
      </c>
      <c r="D39" s="3453" t="s">
        <v>3459</v>
      </c>
      <c r="E39" s="3453" t="s">
        <v>3802</v>
      </c>
      <c r="F39" s="3453" t="s">
        <v>3803</v>
      </c>
      <c r="G39" s="3453" t="s">
        <v>3804</v>
      </c>
      <c r="H39" s="3453" t="s">
        <v>3484</v>
      </c>
      <c r="I39" s="3453">
        <v>31793.74</v>
      </c>
      <c r="J39" s="3453">
        <v>76581.429999999993</v>
      </c>
      <c r="K39" s="3453" t="s">
        <v>3805</v>
      </c>
      <c r="L39" s="3453" t="s">
        <v>3464</v>
      </c>
      <c r="M39" s="3453" t="s">
        <v>3700</v>
      </c>
      <c r="N39" s="3453" t="s">
        <v>3740</v>
      </c>
      <c r="O39" s="3453">
        <v>7.52</v>
      </c>
      <c r="P39" s="3453">
        <v>60</v>
      </c>
      <c r="Q39" s="3453">
        <v>45</v>
      </c>
      <c r="R39" s="3453" t="s">
        <v>3780</v>
      </c>
      <c r="S39" s="3453" t="s">
        <v>3743</v>
      </c>
      <c r="T39" s="3453" t="s">
        <v>3470</v>
      </c>
      <c r="U39" s="3453" t="s">
        <v>3470</v>
      </c>
      <c r="V39" s="3453" t="s">
        <v>3470</v>
      </c>
      <c r="W39" s="3453" t="s">
        <v>3470</v>
      </c>
      <c r="X39" s="3453">
        <v>0</v>
      </c>
      <c r="Y39" s="3453">
        <v>0</v>
      </c>
      <c r="Z39" s="3454">
        <v>44670.000497685185</v>
      </c>
      <c r="AA39" s="3454">
        <v>44691.000497685185</v>
      </c>
      <c r="AB39" s="3454">
        <v>44712.000497685185</v>
      </c>
      <c r="AC39" s="3454">
        <v>44712.000497685185</v>
      </c>
      <c r="AD39" s="3453" t="s">
        <v>3806</v>
      </c>
      <c r="AE39" s="3453" t="s">
        <v>3472</v>
      </c>
      <c r="AF39" s="3453" t="s">
        <v>3807</v>
      </c>
      <c r="AG39" s="3453" t="s">
        <v>3808</v>
      </c>
      <c r="AH39" s="3453" t="s">
        <v>3791</v>
      </c>
      <c r="AI39" s="3453">
        <v>80000</v>
      </c>
      <c r="AJ39" s="3453">
        <v>16000</v>
      </c>
      <c r="AK39" s="3453" t="s">
        <v>3748</v>
      </c>
      <c r="AL39" s="3453">
        <v>80000</v>
      </c>
      <c r="AM39" s="3453">
        <v>1677.48</v>
      </c>
      <c r="AN39" s="3453">
        <v>1677.48</v>
      </c>
      <c r="AO39" s="3453">
        <v>10446</v>
      </c>
      <c r="AP39" s="3453">
        <v>10446</v>
      </c>
      <c r="AQ39" s="3453" t="s">
        <v>3470</v>
      </c>
      <c r="AR39" s="3453" t="s">
        <v>3470</v>
      </c>
      <c r="AS39" s="3453">
        <v>0</v>
      </c>
      <c r="AT39" s="3453" t="s">
        <v>3553</v>
      </c>
      <c r="AU39" s="3453">
        <v>92000</v>
      </c>
      <c r="AV39" s="3453" t="s">
        <v>3505</v>
      </c>
      <c r="AW39" s="3453" t="s">
        <v>3467</v>
      </c>
      <c r="AX39" s="3453">
        <v>12013</v>
      </c>
      <c r="AY39" s="3453">
        <v>15</v>
      </c>
      <c r="AZ39" s="3453" t="s">
        <v>3470</v>
      </c>
    </row>
    <row r="40" spans="1:52" hidden="1">
      <c r="A40" s="3453" t="s">
        <v>3809</v>
      </c>
      <c r="B40" s="3453" t="s">
        <v>3457</v>
      </c>
      <c r="C40" s="3453" t="s">
        <v>3810</v>
      </c>
      <c r="D40" s="3453" t="s">
        <v>3459</v>
      </c>
      <c r="E40" s="3453" t="s">
        <v>3460</v>
      </c>
      <c r="F40" s="3453" t="s">
        <v>3587</v>
      </c>
      <c r="G40" s="3453" t="s">
        <v>3588</v>
      </c>
      <c r="H40" s="3453" t="s">
        <v>3484</v>
      </c>
      <c r="I40" s="3453">
        <v>44618.19</v>
      </c>
      <c r="J40" s="3453">
        <v>93514</v>
      </c>
      <c r="K40" s="3453" t="s">
        <v>3811</v>
      </c>
      <c r="L40" s="3453" t="s">
        <v>3464</v>
      </c>
      <c r="M40" s="3453" t="s">
        <v>3629</v>
      </c>
      <c r="N40" s="3453" t="s">
        <v>3740</v>
      </c>
      <c r="O40" s="3453" t="s">
        <v>3467</v>
      </c>
      <c r="P40" s="3453" t="s">
        <v>3812</v>
      </c>
      <c r="Q40" s="3453">
        <v>80</v>
      </c>
      <c r="R40" s="3453" t="s">
        <v>3813</v>
      </c>
      <c r="S40" s="3453" t="s">
        <v>3743</v>
      </c>
      <c r="T40" s="3453" t="s">
        <v>3470</v>
      </c>
      <c r="U40" s="3453" t="s">
        <v>3470</v>
      </c>
      <c r="V40" s="3453" t="s">
        <v>3470</v>
      </c>
      <c r="W40" s="3453" t="s">
        <v>3470</v>
      </c>
      <c r="X40" s="3453">
        <v>0</v>
      </c>
      <c r="Y40" s="3453">
        <v>0</v>
      </c>
      <c r="Z40" s="3454">
        <v>44670.000497685185</v>
      </c>
      <c r="AA40" s="3454">
        <v>44691.000497685185</v>
      </c>
      <c r="AB40" s="3454">
        <v>44712.000497685185</v>
      </c>
      <c r="AC40" s="3454">
        <v>44713.000497685185</v>
      </c>
      <c r="AD40" s="3453" t="s">
        <v>3814</v>
      </c>
      <c r="AE40" s="3453" t="s">
        <v>3472</v>
      </c>
      <c r="AF40" s="3453" t="s">
        <v>3727</v>
      </c>
      <c r="AG40" s="3453" t="s">
        <v>3728</v>
      </c>
      <c r="AH40" s="3453" t="s">
        <v>3493</v>
      </c>
      <c r="AI40" s="3453">
        <v>394000</v>
      </c>
      <c r="AJ40" s="3453">
        <v>79000</v>
      </c>
      <c r="AK40" s="3453" t="s">
        <v>3748</v>
      </c>
      <c r="AL40" s="3453">
        <v>400000</v>
      </c>
      <c r="AM40" s="3453">
        <v>5886.99</v>
      </c>
      <c r="AN40" s="3453">
        <v>5976.64</v>
      </c>
      <c r="AO40" s="3453">
        <v>42133</v>
      </c>
      <c r="AP40" s="3453">
        <v>42774</v>
      </c>
      <c r="AQ40" s="3453" t="s">
        <v>3470</v>
      </c>
      <c r="AR40" s="3453" t="s">
        <v>3470</v>
      </c>
      <c r="AS40" s="3453">
        <v>1.52</v>
      </c>
      <c r="AT40" s="3453" t="s">
        <v>3749</v>
      </c>
      <c r="AU40" s="3453">
        <v>453100</v>
      </c>
      <c r="AV40" s="3453" t="s">
        <v>3505</v>
      </c>
      <c r="AW40" s="3453" t="s">
        <v>3467</v>
      </c>
      <c r="AX40" s="3453">
        <v>48453</v>
      </c>
      <c r="AY40" s="3453">
        <v>15</v>
      </c>
      <c r="AZ40" s="3453" t="s">
        <v>3470</v>
      </c>
    </row>
    <row r="41" spans="1:52">
      <c r="A41" s="3453" t="s">
        <v>3815</v>
      </c>
      <c r="B41" s="3453" t="s">
        <v>3457</v>
      </c>
      <c r="C41" s="3453" t="s">
        <v>3816</v>
      </c>
      <c r="D41" s="3453" t="s">
        <v>3459</v>
      </c>
      <c r="E41" s="3453" t="s">
        <v>3655</v>
      </c>
      <c r="F41" s="3453" t="s">
        <v>3817</v>
      </c>
      <c r="G41" s="3453" t="s">
        <v>3818</v>
      </c>
      <c r="H41" s="3453" t="s">
        <v>3463</v>
      </c>
      <c r="I41" s="3453">
        <v>21200</v>
      </c>
      <c r="J41" s="3453">
        <v>59360</v>
      </c>
      <c r="K41" s="3453" t="s">
        <v>3796</v>
      </c>
      <c r="L41" s="3453" t="s">
        <v>3464</v>
      </c>
      <c r="M41" s="3453" t="s">
        <v>3465</v>
      </c>
      <c r="N41" s="3453" t="s">
        <v>3740</v>
      </c>
      <c r="O41" s="3453" t="s">
        <v>3467</v>
      </c>
      <c r="P41" s="3453" t="s">
        <v>3470</v>
      </c>
      <c r="Q41" s="3453">
        <v>80</v>
      </c>
      <c r="R41" s="3453" t="s">
        <v>3488</v>
      </c>
      <c r="S41" s="3453" t="s">
        <v>3819</v>
      </c>
      <c r="T41" s="3453" t="s">
        <v>3470</v>
      </c>
      <c r="U41" s="3453" t="s">
        <v>3470</v>
      </c>
      <c r="V41" s="3453" t="s">
        <v>3470</v>
      </c>
      <c r="W41" s="3453" t="s">
        <v>3470</v>
      </c>
      <c r="X41" s="3453">
        <v>0</v>
      </c>
      <c r="Y41" s="3453">
        <v>0</v>
      </c>
      <c r="Z41" s="3454">
        <v>44670.000497685185</v>
      </c>
      <c r="AA41" s="3454">
        <v>44691.000497685185</v>
      </c>
      <c r="AB41" s="3454">
        <v>44712.000497685185</v>
      </c>
      <c r="AC41" s="3454">
        <v>44713.000497685185</v>
      </c>
      <c r="AD41" s="3453" t="s">
        <v>3820</v>
      </c>
      <c r="AE41" s="3453" t="s">
        <v>3472</v>
      </c>
      <c r="AF41" s="3453" t="s">
        <v>3821</v>
      </c>
      <c r="AG41" s="3453" t="s">
        <v>3822</v>
      </c>
      <c r="AH41" s="3453" t="s">
        <v>3823</v>
      </c>
      <c r="AI41" s="3453">
        <v>230000</v>
      </c>
      <c r="AJ41" s="3453">
        <v>46000</v>
      </c>
      <c r="AK41" s="3453" t="s">
        <v>3748</v>
      </c>
      <c r="AL41" s="3453">
        <v>264500</v>
      </c>
      <c r="AM41" s="3453">
        <v>7232.7</v>
      </c>
      <c r="AN41" s="3453">
        <v>8317.61</v>
      </c>
      <c r="AO41" s="3453">
        <v>38747</v>
      </c>
      <c r="AP41" s="3453">
        <v>44559</v>
      </c>
      <c r="AQ41" s="3453" t="s">
        <v>3470</v>
      </c>
      <c r="AR41" s="3453" t="s">
        <v>3470</v>
      </c>
      <c r="AS41" s="3453">
        <v>15</v>
      </c>
      <c r="AT41" s="3453" t="s">
        <v>3767</v>
      </c>
      <c r="AU41" s="3453">
        <v>264500</v>
      </c>
      <c r="AV41" s="3453" t="s">
        <v>3478</v>
      </c>
      <c r="AW41" s="3453" t="s">
        <v>3467</v>
      </c>
      <c r="AX41" s="3453">
        <v>44559</v>
      </c>
      <c r="AY41" s="3453">
        <v>15</v>
      </c>
      <c r="AZ41" s="3453" t="s">
        <v>3470</v>
      </c>
    </row>
    <row r="42" spans="1:52">
      <c r="A42" s="3453" t="s">
        <v>3824</v>
      </c>
      <c r="B42" s="3453" t="s">
        <v>3457</v>
      </c>
      <c r="C42" s="3453" t="s">
        <v>3825</v>
      </c>
      <c r="D42" s="3453" t="s">
        <v>3459</v>
      </c>
      <c r="E42" s="3453" t="s">
        <v>3655</v>
      </c>
      <c r="F42" s="3453" t="s">
        <v>3817</v>
      </c>
      <c r="G42" s="3453" t="s">
        <v>3826</v>
      </c>
      <c r="H42" s="3453" t="s">
        <v>3463</v>
      </c>
      <c r="I42" s="3453">
        <v>43909.52</v>
      </c>
      <c r="J42" s="3453">
        <v>74646</v>
      </c>
      <c r="K42" s="3453" t="s">
        <v>3827</v>
      </c>
      <c r="L42" s="3453" t="s">
        <v>3464</v>
      </c>
      <c r="M42" s="3453" t="s">
        <v>3465</v>
      </c>
      <c r="N42" s="3453" t="s">
        <v>3740</v>
      </c>
      <c r="O42" s="3453" t="s">
        <v>3467</v>
      </c>
      <c r="P42" s="3453" t="s">
        <v>3470</v>
      </c>
      <c r="Q42" s="3453">
        <v>30</v>
      </c>
      <c r="R42" s="3453" t="s">
        <v>3742</v>
      </c>
      <c r="S42" s="3453" t="s">
        <v>3743</v>
      </c>
      <c r="T42" s="3453" t="s">
        <v>3470</v>
      </c>
      <c r="U42" s="3453" t="s">
        <v>3470</v>
      </c>
      <c r="V42" s="3453" t="s">
        <v>3470</v>
      </c>
      <c r="W42" s="3453" t="s">
        <v>3470</v>
      </c>
      <c r="X42" s="3453">
        <v>0</v>
      </c>
      <c r="Y42" s="3453">
        <v>0</v>
      </c>
      <c r="Z42" s="3454">
        <v>44670.000497685185</v>
      </c>
      <c r="AA42" s="3454">
        <v>44691.000497685185</v>
      </c>
      <c r="AB42" s="3454">
        <v>44712.000497685185</v>
      </c>
      <c r="AC42" s="3454">
        <v>44712.000497685185</v>
      </c>
      <c r="AD42" s="3453" t="s">
        <v>3828</v>
      </c>
      <c r="AE42" s="3453" t="s">
        <v>3472</v>
      </c>
      <c r="AF42" s="3453" t="s">
        <v>3829</v>
      </c>
      <c r="AG42" s="3453" t="s">
        <v>3830</v>
      </c>
      <c r="AH42" s="3453" t="s">
        <v>3831</v>
      </c>
      <c r="AI42" s="3453">
        <v>244000</v>
      </c>
      <c r="AJ42" s="3453">
        <v>49000</v>
      </c>
      <c r="AK42" s="3453" t="s">
        <v>3748</v>
      </c>
      <c r="AL42" s="3453">
        <v>244000</v>
      </c>
      <c r="AM42" s="3453">
        <v>3704.59</v>
      </c>
      <c r="AN42" s="3453">
        <v>3704.59</v>
      </c>
      <c r="AO42" s="3453">
        <v>32688</v>
      </c>
      <c r="AP42" s="3453">
        <v>32688</v>
      </c>
      <c r="AQ42" s="3453" t="s">
        <v>3470</v>
      </c>
      <c r="AR42" s="3453" t="s">
        <v>3470</v>
      </c>
      <c r="AS42" s="3453">
        <v>0</v>
      </c>
      <c r="AT42" s="3453" t="s">
        <v>3767</v>
      </c>
      <c r="AU42" s="3453">
        <v>280600</v>
      </c>
      <c r="AV42" s="3453" t="s">
        <v>3505</v>
      </c>
      <c r="AW42" s="3453" t="s">
        <v>3467</v>
      </c>
      <c r="AX42" s="3453">
        <v>37591</v>
      </c>
      <c r="AY42" s="3453">
        <v>15</v>
      </c>
      <c r="AZ42" s="3453" t="s">
        <v>3470</v>
      </c>
    </row>
    <row r="43" spans="1:52" hidden="1">
      <c r="A43" s="3453" t="s">
        <v>3832</v>
      </c>
      <c r="B43" s="3453" t="s">
        <v>3457</v>
      </c>
      <c r="C43" s="3453" t="s">
        <v>3833</v>
      </c>
      <c r="D43" s="3453" t="s">
        <v>3459</v>
      </c>
      <c r="E43" s="3453" t="s">
        <v>3481</v>
      </c>
      <c r="F43" s="3453" t="s">
        <v>3662</v>
      </c>
      <c r="G43" s="3453" t="s">
        <v>3834</v>
      </c>
      <c r="H43" s="3453" t="s">
        <v>3463</v>
      </c>
      <c r="I43" s="3453">
        <v>96819.61</v>
      </c>
      <c r="J43" s="3453">
        <v>174275</v>
      </c>
      <c r="K43" s="3453" t="s">
        <v>3835</v>
      </c>
      <c r="L43" s="3453" t="s">
        <v>3464</v>
      </c>
      <c r="M43" s="3453" t="s">
        <v>3465</v>
      </c>
      <c r="N43" s="3453" t="s">
        <v>3740</v>
      </c>
      <c r="O43" s="3453" t="s">
        <v>3467</v>
      </c>
      <c r="P43" s="3453" t="s">
        <v>3470</v>
      </c>
      <c r="Q43" s="3453">
        <v>30</v>
      </c>
      <c r="R43" s="3453" t="s">
        <v>3836</v>
      </c>
      <c r="S43" s="3453" t="s">
        <v>3837</v>
      </c>
      <c r="T43" s="3453" t="s">
        <v>3470</v>
      </c>
      <c r="U43" s="3453" t="s">
        <v>3470</v>
      </c>
      <c r="V43" s="3453" t="s">
        <v>3470</v>
      </c>
      <c r="W43" s="3453" t="s">
        <v>3470</v>
      </c>
      <c r="X43" s="3453">
        <v>0</v>
      </c>
      <c r="Y43" s="3453">
        <v>0</v>
      </c>
      <c r="Z43" s="3454">
        <v>44670.000497685185</v>
      </c>
      <c r="AA43" s="3454">
        <v>44691.000497685185</v>
      </c>
      <c r="AB43" s="3454">
        <v>44712.000497685185</v>
      </c>
      <c r="AC43" s="3454">
        <v>44712.000497685185</v>
      </c>
      <c r="AD43" s="3453" t="s">
        <v>3838</v>
      </c>
      <c r="AE43" s="3453" t="s">
        <v>3472</v>
      </c>
      <c r="AF43" s="3453" t="s">
        <v>3839</v>
      </c>
      <c r="AG43" s="3453" t="s">
        <v>3571</v>
      </c>
      <c r="AH43" s="3453" t="s">
        <v>3493</v>
      </c>
      <c r="AI43" s="3453">
        <v>226000</v>
      </c>
      <c r="AJ43" s="3453">
        <v>46000</v>
      </c>
      <c r="AK43" s="3453" t="s">
        <v>3748</v>
      </c>
      <c r="AL43" s="3453">
        <v>226000</v>
      </c>
      <c r="AM43" s="3453">
        <v>1556.16</v>
      </c>
      <c r="AN43" s="3453">
        <v>1556.16</v>
      </c>
      <c r="AO43" s="3453">
        <v>12968</v>
      </c>
      <c r="AP43" s="3453">
        <v>12968</v>
      </c>
      <c r="AQ43" s="3453" t="s">
        <v>3470</v>
      </c>
      <c r="AR43" s="3453" t="s">
        <v>3470</v>
      </c>
      <c r="AS43" s="3453">
        <v>0</v>
      </c>
      <c r="AT43" s="3453" t="s">
        <v>3767</v>
      </c>
      <c r="AU43" s="3453">
        <v>259900</v>
      </c>
      <c r="AV43" s="3453" t="s">
        <v>3505</v>
      </c>
      <c r="AW43" s="3453" t="s">
        <v>3467</v>
      </c>
      <c r="AX43" s="3453">
        <v>14913</v>
      </c>
      <c r="AY43" s="3453">
        <v>15</v>
      </c>
      <c r="AZ43" s="3453" t="s">
        <v>3470</v>
      </c>
    </row>
    <row r="44" spans="1:52" hidden="1">
      <c r="A44" s="3453" t="s">
        <v>3840</v>
      </c>
      <c r="B44" s="3453" t="s">
        <v>3457</v>
      </c>
      <c r="C44" s="3453" t="s">
        <v>3841</v>
      </c>
      <c r="D44" s="3453" t="s">
        <v>3459</v>
      </c>
      <c r="E44" s="3453" t="s">
        <v>3534</v>
      </c>
      <c r="F44" s="3453" t="s">
        <v>3817</v>
      </c>
      <c r="G44" s="3453" t="s">
        <v>3842</v>
      </c>
      <c r="H44" s="3453" t="s">
        <v>3484</v>
      </c>
      <c r="I44" s="3453">
        <v>29035</v>
      </c>
      <c r="J44" s="3453">
        <v>72588</v>
      </c>
      <c r="K44" s="3453" t="s">
        <v>3760</v>
      </c>
      <c r="L44" s="3453" t="s">
        <v>3464</v>
      </c>
      <c r="M44" s="3453" t="s">
        <v>3843</v>
      </c>
      <c r="N44" s="3453" t="s">
        <v>3740</v>
      </c>
      <c r="O44" s="3453" t="s">
        <v>3467</v>
      </c>
      <c r="P44" s="3453" t="s">
        <v>3470</v>
      </c>
      <c r="Q44" s="3453">
        <v>36</v>
      </c>
      <c r="R44" s="3453" t="s">
        <v>3844</v>
      </c>
      <c r="S44" s="3453" t="s">
        <v>3837</v>
      </c>
      <c r="T44" s="3453" t="s">
        <v>3470</v>
      </c>
      <c r="U44" s="3453" t="s">
        <v>3470</v>
      </c>
      <c r="V44" s="3453" t="s">
        <v>3470</v>
      </c>
      <c r="W44" s="3453" t="s">
        <v>3470</v>
      </c>
      <c r="X44" s="3453">
        <v>0</v>
      </c>
      <c r="Y44" s="3453">
        <v>0</v>
      </c>
      <c r="Z44" s="3454">
        <v>44670.000497685185</v>
      </c>
      <c r="AA44" s="3454">
        <v>44691.000497685185</v>
      </c>
      <c r="AB44" s="3454">
        <v>44712.000497685185</v>
      </c>
      <c r="AC44" s="3454">
        <v>44712.000497685185</v>
      </c>
      <c r="AD44" s="3453" t="s">
        <v>3845</v>
      </c>
      <c r="AE44" s="3453" t="s">
        <v>3472</v>
      </c>
      <c r="AF44" s="3453" t="s">
        <v>3846</v>
      </c>
      <c r="AG44" s="3453" t="s">
        <v>3847</v>
      </c>
      <c r="AH44" s="3453" t="s">
        <v>3475</v>
      </c>
      <c r="AI44" s="3453">
        <v>266000</v>
      </c>
      <c r="AJ44" s="3453">
        <v>54000</v>
      </c>
      <c r="AK44" s="3453" t="s">
        <v>3748</v>
      </c>
      <c r="AL44" s="3453">
        <v>266000</v>
      </c>
      <c r="AM44" s="3453">
        <v>6107.57</v>
      </c>
      <c r="AN44" s="3453">
        <v>6107.57</v>
      </c>
      <c r="AO44" s="3453">
        <v>36645</v>
      </c>
      <c r="AP44" s="3453">
        <v>36645</v>
      </c>
      <c r="AQ44" s="3453" t="s">
        <v>3470</v>
      </c>
      <c r="AR44" s="3453" t="s">
        <v>3470</v>
      </c>
      <c r="AS44" s="3453">
        <v>0</v>
      </c>
      <c r="AT44" s="3453" t="s">
        <v>3848</v>
      </c>
      <c r="AU44" s="3453">
        <v>305900</v>
      </c>
      <c r="AV44" s="3453" t="s">
        <v>3505</v>
      </c>
      <c r="AW44" s="3453" t="s">
        <v>3467</v>
      </c>
      <c r="AX44" s="3453">
        <v>42142</v>
      </c>
      <c r="AY44" s="3453">
        <v>15</v>
      </c>
      <c r="AZ44" s="3453" t="s">
        <v>3470</v>
      </c>
    </row>
    <row r="45" spans="1:52" hidden="1">
      <c r="A45" s="3453" t="s">
        <v>3849</v>
      </c>
      <c r="B45" s="3453" t="s">
        <v>3457</v>
      </c>
      <c r="C45" s="3453" t="s">
        <v>3850</v>
      </c>
      <c r="D45" s="3453" t="s">
        <v>3459</v>
      </c>
      <c r="E45" s="3453" t="s">
        <v>3594</v>
      </c>
      <c r="F45" s="3453" t="s">
        <v>3851</v>
      </c>
      <c r="G45" s="3453" t="s">
        <v>3852</v>
      </c>
      <c r="H45" s="3453" t="s">
        <v>3484</v>
      </c>
      <c r="I45" s="3453">
        <v>39732.370000000003</v>
      </c>
      <c r="J45" s="3453">
        <v>62838.75</v>
      </c>
      <c r="K45" s="3453" t="s">
        <v>3853</v>
      </c>
      <c r="L45" s="3453" t="s">
        <v>3464</v>
      </c>
      <c r="M45" s="3453" t="s">
        <v>3598</v>
      </c>
      <c r="N45" s="3453" t="s">
        <v>3740</v>
      </c>
      <c r="O45" s="3453" t="s">
        <v>3467</v>
      </c>
      <c r="P45" s="3453" t="s">
        <v>3854</v>
      </c>
      <c r="Q45" s="3453" t="s">
        <v>3855</v>
      </c>
      <c r="R45" s="3453" t="s">
        <v>3742</v>
      </c>
      <c r="S45" s="3453" t="s">
        <v>3742</v>
      </c>
      <c r="T45" s="3453" t="s">
        <v>3470</v>
      </c>
      <c r="U45" s="3453" t="s">
        <v>3470</v>
      </c>
      <c r="V45" s="3453" t="s">
        <v>3470</v>
      </c>
      <c r="W45" s="3453" t="s">
        <v>3470</v>
      </c>
      <c r="X45" s="3453">
        <v>0</v>
      </c>
      <c r="Y45" s="3453">
        <v>0</v>
      </c>
      <c r="Z45" s="3454">
        <v>44670.000497685185</v>
      </c>
      <c r="AA45" s="3454">
        <v>44691.000497685185</v>
      </c>
      <c r="AB45" s="3454">
        <v>44712.000497685185</v>
      </c>
      <c r="AC45" s="3454">
        <v>44713.000497685185</v>
      </c>
      <c r="AD45" s="3453" t="s">
        <v>3856</v>
      </c>
      <c r="AE45" s="3453" t="s">
        <v>3472</v>
      </c>
      <c r="AF45" s="3453" t="s">
        <v>3857</v>
      </c>
      <c r="AG45" s="3453" t="s">
        <v>3858</v>
      </c>
      <c r="AH45" s="3453" t="s">
        <v>3530</v>
      </c>
      <c r="AI45" s="3453">
        <v>170000</v>
      </c>
      <c r="AJ45" s="3453">
        <v>34000</v>
      </c>
      <c r="AK45" s="3453" t="s">
        <v>3748</v>
      </c>
      <c r="AL45" s="3453">
        <v>195500</v>
      </c>
      <c r="AM45" s="3453">
        <v>2852.42</v>
      </c>
      <c r="AN45" s="3453">
        <v>3280.28</v>
      </c>
      <c r="AO45" s="3453">
        <v>27053</v>
      </c>
      <c r="AP45" s="3453">
        <v>31111</v>
      </c>
      <c r="AQ45" s="3453" t="s">
        <v>3470</v>
      </c>
      <c r="AR45" s="3453" t="s">
        <v>3470</v>
      </c>
      <c r="AS45" s="3453">
        <v>15</v>
      </c>
      <c r="AT45" s="3453" t="s">
        <v>3749</v>
      </c>
      <c r="AU45" s="3453">
        <v>195500</v>
      </c>
      <c r="AV45" s="3453" t="s">
        <v>3478</v>
      </c>
      <c r="AW45" s="3453" t="s">
        <v>3467</v>
      </c>
      <c r="AX45" s="3453">
        <v>31111</v>
      </c>
      <c r="AY45" s="3453">
        <v>15</v>
      </c>
      <c r="AZ45" s="3453" t="s">
        <v>3470</v>
      </c>
    </row>
    <row r="46" spans="1:52" hidden="1">
      <c r="A46" s="3453" t="s">
        <v>3859</v>
      </c>
      <c r="B46" s="3453" t="s">
        <v>3457</v>
      </c>
      <c r="C46" s="3453" t="s">
        <v>3860</v>
      </c>
      <c r="D46" s="3453" t="s">
        <v>3459</v>
      </c>
      <c r="E46" s="3453" t="s">
        <v>3519</v>
      </c>
      <c r="F46" s="3453" t="s">
        <v>3520</v>
      </c>
      <c r="G46" s="3453" t="s">
        <v>3861</v>
      </c>
      <c r="H46" s="3453" t="s">
        <v>3463</v>
      </c>
      <c r="I46" s="3453">
        <v>22115.200000000001</v>
      </c>
      <c r="J46" s="3453">
        <v>44230.400000000001</v>
      </c>
      <c r="K46" s="3453">
        <v>2</v>
      </c>
      <c r="L46" s="3453" t="s">
        <v>3464</v>
      </c>
      <c r="M46" s="3453" t="s">
        <v>3465</v>
      </c>
      <c r="N46" s="3453" t="s">
        <v>3862</v>
      </c>
      <c r="O46" s="3453" t="s">
        <v>3467</v>
      </c>
      <c r="P46" s="3453">
        <v>0.3</v>
      </c>
      <c r="Q46" s="3453">
        <v>45</v>
      </c>
      <c r="R46" s="3453" t="s">
        <v>3863</v>
      </c>
      <c r="S46" s="3453" t="s">
        <v>3837</v>
      </c>
      <c r="T46" s="3453" t="s">
        <v>3470</v>
      </c>
      <c r="U46" s="3453" t="s">
        <v>3470</v>
      </c>
      <c r="V46" s="3453">
        <v>0</v>
      </c>
      <c r="W46" s="3453">
        <v>0</v>
      </c>
      <c r="X46" s="3453">
        <v>0</v>
      </c>
      <c r="Y46" s="3453">
        <v>0</v>
      </c>
      <c r="Z46" s="3454">
        <v>44568.000497685185</v>
      </c>
      <c r="AA46" s="3454">
        <v>44589.000497685185</v>
      </c>
      <c r="AB46" s="3454">
        <v>44608.000497685185</v>
      </c>
      <c r="AC46" s="3454">
        <v>44609.000497685185</v>
      </c>
      <c r="AD46" s="3453" t="s">
        <v>3864</v>
      </c>
      <c r="AE46" s="3453" t="s">
        <v>3472</v>
      </c>
      <c r="AF46" s="3453" t="s">
        <v>3865</v>
      </c>
      <c r="AG46" s="3453" t="s">
        <v>3866</v>
      </c>
      <c r="AH46" s="3453" t="s">
        <v>3867</v>
      </c>
      <c r="AI46" s="3453">
        <v>146000</v>
      </c>
      <c r="AJ46" s="3453">
        <v>30000</v>
      </c>
      <c r="AK46" s="3453" t="s">
        <v>3868</v>
      </c>
      <c r="AL46" s="3453">
        <v>147600</v>
      </c>
      <c r="AM46" s="3453">
        <v>4401.2</v>
      </c>
      <c r="AN46" s="3453">
        <v>4449.43</v>
      </c>
      <c r="AO46" s="3453">
        <v>33009</v>
      </c>
      <c r="AP46" s="3453">
        <v>33371</v>
      </c>
      <c r="AQ46" s="3453" t="s">
        <v>3470</v>
      </c>
      <c r="AR46" s="3453" t="s">
        <v>3470</v>
      </c>
      <c r="AS46" s="3453">
        <v>1.1000000000000001</v>
      </c>
      <c r="AT46" s="3453" t="s">
        <v>3869</v>
      </c>
      <c r="AU46" s="3453">
        <v>153300</v>
      </c>
      <c r="AV46" s="3453" t="s">
        <v>3505</v>
      </c>
      <c r="AW46" s="3453">
        <v>58000</v>
      </c>
      <c r="AX46" s="3453">
        <v>34659</v>
      </c>
      <c r="AY46" s="3453">
        <v>5</v>
      </c>
      <c r="AZ46" s="3453">
        <v>24991</v>
      </c>
    </row>
    <row r="47" spans="1:52" hidden="1">
      <c r="A47" s="3453" t="s">
        <v>3870</v>
      </c>
      <c r="B47" s="3453" t="s">
        <v>3457</v>
      </c>
      <c r="C47" s="3453" t="s">
        <v>3871</v>
      </c>
      <c r="D47" s="3453" t="s">
        <v>3459</v>
      </c>
      <c r="E47" s="3453" t="s">
        <v>3594</v>
      </c>
      <c r="F47" s="3453" t="s">
        <v>3872</v>
      </c>
      <c r="G47" s="3453" t="s">
        <v>3873</v>
      </c>
      <c r="H47" s="3453" t="s">
        <v>3463</v>
      </c>
      <c r="I47" s="3453">
        <v>51409.62</v>
      </c>
      <c r="J47" s="3453">
        <v>83593.919999999998</v>
      </c>
      <c r="K47" s="3453">
        <v>1.6</v>
      </c>
      <c r="L47" s="3453" t="s">
        <v>3464</v>
      </c>
      <c r="M47" s="3453" t="s">
        <v>3465</v>
      </c>
      <c r="N47" s="3453" t="s">
        <v>3862</v>
      </c>
      <c r="O47" s="3453" t="s">
        <v>3467</v>
      </c>
      <c r="P47" s="3453">
        <v>0.3</v>
      </c>
      <c r="Q47" s="3453">
        <v>30</v>
      </c>
      <c r="R47" s="3453" t="s">
        <v>3836</v>
      </c>
      <c r="S47" s="3453" t="s">
        <v>3837</v>
      </c>
      <c r="T47" s="3453" t="s">
        <v>3470</v>
      </c>
      <c r="U47" s="3453" t="s">
        <v>3470</v>
      </c>
      <c r="V47" s="3453">
        <v>0</v>
      </c>
      <c r="W47" s="3453">
        <v>0</v>
      </c>
      <c r="X47" s="3453">
        <v>0</v>
      </c>
      <c r="Y47" s="3453">
        <v>0</v>
      </c>
      <c r="Z47" s="3454">
        <v>44568.000497685185</v>
      </c>
      <c r="AA47" s="3454">
        <v>44589.000497685185</v>
      </c>
      <c r="AB47" s="3454">
        <v>44608.000497685185</v>
      </c>
      <c r="AC47" s="3454">
        <v>44608.000497685185</v>
      </c>
      <c r="AD47" s="3453" t="s">
        <v>3874</v>
      </c>
      <c r="AE47" s="3453" t="s">
        <v>3472</v>
      </c>
      <c r="AF47" s="3453" t="s">
        <v>3875</v>
      </c>
      <c r="AG47" s="3453" t="s">
        <v>3876</v>
      </c>
      <c r="AH47" s="3453" t="s">
        <v>3877</v>
      </c>
      <c r="AI47" s="3453">
        <v>166000</v>
      </c>
      <c r="AJ47" s="3453">
        <v>34000</v>
      </c>
      <c r="AK47" s="3453" t="s">
        <v>3868</v>
      </c>
      <c r="AL47" s="3453">
        <v>166000</v>
      </c>
      <c r="AM47" s="3453">
        <v>2152.65</v>
      </c>
      <c r="AN47" s="3453">
        <v>2152.65</v>
      </c>
      <c r="AO47" s="3453">
        <v>19858</v>
      </c>
      <c r="AP47" s="3453">
        <v>19858</v>
      </c>
      <c r="AQ47" s="3453" t="s">
        <v>3470</v>
      </c>
      <c r="AR47" s="3453" t="s">
        <v>3470</v>
      </c>
      <c r="AS47" s="3453">
        <v>0</v>
      </c>
      <c r="AT47" s="3453" t="s">
        <v>3869</v>
      </c>
      <c r="AU47" s="3453">
        <v>174300</v>
      </c>
      <c r="AV47" s="3453" t="s">
        <v>3505</v>
      </c>
      <c r="AW47" s="3453">
        <v>42000</v>
      </c>
      <c r="AX47" s="3453">
        <v>20851</v>
      </c>
      <c r="AY47" s="3453">
        <v>5</v>
      </c>
      <c r="AZ47" s="3453">
        <v>22142</v>
      </c>
    </row>
    <row r="48" spans="1:52" hidden="1">
      <c r="A48" s="3453" t="s">
        <v>3878</v>
      </c>
      <c r="B48" s="3453" t="s">
        <v>3457</v>
      </c>
      <c r="C48" s="3453" t="s">
        <v>3879</v>
      </c>
      <c r="D48" s="3453" t="s">
        <v>3459</v>
      </c>
      <c r="E48" s="3453" t="s">
        <v>3497</v>
      </c>
      <c r="F48" s="3453" t="s">
        <v>3498</v>
      </c>
      <c r="G48" s="3453" t="s">
        <v>3880</v>
      </c>
      <c r="H48" s="3453" t="s">
        <v>3463</v>
      </c>
      <c r="I48" s="3453">
        <v>32057.19</v>
      </c>
      <c r="J48" s="3453">
        <v>51292</v>
      </c>
      <c r="K48" s="3453">
        <v>1.6</v>
      </c>
      <c r="L48" s="3453" t="s">
        <v>3464</v>
      </c>
      <c r="M48" s="3453" t="s">
        <v>3465</v>
      </c>
      <c r="N48" s="3453" t="s">
        <v>3862</v>
      </c>
      <c r="O48" s="3453" t="s">
        <v>3467</v>
      </c>
      <c r="P48" s="3453">
        <v>0.3</v>
      </c>
      <c r="Q48" s="3453">
        <v>18</v>
      </c>
      <c r="R48" s="3453" t="s">
        <v>3742</v>
      </c>
      <c r="S48" s="3453" t="s">
        <v>3743</v>
      </c>
      <c r="T48" s="3453" t="s">
        <v>3470</v>
      </c>
      <c r="U48" s="3453" t="s">
        <v>3470</v>
      </c>
      <c r="V48" s="3453">
        <v>0</v>
      </c>
      <c r="W48" s="3453">
        <v>0</v>
      </c>
      <c r="X48" s="3453">
        <v>0</v>
      </c>
      <c r="Y48" s="3453">
        <v>0</v>
      </c>
      <c r="Z48" s="3454">
        <v>44568.000497685185</v>
      </c>
      <c r="AA48" s="3454">
        <v>44589.000497685185</v>
      </c>
      <c r="AB48" s="3454">
        <v>44608.000497685185</v>
      </c>
      <c r="AC48" s="3454">
        <v>44608.000497685185</v>
      </c>
      <c r="AD48" s="3453" t="s">
        <v>3881</v>
      </c>
      <c r="AE48" s="3453" t="s">
        <v>3472</v>
      </c>
      <c r="AF48" s="3453" t="s">
        <v>3503</v>
      </c>
      <c r="AG48" s="3453" t="s">
        <v>3504</v>
      </c>
      <c r="AH48" s="3453" t="s">
        <v>3475</v>
      </c>
      <c r="AI48" s="3453">
        <v>81000</v>
      </c>
      <c r="AJ48" s="3453">
        <v>17000</v>
      </c>
      <c r="AK48" s="3453" t="s">
        <v>3868</v>
      </c>
      <c r="AL48" s="3453">
        <v>81000</v>
      </c>
      <c r="AM48" s="3453">
        <v>1684.49</v>
      </c>
      <c r="AN48" s="3453">
        <v>1684.49</v>
      </c>
      <c r="AO48" s="3453">
        <v>15792</v>
      </c>
      <c r="AP48" s="3453">
        <v>15792</v>
      </c>
      <c r="AQ48" s="3453" t="s">
        <v>3470</v>
      </c>
      <c r="AR48" s="3453" t="s">
        <v>3470</v>
      </c>
      <c r="AS48" s="3453">
        <v>0</v>
      </c>
      <c r="AT48" s="3453" t="s">
        <v>3869</v>
      </c>
      <c r="AU48" s="3453">
        <v>93150</v>
      </c>
      <c r="AV48" s="3453" t="s">
        <v>3505</v>
      </c>
      <c r="AW48" s="3453">
        <v>45000</v>
      </c>
      <c r="AX48" s="3453">
        <v>18161</v>
      </c>
      <c r="AY48" s="3453">
        <v>15</v>
      </c>
      <c r="AZ48" s="3453">
        <v>29208</v>
      </c>
    </row>
    <row r="49" spans="1:53" hidden="1">
      <c r="A49" s="3453" t="s">
        <v>3882</v>
      </c>
      <c r="B49" s="3453" t="s">
        <v>3457</v>
      </c>
      <c r="C49" s="3453" t="s">
        <v>3883</v>
      </c>
      <c r="D49" s="3453" t="s">
        <v>3459</v>
      </c>
      <c r="E49" s="3453" t="s">
        <v>3519</v>
      </c>
      <c r="F49" s="3453" t="s">
        <v>3786</v>
      </c>
      <c r="G49" s="3453" t="s">
        <v>3884</v>
      </c>
      <c r="H49" s="3453" t="s">
        <v>3463</v>
      </c>
      <c r="I49" s="3453">
        <v>23519.8</v>
      </c>
      <c r="J49" s="3453">
        <v>58799.5</v>
      </c>
      <c r="K49" s="3453">
        <v>2.5</v>
      </c>
      <c r="L49" s="3453" t="s">
        <v>3464</v>
      </c>
      <c r="M49" s="3453" t="s">
        <v>3465</v>
      </c>
      <c r="N49" s="3453" t="s">
        <v>3862</v>
      </c>
      <c r="O49" s="3453">
        <v>0</v>
      </c>
      <c r="P49" s="3453" t="s">
        <v>3470</v>
      </c>
      <c r="Q49" s="3453">
        <v>60</v>
      </c>
      <c r="R49" s="3453" t="s">
        <v>3885</v>
      </c>
      <c r="S49" s="3453" t="s">
        <v>3743</v>
      </c>
      <c r="T49" s="3453" t="s">
        <v>3470</v>
      </c>
      <c r="U49" s="3453" t="s">
        <v>3470</v>
      </c>
      <c r="V49" s="3453" t="s">
        <v>3470</v>
      </c>
      <c r="W49" s="3453">
        <v>0</v>
      </c>
      <c r="X49" s="3453">
        <v>0</v>
      </c>
      <c r="Y49" s="3453">
        <v>0</v>
      </c>
      <c r="Z49" s="3454">
        <v>44568.000497685185</v>
      </c>
      <c r="AA49" s="3454">
        <v>44589.000497685185</v>
      </c>
      <c r="AB49" s="3454">
        <v>44608.000497685185</v>
      </c>
      <c r="AC49" s="3454">
        <v>44609.000497685185</v>
      </c>
      <c r="AD49" s="3453" t="s">
        <v>3886</v>
      </c>
      <c r="AE49" s="3453" t="s">
        <v>3472</v>
      </c>
      <c r="AF49" s="3453" t="s">
        <v>3887</v>
      </c>
      <c r="AG49" s="3453" t="s">
        <v>3551</v>
      </c>
      <c r="AH49" s="3453" t="s">
        <v>3475</v>
      </c>
      <c r="AI49" s="3453">
        <v>223000</v>
      </c>
      <c r="AJ49" s="3453">
        <v>45000</v>
      </c>
      <c r="AK49" s="3453" t="s">
        <v>3868</v>
      </c>
      <c r="AL49" s="3453">
        <v>248000</v>
      </c>
      <c r="AM49" s="3453">
        <v>6320.92</v>
      </c>
      <c r="AN49" s="3453">
        <v>7029.54</v>
      </c>
      <c r="AO49" s="3453">
        <v>37925</v>
      </c>
      <c r="AP49" s="3453">
        <v>42177</v>
      </c>
      <c r="AQ49" s="3453" t="s">
        <v>3470</v>
      </c>
      <c r="AR49" s="3453" t="s">
        <v>3470</v>
      </c>
      <c r="AS49" s="3453">
        <v>11.21</v>
      </c>
      <c r="AT49" s="3453" t="s">
        <v>3869</v>
      </c>
      <c r="AU49" s="3453">
        <v>256450</v>
      </c>
      <c r="AV49" s="3453" t="s">
        <v>3505</v>
      </c>
      <c r="AW49" s="3453">
        <v>73000</v>
      </c>
      <c r="AX49" s="3453">
        <v>43614</v>
      </c>
      <c r="AY49" s="3453">
        <v>15</v>
      </c>
      <c r="AZ49" s="3453">
        <v>35075</v>
      </c>
    </row>
    <row r="50" spans="1:53" hidden="1">
      <c r="A50" s="3453" t="s">
        <v>3888</v>
      </c>
      <c r="B50" s="3453" t="s">
        <v>3457</v>
      </c>
      <c r="C50" s="3453" t="s">
        <v>3889</v>
      </c>
      <c r="D50" s="3453" t="s">
        <v>3459</v>
      </c>
      <c r="E50" s="3453" t="s">
        <v>3460</v>
      </c>
      <c r="F50" s="3453" t="s">
        <v>3565</v>
      </c>
      <c r="G50" s="3453" t="s">
        <v>3588</v>
      </c>
      <c r="H50" s="3453" t="s">
        <v>3484</v>
      </c>
      <c r="I50" s="3453">
        <v>41146.67</v>
      </c>
      <c r="J50" s="3453">
        <v>92406</v>
      </c>
      <c r="K50" s="3453" t="s">
        <v>3890</v>
      </c>
      <c r="L50" s="3453" t="s">
        <v>3464</v>
      </c>
      <c r="M50" s="3453" t="s">
        <v>3891</v>
      </c>
      <c r="N50" s="3453" t="s">
        <v>3862</v>
      </c>
      <c r="O50" s="3453">
        <v>0</v>
      </c>
      <c r="P50" s="3453" t="s">
        <v>3892</v>
      </c>
      <c r="Q50" s="3453" t="s">
        <v>3893</v>
      </c>
      <c r="R50" s="3453" t="s">
        <v>3894</v>
      </c>
      <c r="S50" s="3453" t="s">
        <v>3762</v>
      </c>
      <c r="T50" s="3453" t="s">
        <v>3895</v>
      </c>
      <c r="U50" s="3453" t="s">
        <v>3896</v>
      </c>
      <c r="V50" s="3453" t="s">
        <v>3470</v>
      </c>
      <c r="W50" s="3453">
        <v>0</v>
      </c>
      <c r="X50" s="3453">
        <v>0</v>
      </c>
      <c r="Y50" s="3453">
        <v>0</v>
      </c>
      <c r="Z50" s="3454">
        <v>44568.000497685185</v>
      </c>
      <c r="AA50" s="3454">
        <v>44589.000497685185</v>
      </c>
      <c r="AB50" s="3454">
        <v>44608.000497685185</v>
      </c>
      <c r="AC50" s="3454">
        <v>44609.000497685185</v>
      </c>
      <c r="AD50" s="3453" t="s">
        <v>3897</v>
      </c>
      <c r="AE50" s="3453" t="s">
        <v>3472</v>
      </c>
      <c r="AF50" s="3453" t="s">
        <v>3865</v>
      </c>
      <c r="AG50" s="3453" t="s">
        <v>3866</v>
      </c>
      <c r="AH50" s="3453" t="s">
        <v>3867</v>
      </c>
      <c r="AI50" s="3453">
        <v>378000</v>
      </c>
      <c r="AJ50" s="3453">
        <v>76000</v>
      </c>
      <c r="AK50" s="3453" t="s">
        <v>3868</v>
      </c>
      <c r="AL50" s="3453">
        <v>434700</v>
      </c>
      <c r="AM50" s="3453">
        <v>6124.43</v>
      </c>
      <c r="AN50" s="3453">
        <v>7043.1</v>
      </c>
      <c r="AO50" s="3453">
        <v>40906</v>
      </c>
      <c r="AP50" s="3453">
        <v>47042</v>
      </c>
      <c r="AQ50" s="3453" t="s">
        <v>3470</v>
      </c>
      <c r="AR50" s="3453" t="s">
        <v>3470</v>
      </c>
      <c r="AS50" s="3453">
        <v>15</v>
      </c>
      <c r="AT50" s="3453" t="s">
        <v>3898</v>
      </c>
      <c r="AU50" s="3453">
        <v>434700</v>
      </c>
      <c r="AV50" s="3453" t="s">
        <v>3478</v>
      </c>
      <c r="AW50" s="3453">
        <v>88000</v>
      </c>
      <c r="AX50" s="3453">
        <v>47042</v>
      </c>
      <c r="AY50" s="3453">
        <v>15</v>
      </c>
      <c r="AZ50" s="3453">
        <v>47094</v>
      </c>
    </row>
    <row r="51" spans="1:53" hidden="1">
      <c r="A51" s="3453" t="s">
        <v>3899</v>
      </c>
      <c r="B51" s="3453" t="s">
        <v>3457</v>
      </c>
      <c r="C51" s="3453" t="s">
        <v>3900</v>
      </c>
      <c r="D51" s="3453" t="s">
        <v>3459</v>
      </c>
      <c r="E51" s="3453" t="s">
        <v>3594</v>
      </c>
      <c r="F51" s="3453" t="s">
        <v>3595</v>
      </c>
      <c r="G51" s="3453" t="s">
        <v>3596</v>
      </c>
      <c r="H51" s="3453" t="s">
        <v>3484</v>
      </c>
      <c r="I51" s="3453">
        <v>40739.620000000003</v>
      </c>
      <c r="J51" s="3453">
        <v>75359.210000000006</v>
      </c>
      <c r="K51" s="3453" t="s">
        <v>3901</v>
      </c>
      <c r="L51" s="3453" t="s">
        <v>3464</v>
      </c>
      <c r="M51" s="3453" t="s">
        <v>3629</v>
      </c>
      <c r="N51" s="3453" t="s">
        <v>3862</v>
      </c>
      <c r="O51" s="3453">
        <v>0</v>
      </c>
      <c r="P51" s="3453">
        <v>0.3</v>
      </c>
      <c r="Q51" s="3453" t="s">
        <v>3902</v>
      </c>
      <c r="R51" s="3453" t="s">
        <v>3903</v>
      </c>
      <c r="S51" s="3453" t="s">
        <v>3837</v>
      </c>
      <c r="T51" s="3453" t="s">
        <v>3470</v>
      </c>
      <c r="U51" s="3453" t="s">
        <v>3470</v>
      </c>
      <c r="V51" s="3453" t="s">
        <v>3470</v>
      </c>
      <c r="W51" s="3453">
        <v>0</v>
      </c>
      <c r="X51" s="3453">
        <v>0</v>
      </c>
      <c r="Y51" s="3453">
        <v>0</v>
      </c>
      <c r="Z51" s="3454">
        <v>44568.000497685185</v>
      </c>
      <c r="AA51" s="3454">
        <v>44589.000497685185</v>
      </c>
      <c r="AB51" s="3454">
        <v>44608.000497685185</v>
      </c>
      <c r="AC51" s="3454">
        <v>44608.000497685185</v>
      </c>
      <c r="AD51" s="3453" t="s">
        <v>3904</v>
      </c>
      <c r="AE51" s="3453" t="s">
        <v>3472</v>
      </c>
      <c r="AF51" s="3453" t="s">
        <v>3905</v>
      </c>
      <c r="AG51" s="3453" t="s">
        <v>3906</v>
      </c>
      <c r="AH51" s="3453" t="s">
        <v>3530</v>
      </c>
      <c r="AI51" s="3453">
        <v>140000</v>
      </c>
      <c r="AJ51" s="3453">
        <v>28000</v>
      </c>
      <c r="AK51" s="3453" t="s">
        <v>3868</v>
      </c>
      <c r="AL51" s="3453">
        <v>140700</v>
      </c>
      <c r="AM51" s="3453">
        <v>2290.9699999999998</v>
      </c>
      <c r="AN51" s="3453">
        <v>2302.4299999999998</v>
      </c>
      <c r="AO51" s="3453">
        <v>18578</v>
      </c>
      <c r="AP51" s="3453">
        <v>18671</v>
      </c>
      <c r="AQ51" s="3453" t="s">
        <v>3470</v>
      </c>
      <c r="AR51" s="3453" t="s">
        <v>3470</v>
      </c>
      <c r="AS51" s="3453">
        <v>0.5</v>
      </c>
      <c r="AT51" s="3453" t="s">
        <v>3907</v>
      </c>
      <c r="AU51" s="3453">
        <v>161000</v>
      </c>
      <c r="AV51" s="3453" t="s">
        <v>3505</v>
      </c>
      <c r="AW51" s="3453">
        <v>44000</v>
      </c>
      <c r="AX51" s="3453">
        <v>21364</v>
      </c>
      <c r="AY51" s="3453">
        <v>15</v>
      </c>
      <c r="AZ51" s="3453">
        <v>25422</v>
      </c>
    </row>
    <row r="52" spans="1:53" hidden="1">
      <c r="A52" s="3453" t="s">
        <v>3908</v>
      </c>
      <c r="B52" s="3453" t="s">
        <v>3457</v>
      </c>
      <c r="C52" s="3453" t="s">
        <v>3909</v>
      </c>
      <c r="D52" s="3453" t="s">
        <v>3459</v>
      </c>
      <c r="E52" s="3453" t="s">
        <v>3508</v>
      </c>
      <c r="F52" s="3453" t="s">
        <v>3910</v>
      </c>
      <c r="G52" s="3453" t="s">
        <v>3911</v>
      </c>
      <c r="H52" s="3453" t="s">
        <v>3484</v>
      </c>
      <c r="I52" s="3453">
        <v>33141.01</v>
      </c>
      <c r="J52" s="3453">
        <v>61339.02</v>
      </c>
      <c r="K52" s="3453" t="s">
        <v>3912</v>
      </c>
      <c r="L52" s="3453" t="s">
        <v>3464</v>
      </c>
      <c r="M52" s="3453" t="s">
        <v>3913</v>
      </c>
      <c r="N52" s="3453" t="s">
        <v>3862</v>
      </c>
      <c r="O52" s="3453" t="s">
        <v>3467</v>
      </c>
      <c r="P52" s="3453" t="s">
        <v>3470</v>
      </c>
      <c r="Q52" s="3453" t="s">
        <v>3914</v>
      </c>
      <c r="R52" s="3453" t="s">
        <v>3836</v>
      </c>
      <c r="S52" s="3453" t="s">
        <v>3837</v>
      </c>
      <c r="T52" s="3453" t="s">
        <v>3470</v>
      </c>
      <c r="U52" s="3453" t="s">
        <v>3470</v>
      </c>
      <c r="V52" s="3453" t="s">
        <v>3470</v>
      </c>
      <c r="W52" s="3453" t="s">
        <v>3470</v>
      </c>
      <c r="X52" s="3453">
        <v>0</v>
      </c>
      <c r="Y52" s="3453">
        <v>0</v>
      </c>
      <c r="Z52" s="3454">
        <v>44568.000497685185</v>
      </c>
      <c r="AA52" s="3454">
        <v>44589.000497685185</v>
      </c>
      <c r="AB52" s="3454">
        <v>44608.000497685185</v>
      </c>
      <c r="AC52" s="3454">
        <v>44608.000497685185</v>
      </c>
      <c r="AD52" s="3453" t="s">
        <v>3915</v>
      </c>
      <c r="AE52" s="3453" t="s">
        <v>3472</v>
      </c>
      <c r="AF52" s="3453" t="s">
        <v>3916</v>
      </c>
      <c r="AG52" s="3453" t="s">
        <v>3917</v>
      </c>
      <c r="AH52" s="3453" t="s">
        <v>3493</v>
      </c>
      <c r="AI52" s="3453">
        <v>133000</v>
      </c>
      <c r="AJ52" s="3453">
        <v>27000</v>
      </c>
      <c r="AK52" s="3453" t="s">
        <v>3868</v>
      </c>
      <c r="AL52" s="3453">
        <v>133000</v>
      </c>
      <c r="AM52" s="3453">
        <v>2675.44</v>
      </c>
      <c r="AN52" s="3453">
        <v>2675.44</v>
      </c>
      <c r="AO52" s="3453">
        <v>21683</v>
      </c>
      <c r="AP52" s="3453">
        <v>21683</v>
      </c>
      <c r="AQ52" s="3453" t="s">
        <v>3470</v>
      </c>
      <c r="AR52" s="3453" t="s">
        <v>3470</v>
      </c>
      <c r="AS52" s="3453">
        <v>0</v>
      </c>
      <c r="AT52" s="3453" t="s">
        <v>3553</v>
      </c>
      <c r="AU52" s="3453">
        <v>152950</v>
      </c>
      <c r="AV52" s="3453" t="s">
        <v>3505</v>
      </c>
      <c r="AW52" s="3453">
        <v>55000</v>
      </c>
      <c r="AX52" s="3453">
        <v>24935</v>
      </c>
      <c r="AY52" s="3453">
        <v>15</v>
      </c>
      <c r="AZ52" s="3453">
        <v>33317</v>
      </c>
      <c r="BA52" s="3453"/>
    </row>
    <row r="53" spans="1:53" hidden="1">
      <c r="A53" s="3453" t="s">
        <v>3918</v>
      </c>
      <c r="B53" s="3453" t="s">
        <v>3457</v>
      </c>
      <c r="C53" s="3453" t="s">
        <v>3919</v>
      </c>
      <c r="D53" s="3453" t="s">
        <v>3459</v>
      </c>
      <c r="E53" s="3453" t="s">
        <v>3481</v>
      </c>
      <c r="F53" s="3453" t="s">
        <v>3482</v>
      </c>
      <c r="G53" s="3453" t="s">
        <v>3920</v>
      </c>
      <c r="H53" s="3453" t="s">
        <v>3463</v>
      </c>
      <c r="I53" s="3453">
        <v>59603.839999999997</v>
      </c>
      <c r="J53" s="3453">
        <v>131128.44</v>
      </c>
      <c r="K53" s="3453">
        <v>2.2000000000000002</v>
      </c>
      <c r="L53" s="3453" t="s">
        <v>3464</v>
      </c>
      <c r="M53" s="3453" t="s">
        <v>3465</v>
      </c>
      <c r="N53" s="3453" t="s">
        <v>3862</v>
      </c>
      <c r="O53" s="3453" t="s">
        <v>3467</v>
      </c>
      <c r="P53" s="3453" t="s">
        <v>3470</v>
      </c>
      <c r="Q53" s="3453">
        <v>45</v>
      </c>
      <c r="R53" s="3453" t="s">
        <v>3885</v>
      </c>
      <c r="S53" s="3453" t="s">
        <v>3743</v>
      </c>
      <c r="T53" s="3453" t="s">
        <v>3470</v>
      </c>
      <c r="U53" s="3453" t="s">
        <v>3470</v>
      </c>
      <c r="V53" s="3453">
        <v>0</v>
      </c>
      <c r="W53" s="3453">
        <v>0</v>
      </c>
      <c r="X53" s="3453">
        <v>0</v>
      </c>
      <c r="Y53" s="3453">
        <v>0</v>
      </c>
      <c r="Z53" s="3454">
        <v>44568.000497685185</v>
      </c>
      <c r="AA53" s="3454">
        <v>44589.000497685185</v>
      </c>
      <c r="AB53" s="3454">
        <v>44608.000497685185</v>
      </c>
      <c r="AC53" s="3454">
        <v>44608.000497685185</v>
      </c>
      <c r="AD53" s="3453" t="s">
        <v>3921</v>
      </c>
      <c r="AE53" s="3453" t="s">
        <v>3472</v>
      </c>
      <c r="AF53" s="3453" t="s">
        <v>3887</v>
      </c>
      <c r="AG53" s="3453" t="s">
        <v>3551</v>
      </c>
      <c r="AH53" s="3453" t="s">
        <v>3475</v>
      </c>
      <c r="AI53" s="3453">
        <v>326000</v>
      </c>
      <c r="AJ53" s="3453">
        <v>66000</v>
      </c>
      <c r="AK53" s="3453" t="s">
        <v>3868</v>
      </c>
      <c r="AL53" s="3453">
        <v>326000</v>
      </c>
      <c r="AM53" s="3453">
        <v>3646.3</v>
      </c>
      <c r="AN53" s="3453">
        <v>3646.3</v>
      </c>
      <c r="AO53" s="3453">
        <v>24861</v>
      </c>
      <c r="AP53" s="3453">
        <v>24861</v>
      </c>
      <c r="AQ53" s="3453" t="s">
        <v>3470</v>
      </c>
      <c r="AR53" s="3453" t="s">
        <v>3470</v>
      </c>
      <c r="AS53" s="3453">
        <v>0</v>
      </c>
      <c r="AT53" s="3453" t="s">
        <v>3869</v>
      </c>
      <c r="AU53" s="3453">
        <v>374900</v>
      </c>
      <c r="AV53" s="3453" t="s">
        <v>3505</v>
      </c>
      <c r="AW53" s="3453">
        <v>50000</v>
      </c>
      <c r="AX53" s="3453">
        <v>28590</v>
      </c>
      <c r="AY53" s="3453">
        <v>15</v>
      </c>
      <c r="AZ53" s="3453">
        <v>25139</v>
      </c>
      <c r="BA53" s="3453"/>
    </row>
    <row r="54" spans="1:53">
      <c r="A54" s="3453" t="s">
        <v>3922</v>
      </c>
      <c r="B54" s="3453" t="s">
        <v>3457</v>
      </c>
      <c r="C54" s="3453" t="s">
        <v>3923</v>
      </c>
      <c r="D54" s="3453" t="s">
        <v>3459</v>
      </c>
      <c r="E54" s="3453" t="s">
        <v>3655</v>
      </c>
      <c r="F54" s="3453" t="s">
        <v>3924</v>
      </c>
      <c r="G54" s="3453" t="s">
        <v>3818</v>
      </c>
      <c r="H54" s="3453" t="s">
        <v>3484</v>
      </c>
      <c r="I54" s="3453">
        <v>47200</v>
      </c>
      <c r="J54" s="3453">
        <v>119500</v>
      </c>
      <c r="K54" s="3453" t="s">
        <v>3925</v>
      </c>
      <c r="L54" s="3453" t="s">
        <v>3464</v>
      </c>
      <c r="M54" s="3453" t="s">
        <v>3926</v>
      </c>
      <c r="N54" s="3453" t="s">
        <v>3862</v>
      </c>
      <c r="O54" s="3453" t="s">
        <v>3467</v>
      </c>
      <c r="P54" s="3453" t="s">
        <v>3470</v>
      </c>
      <c r="Q54" s="3453" t="s">
        <v>3927</v>
      </c>
      <c r="R54" s="3453" t="s">
        <v>3813</v>
      </c>
      <c r="S54" s="3453" t="s">
        <v>3743</v>
      </c>
      <c r="T54" s="3453" t="s">
        <v>3895</v>
      </c>
      <c r="U54" s="3453" t="s">
        <v>3896</v>
      </c>
      <c r="V54" s="3453" t="s">
        <v>3470</v>
      </c>
      <c r="W54" s="3453" t="s">
        <v>3470</v>
      </c>
      <c r="X54" s="3453">
        <v>0</v>
      </c>
      <c r="Y54" s="3453">
        <v>0</v>
      </c>
      <c r="Z54" s="3454">
        <v>44568.000497685185</v>
      </c>
      <c r="AA54" s="3454">
        <v>44589.000497685185</v>
      </c>
      <c r="AB54" s="3454">
        <v>44608.000497685185</v>
      </c>
      <c r="AC54" s="3454">
        <v>44608.000497685185</v>
      </c>
      <c r="AD54" s="3453" t="s">
        <v>3928</v>
      </c>
      <c r="AE54" s="3453" t="s">
        <v>3472</v>
      </c>
      <c r="AF54" s="3453" t="s">
        <v>3570</v>
      </c>
      <c r="AG54" s="3453" t="s">
        <v>3571</v>
      </c>
      <c r="AH54" s="3453" t="s">
        <v>3493</v>
      </c>
      <c r="AI54" s="3453">
        <v>263000</v>
      </c>
      <c r="AJ54" s="3453">
        <v>53000</v>
      </c>
      <c r="AK54" s="3453" t="s">
        <v>3868</v>
      </c>
      <c r="AL54" s="3453">
        <v>263000</v>
      </c>
      <c r="AM54" s="3453">
        <v>3714.69</v>
      </c>
      <c r="AN54" s="3453">
        <v>3714.69</v>
      </c>
      <c r="AO54" s="3453">
        <v>22008</v>
      </c>
      <c r="AP54" s="3453">
        <v>22008</v>
      </c>
      <c r="AQ54" s="3453" t="s">
        <v>3470</v>
      </c>
      <c r="AR54" s="3453" t="s">
        <v>3470</v>
      </c>
      <c r="AS54" s="3453">
        <v>0</v>
      </c>
      <c r="AT54" s="3453" t="s">
        <v>3929</v>
      </c>
      <c r="AU54" s="3453">
        <v>302450</v>
      </c>
      <c r="AV54" s="3453" t="s">
        <v>3505</v>
      </c>
      <c r="AW54" s="3453">
        <v>85000</v>
      </c>
      <c r="AX54" s="3453">
        <v>25310</v>
      </c>
      <c r="AY54" s="3453">
        <v>15</v>
      </c>
      <c r="AZ54" s="3453">
        <v>62992</v>
      </c>
      <c r="BA54" s="3453"/>
    </row>
    <row r="55" spans="1:53" hidden="1">
      <c r="A55" s="3453" t="s">
        <v>3930</v>
      </c>
      <c r="B55" s="3453" t="s">
        <v>3457</v>
      </c>
      <c r="C55" s="3453" t="s">
        <v>3931</v>
      </c>
      <c r="D55" s="3453" t="s">
        <v>3459</v>
      </c>
      <c r="E55" s="3453" t="s">
        <v>3519</v>
      </c>
      <c r="F55" s="3453" t="s">
        <v>3932</v>
      </c>
      <c r="G55" s="3453" t="s">
        <v>3933</v>
      </c>
      <c r="H55" s="3453" t="s">
        <v>3484</v>
      </c>
      <c r="I55" s="3453">
        <v>78176.460000000006</v>
      </c>
      <c r="J55" s="3453">
        <v>178342.9</v>
      </c>
      <c r="K55" s="3453" t="s">
        <v>3934</v>
      </c>
      <c r="L55" s="3453" t="s">
        <v>3464</v>
      </c>
      <c r="M55" s="3453" t="s">
        <v>3935</v>
      </c>
      <c r="N55" s="3453" t="s">
        <v>3862</v>
      </c>
      <c r="O55" s="3453">
        <v>0</v>
      </c>
      <c r="P55" s="3453">
        <v>0.3</v>
      </c>
      <c r="Q55" s="3453" t="s">
        <v>3936</v>
      </c>
      <c r="R55" s="3453" t="s">
        <v>3937</v>
      </c>
      <c r="S55" s="3453" t="s">
        <v>3743</v>
      </c>
      <c r="T55" s="3453" t="s">
        <v>3470</v>
      </c>
      <c r="U55" s="3453" t="s">
        <v>3470</v>
      </c>
      <c r="V55" s="3453" t="s">
        <v>3470</v>
      </c>
      <c r="W55" s="3453">
        <v>0</v>
      </c>
      <c r="X55" s="3453">
        <v>0</v>
      </c>
      <c r="Y55" s="3453">
        <v>0</v>
      </c>
      <c r="Z55" s="3454">
        <v>44568.000497685185</v>
      </c>
      <c r="AA55" s="3454">
        <v>44589.000497685185</v>
      </c>
      <c r="AB55" s="3454">
        <v>44608.000497685185</v>
      </c>
      <c r="AC55" s="3454">
        <v>44608.000497685185</v>
      </c>
      <c r="AD55" s="3453" t="s">
        <v>3938</v>
      </c>
      <c r="AE55" s="3453" t="s">
        <v>3472</v>
      </c>
      <c r="AF55" s="3453" t="s">
        <v>3939</v>
      </c>
      <c r="AG55" s="3453" t="s">
        <v>3940</v>
      </c>
      <c r="AH55" s="3453" t="s">
        <v>3791</v>
      </c>
      <c r="AI55" s="3453">
        <v>482000</v>
      </c>
      <c r="AJ55" s="3453">
        <v>97000</v>
      </c>
      <c r="AK55" s="3453" t="s">
        <v>3868</v>
      </c>
      <c r="AL55" s="3453">
        <v>482000</v>
      </c>
      <c r="AM55" s="3453">
        <v>4110.3599999999997</v>
      </c>
      <c r="AN55" s="3453">
        <v>4110.3599999999997</v>
      </c>
      <c r="AO55" s="3453">
        <v>27027</v>
      </c>
      <c r="AP55" s="3453">
        <v>27027</v>
      </c>
      <c r="AQ55" s="3453" t="s">
        <v>3470</v>
      </c>
      <c r="AR55" s="3453" t="s">
        <v>3470</v>
      </c>
      <c r="AS55" s="3453">
        <v>0</v>
      </c>
      <c r="AT55" s="3453" t="s">
        <v>3941</v>
      </c>
      <c r="AU55" s="3453">
        <v>554300</v>
      </c>
      <c r="AV55" s="3453" t="s">
        <v>3505</v>
      </c>
      <c r="AW55" s="3453">
        <v>59000</v>
      </c>
      <c r="AX55" s="3453">
        <v>31081</v>
      </c>
      <c r="AY55" s="3453">
        <v>15</v>
      </c>
      <c r="AZ55" s="3453">
        <v>31973</v>
      </c>
      <c r="BA55" s="3453"/>
    </row>
    <row r="56" spans="1:53" hidden="1">
      <c r="A56" s="3453" t="s">
        <v>3942</v>
      </c>
      <c r="B56" s="3453" t="s">
        <v>3457</v>
      </c>
      <c r="C56" s="3453" t="s">
        <v>3943</v>
      </c>
      <c r="D56" s="3453" t="s">
        <v>3459</v>
      </c>
      <c r="E56" s="3453" t="s">
        <v>3481</v>
      </c>
      <c r="F56" s="3453" t="s">
        <v>3482</v>
      </c>
      <c r="G56" s="3453" t="s">
        <v>3621</v>
      </c>
      <c r="H56" s="3453" t="s">
        <v>3463</v>
      </c>
      <c r="I56" s="3453">
        <v>25642.1</v>
      </c>
      <c r="J56" s="3453">
        <v>71797.87</v>
      </c>
      <c r="K56" s="3453">
        <v>2.8</v>
      </c>
      <c r="L56" s="3453" t="s">
        <v>3464</v>
      </c>
      <c r="M56" s="3453" t="s">
        <v>3465</v>
      </c>
      <c r="N56" s="3453" t="s">
        <v>3862</v>
      </c>
      <c r="O56" s="3453">
        <v>0</v>
      </c>
      <c r="P56" s="3453" t="s">
        <v>3470</v>
      </c>
      <c r="Q56" s="3453">
        <v>80</v>
      </c>
      <c r="R56" s="3453" t="s">
        <v>3844</v>
      </c>
      <c r="S56" s="3453" t="s">
        <v>3837</v>
      </c>
      <c r="T56" s="3453" t="s">
        <v>3895</v>
      </c>
      <c r="U56" s="3453" t="s">
        <v>3896</v>
      </c>
      <c r="V56" s="3453" t="s">
        <v>3470</v>
      </c>
      <c r="W56" s="3453">
        <v>0</v>
      </c>
      <c r="X56" s="3453">
        <v>0</v>
      </c>
      <c r="Y56" s="3453">
        <v>0</v>
      </c>
      <c r="Z56" s="3454">
        <v>44568.000497685185</v>
      </c>
      <c r="AA56" s="3454">
        <v>44589.000497685185</v>
      </c>
      <c r="AB56" s="3454">
        <v>44608.000497685185</v>
      </c>
      <c r="AC56" s="3454">
        <v>44609.000497685185</v>
      </c>
      <c r="AD56" s="3453" t="s">
        <v>3944</v>
      </c>
      <c r="AE56" s="3453" t="s">
        <v>3472</v>
      </c>
      <c r="AF56" s="3453" t="s">
        <v>3945</v>
      </c>
      <c r="AG56" s="3453" t="s">
        <v>3625</v>
      </c>
      <c r="AH56" s="3453" t="s">
        <v>3493</v>
      </c>
      <c r="AI56" s="3453">
        <v>241000</v>
      </c>
      <c r="AJ56" s="3453">
        <v>49000</v>
      </c>
      <c r="AK56" s="3453" t="s">
        <v>3868</v>
      </c>
      <c r="AL56" s="3453">
        <v>277150</v>
      </c>
      <c r="AM56" s="3453">
        <v>6265.74</v>
      </c>
      <c r="AN56" s="3453">
        <v>7205.6</v>
      </c>
      <c r="AO56" s="3453">
        <v>33566</v>
      </c>
      <c r="AP56" s="3453">
        <v>38601</v>
      </c>
      <c r="AQ56" s="3453" t="s">
        <v>3470</v>
      </c>
      <c r="AR56" s="3453" t="s">
        <v>3470</v>
      </c>
      <c r="AS56" s="3453">
        <v>15</v>
      </c>
      <c r="AT56" s="3453" t="s">
        <v>3869</v>
      </c>
      <c r="AU56" s="3453">
        <v>277150</v>
      </c>
      <c r="AV56" s="3453" t="s">
        <v>3478</v>
      </c>
      <c r="AW56" s="3453">
        <v>62000</v>
      </c>
      <c r="AX56" s="3453">
        <v>38601</v>
      </c>
      <c r="AY56" s="3453">
        <v>15</v>
      </c>
      <c r="AZ56" s="3453">
        <v>28434</v>
      </c>
      <c r="BA56" s="3453"/>
    </row>
    <row r="57" spans="1:53">
      <c r="A57" s="3453" t="s">
        <v>3946</v>
      </c>
      <c r="B57" s="3453" t="s">
        <v>3457</v>
      </c>
      <c r="C57" s="3453" t="s">
        <v>3947</v>
      </c>
      <c r="D57" s="3453" t="s">
        <v>3459</v>
      </c>
      <c r="E57" s="3453" t="s">
        <v>3655</v>
      </c>
      <c r="F57" s="3453" t="s">
        <v>3775</v>
      </c>
      <c r="G57" s="3453" t="s">
        <v>3948</v>
      </c>
      <c r="H57" s="3453" t="s">
        <v>3484</v>
      </c>
      <c r="I57" s="3453">
        <v>33500</v>
      </c>
      <c r="J57" s="3453">
        <v>85400</v>
      </c>
      <c r="K57" s="3453" t="s">
        <v>3949</v>
      </c>
      <c r="L57" s="3453" t="s">
        <v>3464</v>
      </c>
      <c r="M57" s="3453" t="s">
        <v>3612</v>
      </c>
      <c r="N57" s="3453" t="s">
        <v>3862</v>
      </c>
      <c r="O57" s="3453" t="s">
        <v>3467</v>
      </c>
      <c r="P57" s="3453" t="s">
        <v>3470</v>
      </c>
      <c r="Q57" s="3453" t="s">
        <v>3950</v>
      </c>
      <c r="R57" s="3453" t="s">
        <v>3780</v>
      </c>
      <c r="S57" s="3453" t="s">
        <v>3743</v>
      </c>
      <c r="T57" s="3453" t="s">
        <v>3470</v>
      </c>
      <c r="U57" s="3453" t="s">
        <v>3470</v>
      </c>
      <c r="V57" s="3453" t="s">
        <v>3470</v>
      </c>
      <c r="W57" s="3453" t="s">
        <v>3470</v>
      </c>
      <c r="X57" s="3453">
        <v>0</v>
      </c>
      <c r="Y57" s="3453">
        <v>0</v>
      </c>
      <c r="Z57" s="3454">
        <v>44568.000497685185</v>
      </c>
      <c r="AA57" s="3454">
        <v>44589.000497685185</v>
      </c>
      <c r="AB57" s="3454">
        <v>44608.000497685185</v>
      </c>
      <c r="AC57" s="3454">
        <v>44609.000497685185</v>
      </c>
      <c r="AD57" s="3453" t="s">
        <v>3951</v>
      </c>
      <c r="AE57" s="3453" t="s">
        <v>3472</v>
      </c>
      <c r="AF57" s="3453" t="s">
        <v>3782</v>
      </c>
      <c r="AG57" s="3453" t="s">
        <v>3783</v>
      </c>
      <c r="AH57" s="3453" t="s">
        <v>3475</v>
      </c>
      <c r="AI57" s="3453">
        <v>544000</v>
      </c>
      <c r="AJ57" s="3453">
        <v>109000</v>
      </c>
      <c r="AK57" s="3453" t="s">
        <v>3868</v>
      </c>
      <c r="AL57" s="3453">
        <v>571200</v>
      </c>
      <c r="AM57" s="3453">
        <v>10825.87</v>
      </c>
      <c r="AN57" s="3453">
        <v>11367.16</v>
      </c>
      <c r="AO57" s="3453">
        <v>63700</v>
      </c>
      <c r="AP57" s="3453">
        <v>66885</v>
      </c>
      <c r="AQ57" s="3453" t="s">
        <v>3470</v>
      </c>
      <c r="AR57" s="3453" t="s">
        <v>3470</v>
      </c>
      <c r="AS57" s="3453">
        <v>5</v>
      </c>
      <c r="AT57" s="3453" t="s">
        <v>3907</v>
      </c>
      <c r="AU57" s="3453">
        <v>571200</v>
      </c>
      <c r="AV57" s="3453" t="s">
        <v>3478</v>
      </c>
      <c r="AW57" s="3453">
        <v>109000</v>
      </c>
      <c r="AX57" s="3453">
        <v>66885</v>
      </c>
      <c r="AY57" s="3453">
        <v>5</v>
      </c>
      <c r="AZ57" s="3453">
        <v>45300</v>
      </c>
      <c r="BA57" s="3453"/>
    </row>
    <row r="58" spans="1:53" hidden="1">
      <c r="A58" s="3453" t="s">
        <v>3952</v>
      </c>
      <c r="B58" s="3453" t="s">
        <v>3457</v>
      </c>
      <c r="C58" s="3453" t="s">
        <v>3953</v>
      </c>
      <c r="D58" s="3453" t="s">
        <v>3459</v>
      </c>
      <c r="E58" s="3453" t="s">
        <v>3519</v>
      </c>
      <c r="F58" s="3453" t="s">
        <v>3686</v>
      </c>
      <c r="G58" s="3453" t="s">
        <v>3687</v>
      </c>
      <c r="H58" s="3453" t="s">
        <v>3484</v>
      </c>
      <c r="I58" s="3453">
        <v>104108.28</v>
      </c>
      <c r="J58" s="3453">
        <v>211367.4</v>
      </c>
      <c r="K58" s="3453" t="s">
        <v>3954</v>
      </c>
      <c r="L58" s="3453" t="s">
        <v>3464</v>
      </c>
      <c r="M58" s="3453" t="s">
        <v>3955</v>
      </c>
      <c r="N58" s="3453" t="s">
        <v>3862</v>
      </c>
      <c r="O58" s="3453" t="s">
        <v>3467</v>
      </c>
      <c r="P58" s="3453" t="s">
        <v>3956</v>
      </c>
      <c r="Q58" s="3453" t="s">
        <v>3957</v>
      </c>
      <c r="R58" s="3453" t="s">
        <v>3937</v>
      </c>
      <c r="S58" s="3453" t="s">
        <v>3743</v>
      </c>
      <c r="T58" s="3453" t="s">
        <v>3470</v>
      </c>
      <c r="U58" s="3453" t="s">
        <v>3470</v>
      </c>
      <c r="V58" s="3453">
        <v>0</v>
      </c>
      <c r="W58" s="3453">
        <v>0</v>
      </c>
      <c r="X58" s="3453">
        <v>0</v>
      </c>
      <c r="Y58" s="3453">
        <v>0</v>
      </c>
      <c r="Z58" s="3454">
        <v>44568.000497685185</v>
      </c>
      <c r="AA58" s="3454">
        <v>44589.000497685185</v>
      </c>
      <c r="AB58" s="3454">
        <v>44608.000497685185</v>
      </c>
      <c r="AC58" s="3454">
        <v>44608.000497685185</v>
      </c>
      <c r="AD58" s="3453" t="s">
        <v>3958</v>
      </c>
      <c r="AE58" s="3453" t="s">
        <v>3472</v>
      </c>
      <c r="AF58" s="3453" t="s">
        <v>3959</v>
      </c>
      <c r="AG58" s="3453" t="s">
        <v>3960</v>
      </c>
      <c r="AH58" s="3453" t="s">
        <v>3584</v>
      </c>
      <c r="AI58" s="3453">
        <v>357000</v>
      </c>
      <c r="AJ58" s="3453">
        <v>72000</v>
      </c>
      <c r="AK58" s="3453" t="s">
        <v>3868</v>
      </c>
      <c r="AL58" s="3453">
        <v>357000</v>
      </c>
      <c r="AM58" s="3453">
        <v>2286.08</v>
      </c>
      <c r="AN58" s="3453">
        <v>2286.08</v>
      </c>
      <c r="AO58" s="3453">
        <v>16890</v>
      </c>
      <c r="AP58" s="3453">
        <v>16890</v>
      </c>
      <c r="AQ58" s="3453" t="s">
        <v>3470</v>
      </c>
      <c r="AR58" s="3453" t="s">
        <v>3470</v>
      </c>
      <c r="AS58" s="3453">
        <v>0</v>
      </c>
      <c r="AT58" s="3453" t="s">
        <v>3961</v>
      </c>
      <c r="AU58" s="3453">
        <v>410550</v>
      </c>
      <c r="AV58" s="3453" t="s">
        <v>3505</v>
      </c>
      <c r="AW58" s="3453">
        <v>66000</v>
      </c>
      <c r="AX58" s="3453">
        <v>19424</v>
      </c>
      <c r="AY58" s="3453">
        <v>15</v>
      </c>
      <c r="AZ58" s="3453">
        <v>49110</v>
      </c>
      <c r="BA58" s="3453"/>
    </row>
    <row r="59" spans="1:53" hidden="1">
      <c r="A59" s="3453" t="s">
        <v>3962</v>
      </c>
      <c r="B59" s="3453" t="s">
        <v>3457</v>
      </c>
      <c r="C59" s="3453" t="s">
        <v>3963</v>
      </c>
      <c r="D59" s="3453" t="s">
        <v>3459</v>
      </c>
      <c r="E59" s="3453" t="s">
        <v>3460</v>
      </c>
      <c r="F59" s="3453" t="s">
        <v>3786</v>
      </c>
      <c r="G59" s="3453" t="s">
        <v>3964</v>
      </c>
      <c r="H59" s="3453" t="s">
        <v>3463</v>
      </c>
      <c r="I59" s="3453">
        <v>36848.99</v>
      </c>
      <c r="J59" s="3453">
        <v>92122</v>
      </c>
      <c r="K59" s="3453">
        <v>2.5</v>
      </c>
      <c r="L59" s="3453" t="s">
        <v>3464</v>
      </c>
      <c r="M59" s="3453" t="s">
        <v>3465</v>
      </c>
      <c r="N59" s="3453" t="s">
        <v>3862</v>
      </c>
      <c r="O59" s="3453" t="s">
        <v>3467</v>
      </c>
      <c r="P59" s="3453" t="s">
        <v>3470</v>
      </c>
      <c r="Q59" s="3453">
        <v>45</v>
      </c>
      <c r="R59" s="3453" t="s">
        <v>3742</v>
      </c>
      <c r="S59" s="3453" t="s">
        <v>3743</v>
      </c>
      <c r="T59" s="3453" t="s">
        <v>3470</v>
      </c>
      <c r="U59" s="3453" t="s">
        <v>3470</v>
      </c>
      <c r="V59" s="3453">
        <v>0</v>
      </c>
      <c r="W59" s="3453">
        <v>0</v>
      </c>
      <c r="X59" s="3453">
        <v>0</v>
      </c>
      <c r="Y59" s="3453">
        <v>0</v>
      </c>
      <c r="Z59" s="3454">
        <v>44568.000497685185</v>
      </c>
      <c r="AA59" s="3454">
        <v>44589.000497685185</v>
      </c>
      <c r="AB59" s="3454">
        <v>44608.000497685185</v>
      </c>
      <c r="AC59" s="3454">
        <v>44609.000497685185</v>
      </c>
      <c r="AD59" s="3453" t="s">
        <v>3965</v>
      </c>
      <c r="AE59" s="3453" t="s">
        <v>3472</v>
      </c>
      <c r="AF59" s="3453" t="s">
        <v>3966</v>
      </c>
      <c r="AG59" s="3453" t="s">
        <v>3876</v>
      </c>
      <c r="AH59" s="3453" t="s">
        <v>3877</v>
      </c>
      <c r="AI59" s="3453">
        <v>392000</v>
      </c>
      <c r="AJ59" s="3453">
        <v>78500</v>
      </c>
      <c r="AK59" s="3453" t="s">
        <v>3868</v>
      </c>
      <c r="AL59" s="3453">
        <v>424000</v>
      </c>
      <c r="AM59" s="3453">
        <v>7092.01</v>
      </c>
      <c r="AN59" s="3453">
        <v>7670.95</v>
      </c>
      <c r="AO59" s="3453">
        <v>42552</v>
      </c>
      <c r="AP59" s="3453">
        <v>46026</v>
      </c>
      <c r="AQ59" s="3453" t="s">
        <v>3470</v>
      </c>
      <c r="AR59" s="3453" t="s">
        <v>3470</v>
      </c>
      <c r="AS59" s="3453">
        <v>8.16</v>
      </c>
      <c r="AT59" s="3453" t="s">
        <v>3869</v>
      </c>
      <c r="AU59" s="3453">
        <v>431200</v>
      </c>
      <c r="AV59" s="3453" t="s">
        <v>3505</v>
      </c>
      <c r="AW59" s="3453">
        <v>71000</v>
      </c>
      <c r="AX59" s="3453">
        <v>46807</v>
      </c>
      <c r="AY59" s="3453">
        <v>10</v>
      </c>
      <c r="AZ59" s="3453">
        <v>28448</v>
      </c>
      <c r="BA59" s="3453"/>
    </row>
    <row r="60" spans="1:53" hidden="1">
      <c r="A60" s="3453" t="s">
        <v>3967</v>
      </c>
      <c r="B60" s="3453" t="s">
        <v>3457</v>
      </c>
      <c r="C60" s="3453" t="s">
        <v>3968</v>
      </c>
      <c r="D60" s="3453" t="s">
        <v>3459</v>
      </c>
      <c r="E60" s="3453" t="s">
        <v>3534</v>
      </c>
      <c r="F60" s="3453" t="s">
        <v>3535</v>
      </c>
      <c r="G60" s="3453" t="s">
        <v>3969</v>
      </c>
      <c r="H60" s="3453" t="s">
        <v>3463</v>
      </c>
      <c r="I60" s="3453">
        <v>16391.759999999998</v>
      </c>
      <c r="J60" s="3453">
        <v>45896</v>
      </c>
      <c r="K60" s="3453">
        <v>2.8</v>
      </c>
      <c r="L60" s="3453" t="s">
        <v>3464</v>
      </c>
      <c r="M60" s="3453" t="s">
        <v>3465</v>
      </c>
      <c r="N60" s="3453" t="s">
        <v>3862</v>
      </c>
      <c r="O60" s="3453" t="s">
        <v>3467</v>
      </c>
      <c r="P60" s="3453" t="s">
        <v>3470</v>
      </c>
      <c r="Q60" s="3453">
        <v>60</v>
      </c>
      <c r="R60" s="3453" t="s">
        <v>3863</v>
      </c>
      <c r="S60" s="3453" t="s">
        <v>3837</v>
      </c>
      <c r="T60" s="3453" t="s">
        <v>3470</v>
      </c>
      <c r="U60" s="3453" t="s">
        <v>3470</v>
      </c>
      <c r="V60" s="3453">
        <v>0</v>
      </c>
      <c r="W60" s="3453">
        <v>0</v>
      </c>
      <c r="X60" s="3453">
        <v>0</v>
      </c>
      <c r="Y60" s="3453">
        <v>0</v>
      </c>
      <c r="Z60" s="3454">
        <v>44568.000497685185</v>
      </c>
      <c r="AA60" s="3454">
        <v>44589.000497685185</v>
      </c>
      <c r="AB60" s="3454">
        <v>44608.000497685185</v>
      </c>
      <c r="AC60" s="3454">
        <v>44609.000497685185</v>
      </c>
      <c r="AD60" s="3453" t="s">
        <v>3970</v>
      </c>
      <c r="AE60" s="3453" t="s">
        <v>3472</v>
      </c>
      <c r="AF60" s="3453" t="s">
        <v>3782</v>
      </c>
      <c r="AG60" s="3453" t="s">
        <v>3783</v>
      </c>
      <c r="AH60" s="3453" t="s">
        <v>3475</v>
      </c>
      <c r="AI60" s="3453">
        <v>227000</v>
      </c>
      <c r="AJ60" s="3453">
        <v>46000</v>
      </c>
      <c r="AK60" s="3453" t="s">
        <v>3868</v>
      </c>
      <c r="AL60" s="3453">
        <v>228200</v>
      </c>
      <c r="AM60" s="3453">
        <v>9232.2800000000007</v>
      </c>
      <c r="AN60" s="3453">
        <v>9281.09</v>
      </c>
      <c r="AO60" s="3453">
        <v>49460</v>
      </c>
      <c r="AP60" s="3453">
        <v>49721</v>
      </c>
      <c r="AQ60" s="3453" t="s">
        <v>3470</v>
      </c>
      <c r="AR60" s="3453" t="s">
        <v>3470</v>
      </c>
      <c r="AS60" s="3453">
        <v>0.53</v>
      </c>
      <c r="AT60" s="3453" t="s">
        <v>3869</v>
      </c>
      <c r="AU60" s="3453">
        <v>233810</v>
      </c>
      <c r="AV60" s="3453" t="s">
        <v>3505</v>
      </c>
      <c r="AW60" s="3453">
        <v>74800</v>
      </c>
      <c r="AX60" s="3453">
        <v>50943</v>
      </c>
      <c r="AY60" s="3453">
        <v>3</v>
      </c>
      <c r="AZ60" s="3453">
        <v>25340</v>
      </c>
      <c r="BA60" s="3453"/>
    </row>
    <row r="61" spans="1:53" hidden="1">
      <c r="A61" s="3453" t="s">
        <v>3971</v>
      </c>
      <c r="B61" s="3453" t="s">
        <v>3457</v>
      </c>
      <c r="C61" s="3453" t="s">
        <v>3972</v>
      </c>
      <c r="D61" s="3453" t="s">
        <v>3459</v>
      </c>
      <c r="E61" s="3453" t="s">
        <v>3973</v>
      </c>
      <c r="F61" s="3453" t="s">
        <v>3974</v>
      </c>
      <c r="G61" s="3453" t="s">
        <v>3975</v>
      </c>
      <c r="H61" s="3453" t="s">
        <v>3484</v>
      </c>
      <c r="I61" s="3453">
        <v>81740.06</v>
      </c>
      <c r="J61" s="3453">
        <v>112700</v>
      </c>
      <c r="K61" s="3453" t="s">
        <v>3976</v>
      </c>
      <c r="L61" s="3453" t="s">
        <v>3464</v>
      </c>
      <c r="M61" s="3453" t="s">
        <v>3977</v>
      </c>
      <c r="N61" s="3453" t="s">
        <v>3862</v>
      </c>
      <c r="O61" s="3453" t="s">
        <v>3467</v>
      </c>
      <c r="P61" s="3453" t="s">
        <v>3470</v>
      </c>
      <c r="Q61" s="3453" t="s">
        <v>3978</v>
      </c>
      <c r="R61" s="3453" t="s">
        <v>3979</v>
      </c>
      <c r="S61" s="3453" t="s">
        <v>3743</v>
      </c>
      <c r="T61" s="3453" t="s">
        <v>3470</v>
      </c>
      <c r="U61" s="3453" t="s">
        <v>3470</v>
      </c>
      <c r="V61" s="3453">
        <v>0</v>
      </c>
      <c r="W61" s="3453">
        <v>0</v>
      </c>
      <c r="X61" s="3453">
        <v>0</v>
      </c>
      <c r="Y61" s="3453">
        <v>0</v>
      </c>
      <c r="Z61" s="3454">
        <v>44568.000497685185</v>
      </c>
      <c r="AA61" s="3454">
        <v>44589.000497685185</v>
      </c>
      <c r="AB61" s="3454">
        <v>44608.000497685185</v>
      </c>
      <c r="AC61" s="3454">
        <v>44608.000497685185</v>
      </c>
      <c r="AD61" s="3453" t="s">
        <v>3980</v>
      </c>
      <c r="AE61" s="3453" t="s">
        <v>3472</v>
      </c>
      <c r="AF61" s="3453" t="s">
        <v>3981</v>
      </c>
      <c r="AG61" s="3453" t="s">
        <v>3982</v>
      </c>
      <c r="AH61" s="3453" t="s">
        <v>3493</v>
      </c>
      <c r="AI61" s="3453">
        <v>121000</v>
      </c>
      <c r="AJ61" s="3453">
        <v>25000</v>
      </c>
      <c r="AK61" s="3453" t="s">
        <v>3868</v>
      </c>
      <c r="AL61" s="3453">
        <v>121000</v>
      </c>
      <c r="AM61" s="3453">
        <v>986.87</v>
      </c>
      <c r="AN61" s="3453">
        <v>986.87</v>
      </c>
      <c r="AO61" s="3453">
        <v>10736</v>
      </c>
      <c r="AP61" s="3453">
        <v>10736</v>
      </c>
      <c r="AQ61" s="3453" t="s">
        <v>3470</v>
      </c>
      <c r="AR61" s="3453" t="s">
        <v>3470</v>
      </c>
      <c r="AS61" s="3453">
        <v>0</v>
      </c>
      <c r="AT61" s="3453" t="s">
        <v>3983</v>
      </c>
      <c r="AU61" s="3453">
        <v>139150</v>
      </c>
      <c r="AV61" s="3453" t="s">
        <v>3505</v>
      </c>
      <c r="AW61" s="3453">
        <v>37000</v>
      </c>
      <c r="AX61" s="3453">
        <v>12347</v>
      </c>
      <c r="AY61" s="3453">
        <v>15</v>
      </c>
      <c r="AZ61" s="3453">
        <v>26264</v>
      </c>
      <c r="BA61" s="3453"/>
    </row>
    <row r="62" spans="1:53" hidden="1">
      <c r="A62" s="3453" t="s">
        <v>3984</v>
      </c>
      <c r="B62" s="3453" t="s">
        <v>3457</v>
      </c>
      <c r="C62" s="3453" t="s">
        <v>3985</v>
      </c>
      <c r="D62" s="3453" t="s">
        <v>3459</v>
      </c>
      <c r="E62" s="3453" t="s">
        <v>3534</v>
      </c>
      <c r="F62" s="3453" t="s">
        <v>3662</v>
      </c>
      <c r="G62" s="3453" t="s">
        <v>3986</v>
      </c>
      <c r="H62" s="3453" t="s">
        <v>3484</v>
      </c>
      <c r="I62" s="3453">
        <v>73667.25</v>
      </c>
      <c r="J62" s="3453">
        <v>93794</v>
      </c>
      <c r="K62" s="3453" t="s">
        <v>3987</v>
      </c>
      <c r="L62" s="3453" t="s">
        <v>3464</v>
      </c>
      <c r="M62" s="3453" t="s">
        <v>3988</v>
      </c>
      <c r="N62" s="3453" t="s">
        <v>3862</v>
      </c>
      <c r="O62" s="3453">
        <v>21.87</v>
      </c>
      <c r="P62" s="3453" t="s">
        <v>3470</v>
      </c>
      <c r="Q62" s="3453" t="s">
        <v>3989</v>
      </c>
      <c r="R62" s="3453" t="s">
        <v>3742</v>
      </c>
      <c r="S62" s="3453" t="s">
        <v>3743</v>
      </c>
      <c r="T62" s="3453" t="s">
        <v>3470</v>
      </c>
      <c r="U62" s="3453" t="s">
        <v>3470</v>
      </c>
      <c r="V62" s="3453">
        <v>0</v>
      </c>
      <c r="W62" s="3453">
        <v>0</v>
      </c>
      <c r="X62" s="3453">
        <v>0</v>
      </c>
      <c r="Y62" s="3453">
        <v>0</v>
      </c>
      <c r="Z62" s="3454">
        <v>44568.000497685185</v>
      </c>
      <c r="AA62" s="3454">
        <v>44589.000497685185</v>
      </c>
      <c r="AB62" s="3454">
        <v>44608.000497685185</v>
      </c>
      <c r="AC62" s="3454">
        <v>44609.000497685185</v>
      </c>
      <c r="AD62" s="3453" t="s">
        <v>3990</v>
      </c>
      <c r="AE62" s="3453" t="s">
        <v>3472</v>
      </c>
      <c r="AF62" s="3453" t="s">
        <v>3865</v>
      </c>
      <c r="AG62" s="3453" t="s">
        <v>3866</v>
      </c>
      <c r="AH62" s="3453" t="s">
        <v>3867</v>
      </c>
      <c r="AI62" s="3453">
        <v>377000</v>
      </c>
      <c r="AJ62" s="3453">
        <v>76000</v>
      </c>
      <c r="AK62" s="3453" t="s">
        <v>3868</v>
      </c>
      <c r="AL62" s="3453">
        <v>401700</v>
      </c>
      <c r="AM62" s="3453">
        <v>3411.74</v>
      </c>
      <c r="AN62" s="3453">
        <v>3635.27</v>
      </c>
      <c r="AO62" s="3453">
        <v>40194</v>
      </c>
      <c r="AP62" s="3453">
        <v>42828</v>
      </c>
      <c r="AQ62" s="3453" t="s">
        <v>3470</v>
      </c>
      <c r="AR62" s="3453" t="s">
        <v>3470</v>
      </c>
      <c r="AS62" s="3453">
        <v>6.55</v>
      </c>
      <c r="AT62" s="3453" t="s">
        <v>3991</v>
      </c>
      <c r="AU62" s="3453">
        <v>414700</v>
      </c>
      <c r="AV62" s="3453" t="s">
        <v>3505</v>
      </c>
      <c r="AW62" s="3453">
        <v>91500</v>
      </c>
      <c r="AX62" s="3453">
        <v>44214</v>
      </c>
      <c r="AY62" s="3453">
        <v>10</v>
      </c>
      <c r="AZ62" s="3453">
        <v>51306</v>
      </c>
      <c r="BA62" s="3453"/>
    </row>
    <row r="63" spans="1:53" hidden="1">
      <c r="A63" s="3453" t="s">
        <v>3992</v>
      </c>
      <c r="B63" s="3453" t="s">
        <v>3457</v>
      </c>
      <c r="C63" s="3453" t="s">
        <v>3993</v>
      </c>
      <c r="D63" s="3453" t="s">
        <v>3459</v>
      </c>
      <c r="E63" s="3453" t="s">
        <v>3460</v>
      </c>
      <c r="F63" s="3453" t="s">
        <v>3994</v>
      </c>
      <c r="G63" s="3453" t="s">
        <v>3995</v>
      </c>
      <c r="H63" s="3453" t="s">
        <v>3484</v>
      </c>
      <c r="I63" s="3453">
        <v>12533.84</v>
      </c>
      <c r="J63" s="3453">
        <v>40108</v>
      </c>
      <c r="K63" s="3453">
        <v>3.2</v>
      </c>
      <c r="L63" s="3453" t="s">
        <v>3464</v>
      </c>
      <c r="M63" s="3453" t="s">
        <v>3996</v>
      </c>
      <c r="N63" s="3453" t="s">
        <v>3997</v>
      </c>
      <c r="O63" s="3453">
        <v>22.44</v>
      </c>
      <c r="P63" s="3453" t="s">
        <v>3470</v>
      </c>
      <c r="Q63" s="3453">
        <v>80</v>
      </c>
      <c r="R63" s="3453" t="s">
        <v>3885</v>
      </c>
      <c r="S63" s="3453" t="s">
        <v>3743</v>
      </c>
      <c r="T63" s="3453" t="s">
        <v>3470</v>
      </c>
      <c r="U63" s="3453" t="s">
        <v>3470</v>
      </c>
      <c r="V63" s="3453" t="s">
        <v>3470</v>
      </c>
      <c r="W63" s="3453" t="s">
        <v>3470</v>
      </c>
      <c r="X63" s="3453">
        <v>0</v>
      </c>
      <c r="Y63" s="3453">
        <v>0</v>
      </c>
      <c r="Z63" s="3454">
        <v>44519.000497685185</v>
      </c>
      <c r="AA63" s="3454">
        <v>44540.000497685185</v>
      </c>
      <c r="AB63" s="3454">
        <v>44554.000497685185</v>
      </c>
      <c r="AC63" s="3454">
        <v>44554.000497685185</v>
      </c>
      <c r="AD63" s="3453" t="s">
        <v>3998</v>
      </c>
      <c r="AE63" s="3453" t="s">
        <v>3472</v>
      </c>
      <c r="AF63" s="3453" t="s">
        <v>3999</v>
      </c>
      <c r="AG63" s="3453" t="s">
        <v>4000</v>
      </c>
      <c r="AH63" s="3453" t="s">
        <v>3475</v>
      </c>
      <c r="AI63" s="3453">
        <v>114000</v>
      </c>
      <c r="AJ63" s="3453">
        <v>23000</v>
      </c>
      <c r="AK63" s="3453" t="s">
        <v>4001</v>
      </c>
      <c r="AL63" s="3453">
        <v>114000</v>
      </c>
      <c r="AM63" s="3453">
        <v>6063.58</v>
      </c>
      <c r="AN63" s="3453">
        <v>6063.58</v>
      </c>
      <c r="AO63" s="3453">
        <v>28423</v>
      </c>
      <c r="AP63" s="3453">
        <v>28423</v>
      </c>
      <c r="AQ63" s="3453" t="s">
        <v>3470</v>
      </c>
      <c r="AR63" s="3453" t="s">
        <v>3470</v>
      </c>
      <c r="AS63" s="3453">
        <v>0</v>
      </c>
      <c r="AT63" s="3453" t="s">
        <v>4002</v>
      </c>
      <c r="AU63" s="3453">
        <v>131100</v>
      </c>
      <c r="AV63" s="3453" t="s">
        <v>3505</v>
      </c>
      <c r="AW63" s="3453">
        <v>106600</v>
      </c>
      <c r="AX63" s="3453">
        <v>32687</v>
      </c>
      <c r="AY63" s="3453">
        <v>15</v>
      </c>
      <c r="AZ63" s="3453">
        <v>78177</v>
      </c>
      <c r="BA63" s="3453"/>
    </row>
    <row r="64" spans="1:53" hidden="1">
      <c r="A64" s="3453" t="s">
        <v>4003</v>
      </c>
      <c r="B64" s="3453" t="s">
        <v>3457</v>
      </c>
      <c r="C64" s="3453" t="s">
        <v>4004</v>
      </c>
      <c r="D64" s="3453" t="s">
        <v>3459</v>
      </c>
      <c r="E64" s="3453" t="s">
        <v>4005</v>
      </c>
      <c r="F64" s="3453" t="s">
        <v>4006</v>
      </c>
      <c r="G64" s="3453" t="s">
        <v>4007</v>
      </c>
      <c r="H64" s="3453" t="s">
        <v>3463</v>
      </c>
      <c r="I64" s="3453">
        <v>13180.14</v>
      </c>
      <c r="J64" s="3453">
        <v>23720</v>
      </c>
      <c r="K64" s="3453">
        <v>1.8</v>
      </c>
      <c r="L64" s="3453" t="s">
        <v>3464</v>
      </c>
      <c r="M64" s="3453" t="s">
        <v>3465</v>
      </c>
      <c r="N64" s="3453" t="s">
        <v>3997</v>
      </c>
      <c r="O64" s="3453" t="s">
        <v>3467</v>
      </c>
      <c r="P64" s="3453" t="s">
        <v>3470</v>
      </c>
      <c r="Q64" s="3453">
        <v>18</v>
      </c>
      <c r="R64" s="3453" t="s">
        <v>3979</v>
      </c>
      <c r="S64" s="3453" t="s">
        <v>3743</v>
      </c>
      <c r="T64" s="3453" t="s">
        <v>3470</v>
      </c>
      <c r="U64" s="3453" t="s">
        <v>3470</v>
      </c>
      <c r="V64" s="3453" t="s">
        <v>3470</v>
      </c>
      <c r="W64" s="3453" t="s">
        <v>3470</v>
      </c>
      <c r="X64" s="3453">
        <v>0</v>
      </c>
      <c r="Y64" s="3453">
        <v>0</v>
      </c>
      <c r="Z64" s="3454">
        <v>44519.000497685185</v>
      </c>
      <c r="AA64" s="3454">
        <v>44540.000497685185</v>
      </c>
      <c r="AB64" s="3454">
        <v>44554.000497685185</v>
      </c>
      <c r="AC64" s="3454">
        <v>44554.000497685185</v>
      </c>
      <c r="AD64" s="3453" t="s">
        <v>4008</v>
      </c>
      <c r="AE64" s="3453" t="s">
        <v>3472</v>
      </c>
      <c r="AF64" s="3453" t="s">
        <v>4009</v>
      </c>
      <c r="AG64" s="3453" t="s">
        <v>4010</v>
      </c>
      <c r="AH64" s="3453" t="s">
        <v>3475</v>
      </c>
      <c r="AI64" s="3453">
        <v>39000</v>
      </c>
      <c r="AJ64" s="3453">
        <v>8000</v>
      </c>
      <c r="AK64" s="3453" t="s">
        <v>4001</v>
      </c>
      <c r="AL64" s="3453">
        <v>39000</v>
      </c>
      <c r="AM64" s="3453">
        <v>1972.66</v>
      </c>
      <c r="AN64" s="3453">
        <v>1972.66</v>
      </c>
      <c r="AO64" s="3453">
        <v>16442</v>
      </c>
      <c r="AP64" s="3453">
        <v>16442</v>
      </c>
      <c r="AQ64" s="3453" t="s">
        <v>3470</v>
      </c>
      <c r="AR64" s="3453" t="s">
        <v>3470</v>
      </c>
      <c r="AS64" s="3453">
        <v>0</v>
      </c>
      <c r="AT64" s="3453" t="s">
        <v>4011</v>
      </c>
      <c r="AU64" s="3453">
        <v>44850</v>
      </c>
      <c r="AV64" s="3453" t="s">
        <v>3505</v>
      </c>
      <c r="AW64" s="3453">
        <v>35000</v>
      </c>
      <c r="AX64" s="3453">
        <v>18908</v>
      </c>
      <c r="AY64" s="3453">
        <v>15</v>
      </c>
      <c r="AZ64" s="3453">
        <v>18558</v>
      </c>
      <c r="BA64" s="3453"/>
    </row>
    <row r="65" spans="1:53" hidden="1">
      <c r="A65" s="3453" t="s">
        <v>4012</v>
      </c>
      <c r="B65" s="3453" t="s">
        <v>3457</v>
      </c>
      <c r="C65" s="3453" t="s">
        <v>4013</v>
      </c>
      <c r="D65" s="3453" t="s">
        <v>3459</v>
      </c>
      <c r="E65" s="3453" t="s">
        <v>3460</v>
      </c>
      <c r="F65" s="3453" t="s">
        <v>3565</v>
      </c>
      <c r="G65" s="3453" t="s">
        <v>4014</v>
      </c>
      <c r="H65" s="3453" t="s">
        <v>3463</v>
      </c>
      <c r="I65" s="3453">
        <v>57220.14</v>
      </c>
      <c r="J65" s="3453">
        <v>132000</v>
      </c>
      <c r="K65" s="3453">
        <v>2.2999999999999998</v>
      </c>
      <c r="L65" s="3453" t="s">
        <v>3464</v>
      </c>
      <c r="M65" s="3453" t="s">
        <v>3465</v>
      </c>
      <c r="N65" s="3453" t="s">
        <v>3997</v>
      </c>
      <c r="O65" s="3453" t="s">
        <v>3467</v>
      </c>
      <c r="P65" s="3453" t="s">
        <v>3470</v>
      </c>
      <c r="Q65" s="3453">
        <v>80</v>
      </c>
      <c r="R65" s="3453" t="s">
        <v>3979</v>
      </c>
      <c r="S65" s="3453" t="s">
        <v>3743</v>
      </c>
      <c r="T65" s="3453" t="s">
        <v>3895</v>
      </c>
      <c r="U65" s="3453" t="s">
        <v>3896</v>
      </c>
      <c r="V65" s="3453" t="s">
        <v>3470</v>
      </c>
      <c r="W65" s="3453" t="s">
        <v>3470</v>
      </c>
      <c r="X65" s="3453">
        <v>0</v>
      </c>
      <c r="Y65" s="3453">
        <v>0</v>
      </c>
      <c r="Z65" s="3454">
        <v>44519.000497685185</v>
      </c>
      <c r="AA65" s="3454">
        <v>44540.000497685185</v>
      </c>
      <c r="AB65" s="3454">
        <v>44554.000497685185</v>
      </c>
      <c r="AC65" s="3454">
        <v>44554.000497685185</v>
      </c>
      <c r="AD65" s="3453" t="s">
        <v>4015</v>
      </c>
      <c r="AE65" s="3453" t="s">
        <v>3472</v>
      </c>
      <c r="AF65" s="3453" t="s">
        <v>4016</v>
      </c>
      <c r="AG65" s="3453" t="s">
        <v>4017</v>
      </c>
      <c r="AH65" s="3453" t="s">
        <v>3493</v>
      </c>
      <c r="AI65" s="3453">
        <v>561000</v>
      </c>
      <c r="AJ65" s="3453">
        <v>112200</v>
      </c>
      <c r="AK65" s="3453" t="s">
        <v>4001</v>
      </c>
      <c r="AL65" s="3453">
        <v>561000</v>
      </c>
      <c r="AM65" s="3453">
        <v>6536.16</v>
      </c>
      <c r="AN65" s="3453">
        <v>6536.16</v>
      </c>
      <c r="AO65" s="3453">
        <v>42500</v>
      </c>
      <c r="AP65" s="3453">
        <v>42500</v>
      </c>
      <c r="AQ65" s="3453" t="s">
        <v>3470</v>
      </c>
      <c r="AR65" s="3453" t="s">
        <v>3470</v>
      </c>
      <c r="AS65" s="3453">
        <v>0</v>
      </c>
      <c r="AT65" s="3453" t="s">
        <v>4018</v>
      </c>
      <c r="AU65" s="3453">
        <v>589050</v>
      </c>
      <c r="AV65" s="3453" t="s">
        <v>3505</v>
      </c>
      <c r="AW65" s="3453">
        <v>81000</v>
      </c>
      <c r="AX65" s="3453">
        <v>44625</v>
      </c>
      <c r="AY65" s="3453">
        <v>5</v>
      </c>
      <c r="AZ65" s="3453">
        <v>38500</v>
      </c>
      <c r="BA65" s="3453"/>
    </row>
    <row r="66" spans="1:53" hidden="1">
      <c r="A66" s="3453" t="s">
        <v>4019</v>
      </c>
      <c r="B66" s="3453" t="s">
        <v>3457</v>
      </c>
      <c r="C66" s="3453" t="s">
        <v>4020</v>
      </c>
      <c r="D66" s="3453" t="s">
        <v>3459</v>
      </c>
      <c r="E66" s="3453" t="s">
        <v>3460</v>
      </c>
      <c r="F66" s="3453" t="s">
        <v>3565</v>
      </c>
      <c r="G66" s="3453" t="s">
        <v>4014</v>
      </c>
      <c r="H66" s="3453" t="s">
        <v>3463</v>
      </c>
      <c r="I66" s="3453">
        <v>76681.88</v>
      </c>
      <c r="J66" s="3453">
        <v>137000</v>
      </c>
      <c r="K66" s="3453">
        <v>1.8</v>
      </c>
      <c r="L66" s="3453" t="s">
        <v>3464</v>
      </c>
      <c r="M66" s="3453" t="s">
        <v>3465</v>
      </c>
      <c r="N66" s="3453" t="s">
        <v>3997</v>
      </c>
      <c r="O66" s="3453" t="s">
        <v>3467</v>
      </c>
      <c r="P66" s="3453" t="s">
        <v>3470</v>
      </c>
      <c r="Q66" s="3453">
        <v>80</v>
      </c>
      <c r="R66" s="3453" t="s">
        <v>3979</v>
      </c>
      <c r="S66" s="3453" t="s">
        <v>3743</v>
      </c>
      <c r="T66" s="3453" t="s">
        <v>3470</v>
      </c>
      <c r="U66" s="3453" t="s">
        <v>3470</v>
      </c>
      <c r="V66" s="3453" t="s">
        <v>3470</v>
      </c>
      <c r="W66" s="3453" t="s">
        <v>3470</v>
      </c>
      <c r="X66" s="3453">
        <v>0</v>
      </c>
      <c r="Y66" s="3453">
        <v>0</v>
      </c>
      <c r="Z66" s="3454">
        <v>44519.000497685185</v>
      </c>
      <c r="AA66" s="3454">
        <v>44540.000497685185</v>
      </c>
      <c r="AB66" s="3454">
        <v>44554.000497685185</v>
      </c>
      <c r="AC66" s="3454">
        <v>44554.000497685185</v>
      </c>
      <c r="AD66" s="3453" t="s">
        <v>4021</v>
      </c>
      <c r="AE66" s="3453" t="s">
        <v>3472</v>
      </c>
      <c r="AF66" s="3453" t="s">
        <v>4016</v>
      </c>
      <c r="AG66" s="3453" t="s">
        <v>4017</v>
      </c>
      <c r="AH66" s="3453" t="s">
        <v>3493</v>
      </c>
      <c r="AI66" s="3453">
        <v>707000</v>
      </c>
      <c r="AJ66" s="3453">
        <v>142000</v>
      </c>
      <c r="AK66" s="3453" t="s">
        <v>4001</v>
      </c>
      <c r="AL66" s="3453">
        <v>707000</v>
      </c>
      <c r="AM66" s="3453">
        <v>6146.61</v>
      </c>
      <c r="AN66" s="3453">
        <v>6146.61</v>
      </c>
      <c r="AO66" s="3453">
        <v>51606</v>
      </c>
      <c r="AP66" s="3453">
        <v>51606</v>
      </c>
      <c r="AQ66" s="3453" t="s">
        <v>3470</v>
      </c>
      <c r="AR66" s="3453" t="s">
        <v>3470</v>
      </c>
      <c r="AS66" s="3453">
        <v>0</v>
      </c>
      <c r="AT66" s="3453" t="s">
        <v>4022</v>
      </c>
      <c r="AU66" s="3453">
        <v>742350</v>
      </c>
      <c r="AV66" s="3453" t="s">
        <v>3505</v>
      </c>
      <c r="AW66" s="3453">
        <v>86000</v>
      </c>
      <c r="AX66" s="3453">
        <v>54186</v>
      </c>
      <c r="AY66" s="3453">
        <v>5</v>
      </c>
      <c r="AZ66" s="3453">
        <v>34394</v>
      </c>
      <c r="BA66" s="3453"/>
    </row>
    <row r="67" spans="1:53" hidden="1">
      <c r="A67" s="3453" t="s">
        <v>4023</v>
      </c>
      <c r="B67" s="3453" t="s">
        <v>3457</v>
      </c>
      <c r="C67" s="3453" t="s">
        <v>4024</v>
      </c>
      <c r="D67" s="3453" t="s">
        <v>3459</v>
      </c>
      <c r="E67" s="3453" t="s">
        <v>3460</v>
      </c>
      <c r="F67" s="3453" t="s">
        <v>4025</v>
      </c>
      <c r="G67" s="3453" t="s">
        <v>4026</v>
      </c>
      <c r="H67" s="3453" t="s">
        <v>3463</v>
      </c>
      <c r="I67" s="3453">
        <v>21711.13</v>
      </c>
      <c r="J67" s="3453">
        <v>47764</v>
      </c>
      <c r="K67" s="3453">
        <v>2.2000000000000002</v>
      </c>
      <c r="L67" s="3453" t="s">
        <v>3464</v>
      </c>
      <c r="M67" s="3453" t="s">
        <v>3465</v>
      </c>
      <c r="N67" s="3453" t="s">
        <v>3997</v>
      </c>
      <c r="O67" s="3453" t="s">
        <v>3467</v>
      </c>
      <c r="P67" s="3453" t="s">
        <v>3470</v>
      </c>
      <c r="Q67" s="3453">
        <v>45</v>
      </c>
      <c r="R67" s="3453" t="s">
        <v>3979</v>
      </c>
      <c r="S67" s="3453" t="s">
        <v>3743</v>
      </c>
      <c r="T67" s="3453" t="s">
        <v>3470</v>
      </c>
      <c r="U67" s="3453" t="s">
        <v>3470</v>
      </c>
      <c r="V67" s="3453" t="s">
        <v>3470</v>
      </c>
      <c r="W67" s="3453" t="s">
        <v>3470</v>
      </c>
      <c r="X67" s="3453">
        <v>0</v>
      </c>
      <c r="Y67" s="3453">
        <v>0</v>
      </c>
      <c r="Z67" s="3454">
        <v>44519.000497685185</v>
      </c>
      <c r="AA67" s="3454">
        <v>44540.000497685185</v>
      </c>
      <c r="AB67" s="3454">
        <v>44554.000497685185</v>
      </c>
      <c r="AC67" s="3454">
        <v>44554.000497685185</v>
      </c>
      <c r="AD67" s="3453" t="s">
        <v>4027</v>
      </c>
      <c r="AE67" s="3453" t="s">
        <v>3472</v>
      </c>
      <c r="AF67" s="3453" t="s">
        <v>4028</v>
      </c>
      <c r="AG67" s="3453" t="s">
        <v>4029</v>
      </c>
      <c r="AH67" s="3453" t="s">
        <v>3634</v>
      </c>
      <c r="AI67" s="3453">
        <v>208000</v>
      </c>
      <c r="AJ67" s="3453">
        <v>42000</v>
      </c>
      <c r="AK67" s="3453" t="s">
        <v>4001</v>
      </c>
      <c r="AL67" s="3453">
        <v>208000</v>
      </c>
      <c r="AM67" s="3453">
        <v>6386.89</v>
      </c>
      <c r="AN67" s="3453">
        <v>6386.89</v>
      </c>
      <c r="AO67" s="3453">
        <v>43547</v>
      </c>
      <c r="AP67" s="3453">
        <v>43547</v>
      </c>
      <c r="AQ67" s="3453" t="s">
        <v>3470</v>
      </c>
      <c r="AR67" s="3453" t="s">
        <v>3470</v>
      </c>
      <c r="AS67" s="3453">
        <v>0</v>
      </c>
      <c r="AT67" s="3453" t="s">
        <v>4030</v>
      </c>
      <c r="AU67" s="3453">
        <v>218400</v>
      </c>
      <c r="AV67" s="3453" t="s">
        <v>3505</v>
      </c>
      <c r="AW67" s="3453">
        <v>69800</v>
      </c>
      <c r="AX67" s="3453">
        <v>45725</v>
      </c>
      <c r="AY67" s="3453">
        <v>5</v>
      </c>
      <c r="AZ67" s="3453">
        <v>26253</v>
      </c>
      <c r="BA67" s="3453"/>
    </row>
    <row r="68" spans="1:53" hidden="1">
      <c r="A68" s="3453" t="s">
        <v>4031</v>
      </c>
      <c r="B68" s="3453" t="s">
        <v>3457</v>
      </c>
      <c r="C68" s="3453" t="s">
        <v>4032</v>
      </c>
      <c r="D68" s="3453" t="s">
        <v>3459</v>
      </c>
      <c r="E68" s="3453" t="s">
        <v>3670</v>
      </c>
      <c r="F68" s="3453" t="s">
        <v>3679</v>
      </c>
      <c r="G68" s="3453" t="s">
        <v>3680</v>
      </c>
      <c r="H68" s="3453" t="s">
        <v>3463</v>
      </c>
      <c r="I68" s="3453">
        <v>103325.51</v>
      </c>
      <c r="J68" s="3453">
        <v>200222.03</v>
      </c>
      <c r="K68" s="3453">
        <v>2</v>
      </c>
      <c r="L68" s="3453" t="s">
        <v>3464</v>
      </c>
      <c r="M68" s="3453" t="s">
        <v>3465</v>
      </c>
      <c r="N68" s="3453" t="s">
        <v>3997</v>
      </c>
      <c r="O68" s="3453" t="s">
        <v>3467</v>
      </c>
      <c r="P68" s="3453" t="s">
        <v>3470</v>
      </c>
      <c r="Q68" s="3453">
        <v>30</v>
      </c>
      <c r="R68" s="3453" t="s">
        <v>3813</v>
      </c>
      <c r="S68" s="3453" t="s">
        <v>3743</v>
      </c>
      <c r="T68" s="3453" t="s">
        <v>3470</v>
      </c>
      <c r="U68" s="3453" t="s">
        <v>3470</v>
      </c>
      <c r="V68" s="3453" t="s">
        <v>3470</v>
      </c>
      <c r="W68" s="3453" t="s">
        <v>3470</v>
      </c>
      <c r="X68" s="3453">
        <v>0</v>
      </c>
      <c r="Y68" s="3453">
        <v>0</v>
      </c>
      <c r="Z68" s="3454">
        <v>44519.000497685185</v>
      </c>
      <c r="AA68" s="3454">
        <v>44540.000497685185</v>
      </c>
      <c r="AB68" s="3454">
        <v>44554.000497685185</v>
      </c>
      <c r="AC68" s="3454">
        <v>44554.000497685185</v>
      </c>
      <c r="AD68" s="3453" t="s">
        <v>4033</v>
      </c>
      <c r="AE68" s="3453" t="s">
        <v>3472</v>
      </c>
      <c r="AF68" s="3453" t="s">
        <v>4034</v>
      </c>
      <c r="AG68" s="3453" t="s">
        <v>4035</v>
      </c>
      <c r="AH68" s="3453" t="s">
        <v>4036</v>
      </c>
      <c r="AI68" s="3453">
        <v>207000</v>
      </c>
      <c r="AJ68" s="3453">
        <v>42000</v>
      </c>
      <c r="AK68" s="3453" t="s">
        <v>4001</v>
      </c>
      <c r="AL68" s="3453">
        <v>207000</v>
      </c>
      <c r="AM68" s="3453">
        <v>1335.58</v>
      </c>
      <c r="AN68" s="3453">
        <v>1335.58</v>
      </c>
      <c r="AO68" s="3453">
        <v>10339</v>
      </c>
      <c r="AP68" s="3453">
        <v>10339</v>
      </c>
      <c r="AQ68" s="3453" t="s">
        <v>3470</v>
      </c>
      <c r="AR68" s="3453" t="s">
        <v>3470</v>
      </c>
      <c r="AS68" s="3453">
        <v>0</v>
      </c>
      <c r="AT68" s="3453" t="s">
        <v>4022</v>
      </c>
      <c r="AU68" s="3453">
        <v>238050</v>
      </c>
      <c r="AV68" s="3453" t="s">
        <v>3505</v>
      </c>
      <c r="AW68" s="3453">
        <v>30000</v>
      </c>
      <c r="AX68" s="3453">
        <v>11889</v>
      </c>
      <c r="AY68" s="3453">
        <v>15</v>
      </c>
      <c r="AZ68" s="3453">
        <v>19661</v>
      </c>
      <c r="BA68" s="3453"/>
    </row>
    <row r="69" spans="1:53" hidden="1">
      <c r="A69" s="3453" t="s">
        <v>4037</v>
      </c>
      <c r="B69" s="3453" t="s">
        <v>3457</v>
      </c>
      <c r="C69" s="3453" t="s">
        <v>4038</v>
      </c>
      <c r="D69" s="3453" t="s">
        <v>3459</v>
      </c>
      <c r="E69" s="3453" t="s">
        <v>3497</v>
      </c>
      <c r="F69" s="3453" t="s">
        <v>3498</v>
      </c>
      <c r="G69" s="3453" t="s">
        <v>4039</v>
      </c>
      <c r="H69" s="3453" t="s">
        <v>3463</v>
      </c>
      <c r="I69" s="3453">
        <v>45509.77</v>
      </c>
      <c r="J69" s="3453">
        <v>113774</v>
      </c>
      <c r="K69" s="3453">
        <v>2.5</v>
      </c>
      <c r="L69" s="3453" t="s">
        <v>3464</v>
      </c>
      <c r="M69" s="3453" t="s">
        <v>3465</v>
      </c>
      <c r="N69" s="3453" t="s">
        <v>3997</v>
      </c>
      <c r="O69" s="3453" t="s">
        <v>3467</v>
      </c>
      <c r="P69" s="3453">
        <v>0.25</v>
      </c>
      <c r="Q69" s="3453">
        <v>45</v>
      </c>
      <c r="R69" s="3453" t="s">
        <v>3742</v>
      </c>
      <c r="S69" s="3453" t="s">
        <v>3979</v>
      </c>
      <c r="T69" s="3453" t="s">
        <v>4040</v>
      </c>
      <c r="U69" s="3453" t="s">
        <v>3896</v>
      </c>
      <c r="V69" s="3453" t="s">
        <v>3470</v>
      </c>
      <c r="W69" s="3453" t="s">
        <v>3470</v>
      </c>
      <c r="X69" s="3453">
        <v>0</v>
      </c>
      <c r="Y69" s="3453">
        <v>0</v>
      </c>
      <c r="Z69" s="3454">
        <v>44519.000497685185</v>
      </c>
      <c r="AA69" s="3454">
        <v>44540.000497685185</v>
      </c>
      <c r="AB69" s="3454">
        <v>44554.000497685185</v>
      </c>
      <c r="AC69" s="3454">
        <v>44557.000497685185</v>
      </c>
      <c r="AD69" s="3453" t="s">
        <v>4041</v>
      </c>
      <c r="AE69" s="3453" t="s">
        <v>3472</v>
      </c>
      <c r="AF69" s="3453" t="s">
        <v>3503</v>
      </c>
      <c r="AG69" s="3453" t="s">
        <v>3504</v>
      </c>
      <c r="AH69" s="3453" t="s">
        <v>3475</v>
      </c>
      <c r="AI69" s="3453">
        <v>162000</v>
      </c>
      <c r="AJ69" s="3453">
        <v>33000</v>
      </c>
      <c r="AK69" s="3453" t="s">
        <v>4001</v>
      </c>
      <c r="AL69" s="3453">
        <v>186300</v>
      </c>
      <c r="AM69" s="3453">
        <v>2373.12</v>
      </c>
      <c r="AN69" s="3453">
        <v>2729.08</v>
      </c>
      <c r="AO69" s="3453">
        <v>14239</v>
      </c>
      <c r="AP69" s="3453">
        <v>16375</v>
      </c>
      <c r="AQ69" s="3453" t="s">
        <v>3470</v>
      </c>
      <c r="AR69" s="3453" t="s">
        <v>3470</v>
      </c>
      <c r="AS69" s="3453">
        <v>15</v>
      </c>
      <c r="AT69" s="3453" t="s">
        <v>4042</v>
      </c>
      <c r="AU69" s="3453">
        <v>186300</v>
      </c>
      <c r="AV69" s="3453" t="s">
        <v>3478</v>
      </c>
      <c r="AW69" s="3453">
        <v>45000</v>
      </c>
      <c r="AX69" s="3453">
        <v>16375</v>
      </c>
      <c r="AY69" s="3453">
        <v>15</v>
      </c>
      <c r="AZ69" s="3453">
        <v>30761</v>
      </c>
      <c r="BA69" s="3453"/>
    </row>
    <row r="70" spans="1:53" hidden="1">
      <c r="A70" s="3453" t="s">
        <v>4043</v>
      </c>
      <c r="B70" s="3453" t="s">
        <v>3457</v>
      </c>
      <c r="C70" s="3453" t="s">
        <v>4044</v>
      </c>
      <c r="D70" s="3453" t="s">
        <v>3459</v>
      </c>
      <c r="E70" s="3453" t="s">
        <v>3556</v>
      </c>
      <c r="F70" s="3453" t="s">
        <v>3557</v>
      </c>
      <c r="G70" s="3453" t="s">
        <v>3558</v>
      </c>
      <c r="H70" s="3453" t="s">
        <v>3463</v>
      </c>
      <c r="I70" s="3453">
        <v>25036.44</v>
      </c>
      <c r="J70" s="3453">
        <v>67598.39</v>
      </c>
      <c r="K70" s="3453">
        <v>2.7</v>
      </c>
      <c r="L70" s="3453" t="s">
        <v>3464</v>
      </c>
      <c r="M70" s="3453" t="s">
        <v>3465</v>
      </c>
      <c r="N70" s="3453" t="s">
        <v>3997</v>
      </c>
      <c r="O70" s="3453" t="s">
        <v>3467</v>
      </c>
      <c r="P70" s="3453" t="s">
        <v>3470</v>
      </c>
      <c r="Q70" s="3453">
        <v>60</v>
      </c>
      <c r="R70" s="3453" t="s">
        <v>3742</v>
      </c>
      <c r="S70" s="3453" t="s">
        <v>3743</v>
      </c>
      <c r="T70" s="3453" t="s">
        <v>3895</v>
      </c>
      <c r="U70" s="3453" t="s">
        <v>3896</v>
      </c>
      <c r="V70" s="3453" t="s">
        <v>3470</v>
      </c>
      <c r="W70" s="3453" t="s">
        <v>3470</v>
      </c>
      <c r="X70" s="3453">
        <v>0</v>
      </c>
      <c r="Y70" s="3453">
        <v>0</v>
      </c>
      <c r="Z70" s="3454">
        <v>44519.000497685185</v>
      </c>
      <c r="AA70" s="3454">
        <v>44540.000497685185</v>
      </c>
      <c r="AB70" s="3454">
        <v>44554.000497685185</v>
      </c>
      <c r="AC70" s="3454">
        <v>44554.000497685185</v>
      </c>
      <c r="AD70" s="3453" t="s">
        <v>4045</v>
      </c>
      <c r="AE70" s="3453" t="s">
        <v>3472</v>
      </c>
      <c r="AF70" s="3453" t="s">
        <v>4046</v>
      </c>
      <c r="AG70" s="3453" t="s">
        <v>4047</v>
      </c>
      <c r="AH70" s="3453" t="s">
        <v>3867</v>
      </c>
      <c r="AI70" s="3453">
        <v>146000</v>
      </c>
      <c r="AJ70" s="3453">
        <v>30000</v>
      </c>
      <c r="AK70" s="3453" t="s">
        <v>4001</v>
      </c>
      <c r="AL70" s="3453">
        <v>148400</v>
      </c>
      <c r="AM70" s="3453">
        <v>3887.67</v>
      </c>
      <c r="AN70" s="3453">
        <v>3951.57</v>
      </c>
      <c r="AO70" s="3453">
        <v>21598</v>
      </c>
      <c r="AP70" s="3453">
        <v>21953</v>
      </c>
      <c r="AQ70" s="3453" t="s">
        <v>3470</v>
      </c>
      <c r="AR70" s="3453" t="s">
        <v>3470</v>
      </c>
      <c r="AS70" s="3453">
        <v>1.64</v>
      </c>
      <c r="AT70" s="3453" t="s">
        <v>4048</v>
      </c>
      <c r="AU70" s="3453">
        <v>167900</v>
      </c>
      <c r="AV70" s="3453" t="s">
        <v>3505</v>
      </c>
      <c r="AW70" s="3453">
        <v>61000</v>
      </c>
      <c r="AX70" s="3453">
        <v>24838</v>
      </c>
      <c r="AY70" s="3453">
        <v>15</v>
      </c>
      <c r="AZ70" s="3453">
        <v>39402</v>
      </c>
      <c r="BA70" s="3453"/>
    </row>
    <row r="71" spans="1:53" hidden="1">
      <c r="A71" s="3453" t="s">
        <v>4049</v>
      </c>
      <c r="B71" s="3453" t="s">
        <v>3457</v>
      </c>
      <c r="C71" s="3453" t="s">
        <v>4050</v>
      </c>
      <c r="D71" s="3453" t="s">
        <v>3459</v>
      </c>
      <c r="E71" s="3453" t="s">
        <v>3556</v>
      </c>
      <c r="F71" s="3453" t="s">
        <v>3557</v>
      </c>
      <c r="G71" s="3453" t="s">
        <v>3558</v>
      </c>
      <c r="H71" s="3453" t="s">
        <v>3463</v>
      </c>
      <c r="I71" s="3453">
        <v>26791.21</v>
      </c>
      <c r="J71" s="3453">
        <v>53582.42</v>
      </c>
      <c r="K71" s="3453">
        <v>2</v>
      </c>
      <c r="L71" s="3453" t="s">
        <v>3464</v>
      </c>
      <c r="M71" s="3453" t="s">
        <v>3465</v>
      </c>
      <c r="N71" s="3453" t="s">
        <v>3997</v>
      </c>
      <c r="O71" s="3453" t="s">
        <v>3467</v>
      </c>
      <c r="P71" s="3453" t="s">
        <v>3470</v>
      </c>
      <c r="Q71" s="3453">
        <v>45</v>
      </c>
      <c r="R71" s="3453" t="s">
        <v>3742</v>
      </c>
      <c r="S71" s="3453" t="s">
        <v>3743</v>
      </c>
      <c r="T71" s="3453" t="s">
        <v>4040</v>
      </c>
      <c r="U71" s="3453" t="s">
        <v>3896</v>
      </c>
      <c r="V71" s="3453" t="s">
        <v>3470</v>
      </c>
      <c r="W71" s="3453" t="s">
        <v>3470</v>
      </c>
      <c r="X71" s="3453">
        <v>0</v>
      </c>
      <c r="Y71" s="3453">
        <v>0</v>
      </c>
      <c r="Z71" s="3454">
        <v>44519.000497685185</v>
      </c>
      <c r="AA71" s="3454">
        <v>44540.000497685185</v>
      </c>
      <c r="AB71" s="3454">
        <v>44554.000497685185</v>
      </c>
      <c r="AC71" s="3454">
        <v>44554.000497685185</v>
      </c>
      <c r="AD71" s="3453" t="s">
        <v>4051</v>
      </c>
      <c r="AE71" s="3453" t="s">
        <v>3472</v>
      </c>
      <c r="AF71" s="3453" t="s">
        <v>3712</v>
      </c>
      <c r="AG71" s="3453" t="s">
        <v>3713</v>
      </c>
      <c r="AH71" s="3453" t="s">
        <v>3475</v>
      </c>
      <c r="AI71" s="3453">
        <v>115000</v>
      </c>
      <c r="AJ71" s="3453">
        <v>23000</v>
      </c>
      <c r="AK71" s="3453" t="s">
        <v>4001</v>
      </c>
      <c r="AL71" s="3453">
        <v>116800</v>
      </c>
      <c r="AM71" s="3453">
        <v>2861.64</v>
      </c>
      <c r="AN71" s="3453">
        <v>2906.43</v>
      </c>
      <c r="AO71" s="3453">
        <v>21462</v>
      </c>
      <c r="AP71" s="3453">
        <v>21798</v>
      </c>
      <c r="AQ71" s="3453" t="s">
        <v>3470</v>
      </c>
      <c r="AR71" s="3453" t="s">
        <v>3470</v>
      </c>
      <c r="AS71" s="3453">
        <v>1.57</v>
      </c>
      <c r="AT71" s="3453" t="s">
        <v>4052</v>
      </c>
      <c r="AU71" s="3453">
        <v>132250</v>
      </c>
      <c r="AV71" s="3453" t="s">
        <v>3505</v>
      </c>
      <c r="AW71" s="3453">
        <v>61000</v>
      </c>
      <c r="AX71" s="3453">
        <v>24682</v>
      </c>
      <c r="AY71" s="3453">
        <v>15</v>
      </c>
      <c r="AZ71" s="3453">
        <v>39538</v>
      </c>
      <c r="BA71" s="3453"/>
    </row>
    <row r="72" spans="1:53" hidden="1">
      <c r="A72" s="3453" t="s">
        <v>4053</v>
      </c>
      <c r="B72" s="3453" t="s">
        <v>3457</v>
      </c>
      <c r="C72" s="3453" t="s">
        <v>4054</v>
      </c>
      <c r="D72" s="3453" t="s">
        <v>3459</v>
      </c>
      <c r="E72" s="3453" t="s">
        <v>3460</v>
      </c>
      <c r="F72" s="3453" t="s">
        <v>3565</v>
      </c>
      <c r="G72" s="3453" t="s">
        <v>4014</v>
      </c>
      <c r="H72" s="3453" t="s">
        <v>3463</v>
      </c>
      <c r="I72" s="3453">
        <v>63959.72</v>
      </c>
      <c r="J72" s="3453">
        <v>94000</v>
      </c>
      <c r="K72" s="3453">
        <v>1.47</v>
      </c>
      <c r="L72" s="3453" t="s">
        <v>3464</v>
      </c>
      <c r="M72" s="3453" t="s">
        <v>3465</v>
      </c>
      <c r="N72" s="3453" t="s">
        <v>3997</v>
      </c>
      <c r="O72" s="3453" t="s">
        <v>3467</v>
      </c>
      <c r="P72" s="3453" t="s">
        <v>3470</v>
      </c>
      <c r="Q72" s="3453">
        <v>80</v>
      </c>
      <c r="R72" s="3453" t="s">
        <v>3979</v>
      </c>
      <c r="S72" s="3453" t="s">
        <v>3743</v>
      </c>
      <c r="T72" s="3453" t="s">
        <v>3470</v>
      </c>
      <c r="U72" s="3453" t="s">
        <v>3470</v>
      </c>
      <c r="V72" s="3453" t="s">
        <v>3470</v>
      </c>
      <c r="W72" s="3453" t="s">
        <v>3470</v>
      </c>
      <c r="X72" s="3453">
        <v>0</v>
      </c>
      <c r="Y72" s="3453">
        <v>0</v>
      </c>
      <c r="Z72" s="3454">
        <v>44519.000497685185</v>
      </c>
      <c r="AA72" s="3454">
        <v>44540.000497685185</v>
      </c>
      <c r="AB72" s="3454">
        <v>44554.000497685185</v>
      </c>
      <c r="AC72" s="3454">
        <v>44554.000497685185</v>
      </c>
      <c r="AD72" s="3453" t="s">
        <v>4055</v>
      </c>
      <c r="AE72" s="3453" t="s">
        <v>3472</v>
      </c>
      <c r="AF72" s="3453" t="s">
        <v>4016</v>
      </c>
      <c r="AG72" s="3453" t="s">
        <v>4017</v>
      </c>
      <c r="AH72" s="3453" t="s">
        <v>3493</v>
      </c>
      <c r="AI72" s="3453">
        <v>485000</v>
      </c>
      <c r="AJ72" s="3453">
        <v>97000</v>
      </c>
      <c r="AK72" s="3453" t="s">
        <v>4001</v>
      </c>
      <c r="AL72" s="3453">
        <v>485000</v>
      </c>
      <c r="AM72" s="3453">
        <v>5055.26</v>
      </c>
      <c r="AN72" s="3453">
        <v>5055.26</v>
      </c>
      <c r="AO72" s="3453">
        <v>51596</v>
      </c>
      <c r="AP72" s="3453">
        <v>51596</v>
      </c>
      <c r="AQ72" s="3453" t="s">
        <v>3470</v>
      </c>
      <c r="AR72" s="3453" t="s">
        <v>3470</v>
      </c>
      <c r="AS72" s="3453">
        <v>0</v>
      </c>
      <c r="AT72" s="3453" t="s">
        <v>4056</v>
      </c>
      <c r="AU72" s="3453">
        <v>509250</v>
      </c>
      <c r="AV72" s="3453" t="s">
        <v>3505</v>
      </c>
      <c r="AW72" s="3453">
        <v>86000</v>
      </c>
      <c r="AX72" s="3453">
        <v>54176</v>
      </c>
      <c r="AY72" s="3453">
        <v>5</v>
      </c>
      <c r="AZ72" s="3453">
        <v>34404</v>
      </c>
      <c r="BA72" s="3453"/>
    </row>
    <row r="73" spans="1:53" hidden="1">
      <c r="A73" s="3453" t="s">
        <v>4057</v>
      </c>
      <c r="B73" s="3453" t="s">
        <v>3457</v>
      </c>
      <c r="C73" s="3453" t="s">
        <v>4058</v>
      </c>
      <c r="D73" s="3453" t="s">
        <v>3459</v>
      </c>
      <c r="E73" s="3453" t="s">
        <v>3519</v>
      </c>
      <c r="F73" s="3453" t="s">
        <v>4059</v>
      </c>
      <c r="G73" s="3453" t="s">
        <v>4060</v>
      </c>
      <c r="H73" s="3453" t="s">
        <v>3463</v>
      </c>
      <c r="I73" s="3453">
        <v>40082.199999999997</v>
      </c>
      <c r="J73" s="3453">
        <v>60123.3</v>
      </c>
      <c r="K73" s="3453">
        <v>1.5</v>
      </c>
      <c r="L73" s="3453" t="s">
        <v>3464</v>
      </c>
      <c r="M73" s="3453" t="s">
        <v>4061</v>
      </c>
      <c r="N73" s="3453" t="s">
        <v>4062</v>
      </c>
      <c r="O73" s="3453" t="s">
        <v>3467</v>
      </c>
      <c r="P73" s="3453">
        <v>30</v>
      </c>
      <c r="Q73" s="3453" t="s">
        <v>3470</v>
      </c>
      <c r="R73" s="3453" t="s">
        <v>3470</v>
      </c>
      <c r="S73" s="3453" t="s">
        <v>3470</v>
      </c>
      <c r="T73" s="3453" t="s">
        <v>3470</v>
      </c>
      <c r="U73" s="3453" t="s">
        <v>3470</v>
      </c>
      <c r="V73" s="3453" t="s">
        <v>3470</v>
      </c>
      <c r="W73" s="3453" t="s">
        <v>3470</v>
      </c>
      <c r="X73" s="3453">
        <v>0</v>
      </c>
      <c r="Y73" s="3453">
        <v>0</v>
      </c>
      <c r="Z73" s="3454">
        <v>44516.000497685185</v>
      </c>
      <c r="AA73" s="3454">
        <v>44536.000497685185</v>
      </c>
      <c r="AB73" s="3454">
        <v>44550.000497685185</v>
      </c>
      <c r="AC73" s="3454">
        <v>44550.000497685185</v>
      </c>
      <c r="AD73" s="3453" t="s">
        <v>4063</v>
      </c>
      <c r="AE73" s="3453" t="s">
        <v>3472</v>
      </c>
      <c r="AF73" s="3453" t="s">
        <v>4064</v>
      </c>
      <c r="AG73" s="3453" t="s">
        <v>4065</v>
      </c>
      <c r="AH73" s="3453" t="s">
        <v>3493</v>
      </c>
      <c r="AI73" s="3453">
        <v>81924.009999999995</v>
      </c>
      <c r="AJ73" s="3453">
        <v>16400</v>
      </c>
      <c r="AK73" s="3453" t="s">
        <v>633</v>
      </c>
      <c r="AL73" s="3453">
        <v>81924.009999999995</v>
      </c>
      <c r="AM73" s="3453">
        <v>1362.6</v>
      </c>
      <c r="AN73" s="3453">
        <v>1362.6</v>
      </c>
      <c r="AO73" s="3453">
        <v>13626</v>
      </c>
      <c r="AP73" s="3453">
        <v>13626</v>
      </c>
      <c r="AQ73" s="3453" t="s">
        <v>3470</v>
      </c>
      <c r="AR73" s="3453" t="s">
        <v>3470</v>
      </c>
      <c r="AS73" s="3453">
        <v>0</v>
      </c>
      <c r="AT73" s="3453">
        <v>50</v>
      </c>
      <c r="AU73" s="3453" t="s">
        <v>3467</v>
      </c>
      <c r="AV73" s="3453" t="s">
        <v>3470</v>
      </c>
      <c r="AW73" s="3453" t="s">
        <v>3467</v>
      </c>
      <c r="AX73" s="3453" t="s">
        <v>3470</v>
      </c>
      <c r="AY73" s="3453" t="s">
        <v>3470</v>
      </c>
      <c r="AZ73" s="3453" t="s">
        <v>3470</v>
      </c>
      <c r="BA73" s="3453"/>
    </row>
    <row r="74" spans="1:53" hidden="1">
      <c r="A74" s="3453" t="s">
        <v>4066</v>
      </c>
      <c r="B74" s="3453" t="s">
        <v>3457</v>
      </c>
      <c r="C74" s="3453" t="s">
        <v>4067</v>
      </c>
      <c r="D74" s="3453" t="s">
        <v>3459</v>
      </c>
      <c r="E74" s="3453" t="s">
        <v>3661</v>
      </c>
      <c r="F74" s="3453" t="s">
        <v>3662</v>
      </c>
      <c r="G74" s="3453" t="s">
        <v>4068</v>
      </c>
      <c r="H74" s="3453" t="s">
        <v>3463</v>
      </c>
      <c r="I74" s="3453">
        <v>55613.32</v>
      </c>
      <c r="J74" s="3453">
        <v>83419.98</v>
      </c>
      <c r="K74" s="3453">
        <v>1.5</v>
      </c>
      <c r="L74" s="3453" t="s">
        <v>3464</v>
      </c>
      <c r="M74" s="3453" t="s">
        <v>4069</v>
      </c>
      <c r="N74" s="3453" t="s">
        <v>4070</v>
      </c>
      <c r="O74" s="3453" t="s">
        <v>3467</v>
      </c>
      <c r="P74" s="3453" t="s">
        <v>3470</v>
      </c>
      <c r="Q74" s="3453" t="s">
        <v>4071</v>
      </c>
      <c r="R74" s="3453" t="s">
        <v>3979</v>
      </c>
      <c r="S74" s="3453" t="s">
        <v>3743</v>
      </c>
      <c r="T74" s="3453" t="s">
        <v>3470</v>
      </c>
      <c r="U74" s="3453" t="s">
        <v>3470</v>
      </c>
      <c r="V74" s="3453" t="s">
        <v>3470</v>
      </c>
      <c r="W74" s="3453" t="s">
        <v>3470</v>
      </c>
      <c r="X74" s="3453">
        <v>0</v>
      </c>
      <c r="Y74" s="3453">
        <v>0</v>
      </c>
      <c r="Z74" s="3454">
        <v>44438.000497685185</v>
      </c>
      <c r="AA74" s="3454">
        <v>44462.000497685185</v>
      </c>
      <c r="AB74" s="3454">
        <v>44482.000497685185</v>
      </c>
      <c r="AC74" s="3454">
        <v>44482.000497685185</v>
      </c>
      <c r="AD74" s="3453" t="s">
        <v>4072</v>
      </c>
      <c r="AE74" s="3453" t="s">
        <v>3472</v>
      </c>
      <c r="AF74" s="3453" t="s">
        <v>4073</v>
      </c>
      <c r="AG74" s="3453" t="s">
        <v>4074</v>
      </c>
      <c r="AH74" s="3453" t="s">
        <v>3584</v>
      </c>
      <c r="AI74" s="3453">
        <v>423000</v>
      </c>
      <c r="AJ74" s="3453">
        <v>85000</v>
      </c>
      <c r="AK74" s="3453" t="s">
        <v>4075</v>
      </c>
      <c r="AL74" s="3453">
        <v>449500</v>
      </c>
      <c r="AM74" s="3453">
        <v>5070.7299999999996</v>
      </c>
      <c r="AN74" s="3453">
        <v>5388.4</v>
      </c>
      <c r="AO74" s="3453">
        <v>50707</v>
      </c>
      <c r="AP74" s="3453">
        <v>53884</v>
      </c>
      <c r="AQ74" s="3453" t="s">
        <v>3470</v>
      </c>
      <c r="AR74" s="3453" t="s">
        <v>3470</v>
      </c>
      <c r="AS74" s="3453">
        <v>6.26</v>
      </c>
      <c r="AT74" s="3453" t="s">
        <v>3767</v>
      </c>
      <c r="AU74" s="3453">
        <v>465300</v>
      </c>
      <c r="AV74" s="3453" t="s">
        <v>3505</v>
      </c>
      <c r="AW74" s="3453">
        <v>83000</v>
      </c>
      <c r="AX74" s="3453">
        <v>55778</v>
      </c>
      <c r="AY74" s="3453">
        <v>10</v>
      </c>
      <c r="AZ74" s="3453">
        <v>32293</v>
      </c>
      <c r="BA74" s="3453"/>
    </row>
    <row r="75" spans="1:53" hidden="1">
      <c r="A75" s="3453" t="s">
        <v>4076</v>
      </c>
      <c r="B75" s="3453" t="s">
        <v>3457</v>
      </c>
      <c r="C75" s="3453" t="s">
        <v>4077</v>
      </c>
      <c r="D75" s="3453" t="s">
        <v>3459</v>
      </c>
      <c r="E75" s="3453" t="s">
        <v>3481</v>
      </c>
      <c r="F75" s="3453" t="s">
        <v>3737</v>
      </c>
      <c r="G75" s="3453" t="s">
        <v>4078</v>
      </c>
      <c r="H75" s="3453" t="s">
        <v>3484</v>
      </c>
      <c r="I75" s="3453">
        <v>79675.399999999994</v>
      </c>
      <c r="J75" s="3453">
        <v>178405.88</v>
      </c>
      <c r="K75" s="3453" t="s">
        <v>4079</v>
      </c>
      <c r="L75" s="3453" t="s">
        <v>3464</v>
      </c>
      <c r="M75" s="3453" t="s">
        <v>3926</v>
      </c>
      <c r="N75" s="3453" t="s">
        <v>4070</v>
      </c>
      <c r="O75" s="3453">
        <v>11.37</v>
      </c>
      <c r="P75" s="3453" t="s">
        <v>3470</v>
      </c>
      <c r="Q75" s="3453" t="s">
        <v>3639</v>
      </c>
      <c r="R75" s="3453" t="s">
        <v>3979</v>
      </c>
      <c r="S75" s="3453" t="s">
        <v>3743</v>
      </c>
      <c r="T75" s="3453" t="s">
        <v>4040</v>
      </c>
      <c r="U75" s="3453" t="s">
        <v>4080</v>
      </c>
      <c r="V75" s="3453">
        <v>20280</v>
      </c>
      <c r="W75" s="3453">
        <v>20280</v>
      </c>
      <c r="X75" s="3453">
        <v>0</v>
      </c>
      <c r="Y75" s="3453">
        <v>0</v>
      </c>
      <c r="Z75" s="3454">
        <v>44438.000497685185</v>
      </c>
      <c r="AA75" s="3454">
        <v>44462.000497685185</v>
      </c>
      <c r="AB75" s="3454">
        <v>44482.000497685185</v>
      </c>
      <c r="AC75" s="3454">
        <v>44482.000497685185</v>
      </c>
      <c r="AD75" s="3453" t="s">
        <v>4081</v>
      </c>
      <c r="AE75" s="3453" t="s">
        <v>3472</v>
      </c>
      <c r="AF75" s="3453" t="s">
        <v>4082</v>
      </c>
      <c r="AG75" s="3453" t="s">
        <v>4083</v>
      </c>
      <c r="AH75" s="3453" t="s">
        <v>3676</v>
      </c>
      <c r="AI75" s="3453">
        <v>359000</v>
      </c>
      <c r="AJ75" s="3453">
        <v>72000</v>
      </c>
      <c r="AK75" s="3453" t="s">
        <v>4075</v>
      </c>
      <c r="AL75" s="3453">
        <v>366000</v>
      </c>
      <c r="AM75" s="3453">
        <v>3003.85</v>
      </c>
      <c r="AN75" s="3453">
        <v>3062.43</v>
      </c>
      <c r="AO75" s="3453">
        <v>20123</v>
      </c>
      <c r="AP75" s="3453">
        <v>20515</v>
      </c>
      <c r="AQ75" s="3453">
        <v>22703</v>
      </c>
      <c r="AR75" s="3453">
        <v>23146</v>
      </c>
      <c r="AS75" s="3453">
        <v>1.95</v>
      </c>
      <c r="AT75" s="3453" t="s">
        <v>4084</v>
      </c>
      <c r="AU75" s="3453">
        <v>412850</v>
      </c>
      <c r="AV75" s="3453" t="s">
        <v>3505</v>
      </c>
      <c r="AW75" s="3453">
        <v>54000</v>
      </c>
      <c r="AX75" s="3453">
        <v>23141</v>
      </c>
      <c r="AY75" s="3453">
        <v>15</v>
      </c>
      <c r="AZ75" s="3453">
        <v>33877</v>
      </c>
      <c r="BA75" s="3453"/>
    </row>
    <row r="76" spans="1:53" hidden="1">
      <c r="A76" s="3453" t="s">
        <v>4085</v>
      </c>
      <c r="B76" s="3453" t="s">
        <v>3457</v>
      </c>
      <c r="C76" s="3453" t="s">
        <v>4086</v>
      </c>
      <c r="D76" s="3453" t="s">
        <v>3459</v>
      </c>
      <c r="E76" s="3453" t="s">
        <v>3519</v>
      </c>
      <c r="F76" s="3453" t="s">
        <v>4087</v>
      </c>
      <c r="G76" s="3453" t="s">
        <v>3933</v>
      </c>
      <c r="H76" s="3453" t="s">
        <v>3484</v>
      </c>
      <c r="I76" s="3453">
        <v>54389.09</v>
      </c>
      <c r="J76" s="3453">
        <v>123172</v>
      </c>
      <c r="K76" s="3453" t="s">
        <v>4088</v>
      </c>
      <c r="L76" s="3453" t="s">
        <v>3464</v>
      </c>
      <c r="M76" s="3453" t="s">
        <v>4089</v>
      </c>
      <c r="N76" s="3453" t="s">
        <v>4070</v>
      </c>
      <c r="O76" s="3453">
        <v>1.79</v>
      </c>
      <c r="P76" s="3453" t="s">
        <v>4090</v>
      </c>
      <c r="Q76" s="3453" t="s">
        <v>4091</v>
      </c>
      <c r="R76" s="3453" t="s">
        <v>3742</v>
      </c>
      <c r="S76" s="3453" t="s">
        <v>4092</v>
      </c>
      <c r="T76" s="3453" t="s">
        <v>3470</v>
      </c>
      <c r="U76" s="3453" t="s">
        <v>3470</v>
      </c>
      <c r="V76" s="3453" t="s">
        <v>3470</v>
      </c>
      <c r="W76" s="3453" t="s">
        <v>3470</v>
      </c>
      <c r="X76" s="3453">
        <v>0</v>
      </c>
      <c r="Y76" s="3453">
        <v>0</v>
      </c>
      <c r="Z76" s="3454">
        <v>44438.000497685185</v>
      </c>
      <c r="AA76" s="3454">
        <v>44462.000497685185</v>
      </c>
      <c r="AB76" s="3454">
        <v>44482.000497685185</v>
      </c>
      <c r="AC76" s="3454">
        <v>44482.000497685185</v>
      </c>
      <c r="AD76" s="3453" t="s">
        <v>4093</v>
      </c>
      <c r="AE76" s="3453" t="s">
        <v>3472</v>
      </c>
      <c r="AF76" s="3453" t="s">
        <v>4094</v>
      </c>
      <c r="AG76" s="3453" t="s">
        <v>4095</v>
      </c>
      <c r="AH76" s="3453" t="s">
        <v>3475</v>
      </c>
      <c r="AI76" s="3453">
        <v>344000</v>
      </c>
      <c r="AJ76" s="3453">
        <v>69000</v>
      </c>
      <c r="AK76" s="3453" t="s">
        <v>4075</v>
      </c>
      <c r="AL76" s="3453">
        <v>378400</v>
      </c>
      <c r="AM76" s="3453">
        <v>4216.53</v>
      </c>
      <c r="AN76" s="3453">
        <v>4638.1899999999996</v>
      </c>
      <c r="AO76" s="3453">
        <v>27928</v>
      </c>
      <c r="AP76" s="3453">
        <v>30721</v>
      </c>
      <c r="AQ76" s="3453" t="s">
        <v>3470</v>
      </c>
      <c r="AR76" s="3453" t="s">
        <v>3470</v>
      </c>
      <c r="AS76" s="3453">
        <v>10</v>
      </c>
      <c r="AT76" s="3453" t="s">
        <v>4002</v>
      </c>
      <c r="AU76" s="3453">
        <v>378400</v>
      </c>
      <c r="AV76" s="3453" t="s">
        <v>3478</v>
      </c>
      <c r="AW76" s="3453">
        <v>59000</v>
      </c>
      <c r="AX76" s="3453">
        <v>30721</v>
      </c>
      <c r="AY76" s="3453">
        <v>10</v>
      </c>
      <c r="AZ76" s="3453">
        <v>31072</v>
      </c>
      <c r="BA76" s="3453"/>
    </row>
    <row r="77" spans="1:53">
      <c r="A77" s="3453" t="s">
        <v>4096</v>
      </c>
      <c r="B77" s="3453" t="s">
        <v>3457</v>
      </c>
      <c r="C77" s="3453" t="s">
        <v>4097</v>
      </c>
      <c r="D77" s="3453" t="s">
        <v>3459</v>
      </c>
      <c r="E77" s="3453" t="s">
        <v>3655</v>
      </c>
      <c r="F77" s="3453" t="s">
        <v>3724</v>
      </c>
      <c r="G77" s="3453" t="s">
        <v>4098</v>
      </c>
      <c r="H77" s="3453" t="s">
        <v>3484</v>
      </c>
      <c r="I77" s="3453">
        <v>81852.240000000005</v>
      </c>
      <c r="J77" s="3453">
        <v>229603.29</v>
      </c>
      <c r="K77" s="3453">
        <v>2.81</v>
      </c>
      <c r="L77" s="3453" t="s">
        <v>3464</v>
      </c>
      <c r="M77" s="3453" t="s">
        <v>4099</v>
      </c>
      <c r="N77" s="3453" t="s">
        <v>4070</v>
      </c>
      <c r="O77" s="3453" t="s">
        <v>3467</v>
      </c>
      <c r="P77" s="3453">
        <v>0.3</v>
      </c>
      <c r="Q77" s="3453" t="s">
        <v>4100</v>
      </c>
      <c r="R77" s="3453" t="s">
        <v>3979</v>
      </c>
      <c r="S77" s="3453" t="s">
        <v>3743</v>
      </c>
      <c r="T77" s="3453" t="s">
        <v>3470</v>
      </c>
      <c r="U77" s="3453" t="s">
        <v>3603</v>
      </c>
      <c r="V77" s="3453">
        <v>128400</v>
      </c>
      <c r="W77" s="3453">
        <v>128400</v>
      </c>
      <c r="X77" s="3453">
        <v>0</v>
      </c>
      <c r="Y77" s="3453">
        <v>0</v>
      </c>
      <c r="Z77" s="3454">
        <v>44438.000497685185</v>
      </c>
      <c r="AA77" s="3454">
        <v>44462.000497685185</v>
      </c>
      <c r="AB77" s="3454">
        <v>44482.000497685185</v>
      </c>
      <c r="AC77" s="3454">
        <v>44482.000497685185</v>
      </c>
      <c r="AD77" s="3453" t="s">
        <v>4101</v>
      </c>
      <c r="AE77" s="3453" t="s">
        <v>3472</v>
      </c>
      <c r="AF77" s="3453" t="s">
        <v>4102</v>
      </c>
      <c r="AG77" s="3453" t="s">
        <v>3858</v>
      </c>
      <c r="AH77" s="3453" t="s">
        <v>3530</v>
      </c>
      <c r="AI77" s="3453">
        <v>429000</v>
      </c>
      <c r="AJ77" s="3453">
        <v>86000</v>
      </c>
      <c r="AK77" s="3453" t="s">
        <v>4075</v>
      </c>
      <c r="AL77" s="3453">
        <v>433400</v>
      </c>
      <c r="AM77" s="3453">
        <v>3494.1</v>
      </c>
      <c r="AN77" s="3453">
        <v>3529.94</v>
      </c>
      <c r="AO77" s="3453">
        <v>18684</v>
      </c>
      <c r="AP77" s="3453">
        <v>18876</v>
      </c>
      <c r="AQ77" s="3453">
        <v>42390</v>
      </c>
      <c r="AR77" s="3453">
        <v>42825</v>
      </c>
      <c r="AS77" s="3453">
        <v>1.03</v>
      </c>
      <c r="AT77" s="3453" t="s">
        <v>3869</v>
      </c>
      <c r="AU77" s="3453">
        <v>493350</v>
      </c>
      <c r="AV77" s="3453" t="s">
        <v>3505</v>
      </c>
      <c r="AW77" s="3453">
        <v>106000</v>
      </c>
      <c r="AX77" s="3453">
        <v>21487</v>
      </c>
      <c r="AY77" s="3453">
        <v>15</v>
      </c>
      <c r="AZ77" s="3453">
        <v>87316</v>
      </c>
      <c r="BA77" s="3453"/>
    </row>
    <row r="78" spans="1:53" hidden="1">
      <c r="A78" s="3453" t="s">
        <v>4103</v>
      </c>
      <c r="B78" s="3453" t="s">
        <v>3457</v>
      </c>
      <c r="C78" s="3453" t="s">
        <v>4104</v>
      </c>
      <c r="D78" s="3453" t="s">
        <v>3459</v>
      </c>
      <c r="E78" s="3453" t="s">
        <v>3508</v>
      </c>
      <c r="F78" s="3453" t="s">
        <v>4105</v>
      </c>
      <c r="G78" s="3453" t="s">
        <v>4106</v>
      </c>
      <c r="H78" s="3453" t="s">
        <v>3484</v>
      </c>
      <c r="I78" s="3453">
        <v>25189.62</v>
      </c>
      <c r="J78" s="3453">
        <v>37104</v>
      </c>
      <c r="K78" s="3453" t="s">
        <v>4107</v>
      </c>
      <c r="L78" s="3453" t="s">
        <v>3464</v>
      </c>
      <c r="M78" s="3453" t="s">
        <v>3629</v>
      </c>
      <c r="N78" s="3453" t="s">
        <v>4070</v>
      </c>
      <c r="O78" s="3453" t="s">
        <v>3467</v>
      </c>
      <c r="P78" s="3453">
        <v>0.3</v>
      </c>
      <c r="Q78" s="3453" t="s">
        <v>4108</v>
      </c>
      <c r="R78" s="3453" t="s">
        <v>3780</v>
      </c>
      <c r="S78" s="3453" t="s">
        <v>3743</v>
      </c>
      <c r="T78" s="3453" t="s">
        <v>3470</v>
      </c>
      <c r="U78" s="3453" t="s">
        <v>3470</v>
      </c>
      <c r="V78" s="3453" t="s">
        <v>3470</v>
      </c>
      <c r="W78" s="3453" t="s">
        <v>3470</v>
      </c>
      <c r="X78" s="3453">
        <v>0</v>
      </c>
      <c r="Y78" s="3453">
        <v>0</v>
      </c>
      <c r="Z78" s="3454">
        <v>44438.000497685185</v>
      </c>
      <c r="AA78" s="3454">
        <v>44462.000497685185</v>
      </c>
      <c r="AB78" s="3454">
        <v>44481.000497685185</v>
      </c>
      <c r="AC78" s="3454">
        <v>44481.000497685185</v>
      </c>
      <c r="AD78" s="3453" t="s">
        <v>4109</v>
      </c>
      <c r="AE78" s="3453" t="s">
        <v>3472</v>
      </c>
      <c r="AF78" s="3453" t="s">
        <v>4110</v>
      </c>
      <c r="AG78" s="3453" t="s">
        <v>4111</v>
      </c>
      <c r="AH78" s="3453" t="s">
        <v>3493</v>
      </c>
      <c r="AI78" s="3453">
        <v>29500</v>
      </c>
      <c r="AJ78" s="3453">
        <v>5900</v>
      </c>
      <c r="AK78" s="3453" t="s">
        <v>4075</v>
      </c>
      <c r="AL78" s="3453">
        <v>29500</v>
      </c>
      <c r="AM78" s="3453">
        <v>780.74</v>
      </c>
      <c r="AN78" s="3453">
        <v>780.74</v>
      </c>
      <c r="AO78" s="3453">
        <v>7951</v>
      </c>
      <c r="AP78" s="3453">
        <v>7951</v>
      </c>
      <c r="AQ78" s="3453" t="s">
        <v>3470</v>
      </c>
      <c r="AR78" s="3453" t="s">
        <v>3470</v>
      </c>
      <c r="AS78" s="3453">
        <v>0</v>
      </c>
      <c r="AT78" s="3453" t="s">
        <v>4112</v>
      </c>
      <c r="AU78" s="3453">
        <v>32450</v>
      </c>
      <c r="AV78" s="3453" t="s">
        <v>3505</v>
      </c>
      <c r="AW78" s="3453">
        <v>31000</v>
      </c>
      <c r="AX78" s="3453">
        <v>8746</v>
      </c>
      <c r="AY78" s="3453">
        <v>10</v>
      </c>
      <c r="AZ78" s="3453">
        <v>23049</v>
      </c>
      <c r="BA78" s="3453"/>
    </row>
    <row r="79" spans="1:53" hidden="1">
      <c r="A79" s="3453" t="s">
        <v>4113</v>
      </c>
      <c r="B79" s="3453" t="s">
        <v>3457</v>
      </c>
      <c r="C79" s="3453" t="s">
        <v>4114</v>
      </c>
      <c r="D79" s="3453" t="s">
        <v>3459</v>
      </c>
      <c r="E79" s="3453" t="s">
        <v>3534</v>
      </c>
      <c r="F79" s="3453" t="s">
        <v>3535</v>
      </c>
      <c r="G79" s="3453" t="s">
        <v>3969</v>
      </c>
      <c r="H79" s="3453" t="s">
        <v>3463</v>
      </c>
      <c r="I79" s="3453">
        <v>11822.2</v>
      </c>
      <c r="J79" s="3453">
        <v>35466</v>
      </c>
      <c r="K79" s="3453">
        <v>3</v>
      </c>
      <c r="L79" s="3453" t="s">
        <v>3464</v>
      </c>
      <c r="M79" s="3453" t="s">
        <v>3843</v>
      </c>
      <c r="N79" s="3453" t="s">
        <v>4070</v>
      </c>
      <c r="O79" s="3453">
        <v>30</v>
      </c>
      <c r="P79" s="3453" t="s">
        <v>3470</v>
      </c>
      <c r="Q79" s="3453">
        <v>60</v>
      </c>
      <c r="R79" s="3453" t="s">
        <v>3836</v>
      </c>
      <c r="S79" s="3453" t="s">
        <v>3837</v>
      </c>
      <c r="T79" s="3453" t="s">
        <v>4040</v>
      </c>
      <c r="U79" s="3453" t="s">
        <v>3896</v>
      </c>
      <c r="V79" s="3453" t="s">
        <v>3470</v>
      </c>
      <c r="W79" s="3453" t="s">
        <v>3470</v>
      </c>
      <c r="X79" s="3453">
        <v>0</v>
      </c>
      <c r="Y79" s="3453">
        <v>0</v>
      </c>
      <c r="Z79" s="3454">
        <v>44438.000497685185</v>
      </c>
      <c r="AA79" s="3454">
        <v>44462.000497685185</v>
      </c>
      <c r="AB79" s="3454">
        <v>44481.000497685185</v>
      </c>
      <c r="AC79" s="3454">
        <v>44481.000497685185</v>
      </c>
      <c r="AD79" s="3453" t="s">
        <v>4115</v>
      </c>
      <c r="AE79" s="3453" t="s">
        <v>3472</v>
      </c>
      <c r="AF79" s="3453" t="s">
        <v>3887</v>
      </c>
      <c r="AG79" s="3453" t="s">
        <v>3551</v>
      </c>
      <c r="AH79" s="3453" t="s">
        <v>3475</v>
      </c>
      <c r="AI79" s="3453">
        <v>116000</v>
      </c>
      <c r="AJ79" s="3453">
        <v>23500</v>
      </c>
      <c r="AK79" s="3453" t="s">
        <v>4075</v>
      </c>
      <c r="AL79" s="3453">
        <v>116000</v>
      </c>
      <c r="AM79" s="3453">
        <v>6541.37</v>
      </c>
      <c r="AN79" s="3453">
        <v>6541.37</v>
      </c>
      <c r="AO79" s="3453">
        <v>32707</v>
      </c>
      <c r="AP79" s="3453">
        <v>32707</v>
      </c>
      <c r="AQ79" s="3453" t="s">
        <v>3470</v>
      </c>
      <c r="AR79" s="3453" t="s">
        <v>3470</v>
      </c>
      <c r="AS79" s="3453">
        <v>0</v>
      </c>
      <c r="AT79" s="3453" t="s">
        <v>3767</v>
      </c>
      <c r="AU79" s="3453">
        <v>127600</v>
      </c>
      <c r="AV79" s="3453" t="s">
        <v>3505</v>
      </c>
      <c r="AW79" s="3453">
        <v>74300</v>
      </c>
      <c r="AX79" s="3453">
        <v>35978</v>
      </c>
      <c r="AY79" s="3453">
        <v>10</v>
      </c>
      <c r="AZ79" s="3453">
        <v>41593</v>
      </c>
      <c r="BA79" s="3453"/>
    </row>
    <row r="80" spans="1:53" hidden="1">
      <c r="A80" s="3453" t="s">
        <v>4116</v>
      </c>
      <c r="B80" s="3453" t="s">
        <v>3457</v>
      </c>
      <c r="C80" s="3453" t="s">
        <v>4117</v>
      </c>
      <c r="D80" s="3453" t="s">
        <v>3459</v>
      </c>
      <c r="E80" s="3453" t="s">
        <v>3519</v>
      </c>
      <c r="F80" s="3453" t="s">
        <v>3686</v>
      </c>
      <c r="G80" s="3453" t="s">
        <v>3687</v>
      </c>
      <c r="H80" s="3453" t="s">
        <v>3463</v>
      </c>
      <c r="I80" s="3453">
        <v>71316.899999999994</v>
      </c>
      <c r="J80" s="3453">
        <v>178292.25</v>
      </c>
      <c r="K80" s="3453" t="s">
        <v>4118</v>
      </c>
      <c r="L80" s="3453" t="s">
        <v>3464</v>
      </c>
      <c r="M80" s="3453" t="s">
        <v>3465</v>
      </c>
      <c r="N80" s="3453" t="s">
        <v>4070</v>
      </c>
      <c r="O80" s="3453" t="s">
        <v>3467</v>
      </c>
      <c r="P80" s="3453" t="s">
        <v>4090</v>
      </c>
      <c r="Q80" s="3453" t="s">
        <v>4119</v>
      </c>
      <c r="R80" s="3453" t="s">
        <v>3979</v>
      </c>
      <c r="S80" s="3453" t="s">
        <v>3743</v>
      </c>
      <c r="T80" s="3453" t="s">
        <v>3895</v>
      </c>
      <c r="U80" s="3453" t="s">
        <v>3896</v>
      </c>
      <c r="V80" s="3453" t="s">
        <v>3470</v>
      </c>
      <c r="W80" s="3453" t="s">
        <v>3470</v>
      </c>
      <c r="X80" s="3453">
        <v>0</v>
      </c>
      <c r="Y80" s="3453">
        <v>0</v>
      </c>
      <c r="Z80" s="3454">
        <v>44438.000497685185</v>
      </c>
      <c r="AA80" s="3454">
        <v>44462.000497685185</v>
      </c>
      <c r="AB80" s="3454">
        <v>44481.000497685185</v>
      </c>
      <c r="AC80" s="3454">
        <v>44481.000497685185</v>
      </c>
      <c r="AD80" s="3453" t="s">
        <v>4120</v>
      </c>
      <c r="AE80" s="3453" t="s">
        <v>3472</v>
      </c>
      <c r="AF80" s="3453" t="s">
        <v>4121</v>
      </c>
      <c r="AG80" s="3453" t="s">
        <v>4122</v>
      </c>
      <c r="AH80" s="3453" t="s">
        <v>3747</v>
      </c>
      <c r="AI80" s="3453">
        <v>685000</v>
      </c>
      <c r="AJ80" s="3453">
        <v>137000</v>
      </c>
      <c r="AK80" s="3453" t="s">
        <v>4075</v>
      </c>
      <c r="AL80" s="3453">
        <v>685000</v>
      </c>
      <c r="AM80" s="3453">
        <v>6403.34</v>
      </c>
      <c r="AN80" s="3453">
        <v>6403.34</v>
      </c>
      <c r="AO80" s="3453">
        <v>38420</v>
      </c>
      <c r="AP80" s="3453">
        <v>38420</v>
      </c>
      <c r="AQ80" s="3453" t="s">
        <v>3470</v>
      </c>
      <c r="AR80" s="3453" t="s">
        <v>3470</v>
      </c>
      <c r="AS80" s="3453">
        <v>0</v>
      </c>
      <c r="AT80" s="3453" t="s">
        <v>3767</v>
      </c>
      <c r="AU80" s="3453">
        <v>787750</v>
      </c>
      <c r="AV80" s="3453" t="s">
        <v>3505</v>
      </c>
      <c r="AW80" s="3453">
        <v>66000</v>
      </c>
      <c r="AX80" s="3453">
        <v>44183</v>
      </c>
      <c r="AY80" s="3453">
        <v>15</v>
      </c>
      <c r="AZ80" s="3453">
        <v>27580</v>
      </c>
      <c r="BA80" s="3453"/>
    </row>
    <row r="81" spans="1:53" hidden="1">
      <c r="A81" s="3453" t="s">
        <v>4123</v>
      </c>
      <c r="B81" s="3453" t="s">
        <v>3457</v>
      </c>
      <c r="C81" s="3453" t="s">
        <v>4124</v>
      </c>
      <c r="D81" s="3453" t="s">
        <v>3459</v>
      </c>
      <c r="E81" s="3453" t="s">
        <v>3460</v>
      </c>
      <c r="F81" s="3453" t="s">
        <v>3786</v>
      </c>
      <c r="G81" s="3453" t="s">
        <v>3787</v>
      </c>
      <c r="H81" s="3453" t="s">
        <v>3463</v>
      </c>
      <c r="I81" s="3453">
        <v>27366.58</v>
      </c>
      <c r="J81" s="3453">
        <v>68416</v>
      </c>
      <c r="K81" s="3453">
        <v>2.5</v>
      </c>
      <c r="L81" s="3453" t="s">
        <v>3464</v>
      </c>
      <c r="M81" s="3453" t="s">
        <v>3465</v>
      </c>
      <c r="N81" s="3453" t="s">
        <v>4070</v>
      </c>
      <c r="O81" s="3453" t="s">
        <v>3467</v>
      </c>
      <c r="P81" s="3453" t="s">
        <v>3470</v>
      </c>
      <c r="Q81" s="3453" t="s">
        <v>4125</v>
      </c>
      <c r="R81" s="3453" t="s">
        <v>3836</v>
      </c>
      <c r="S81" s="3453" t="s">
        <v>3837</v>
      </c>
      <c r="T81" s="3453" t="s">
        <v>3470</v>
      </c>
      <c r="U81" s="3453" t="s">
        <v>3470</v>
      </c>
      <c r="V81" s="3453" t="s">
        <v>3470</v>
      </c>
      <c r="W81" s="3453" t="s">
        <v>3470</v>
      </c>
      <c r="X81" s="3453">
        <v>0</v>
      </c>
      <c r="Y81" s="3453">
        <v>0</v>
      </c>
      <c r="Z81" s="3454">
        <v>44438.000497685185</v>
      </c>
      <c r="AA81" s="3454">
        <v>44462.000497685185</v>
      </c>
      <c r="AB81" s="3454">
        <v>44481.000497685185</v>
      </c>
      <c r="AC81" s="3454">
        <v>44481.000497685185</v>
      </c>
      <c r="AD81" s="3453" t="s">
        <v>4126</v>
      </c>
      <c r="AE81" s="3453" t="s">
        <v>3472</v>
      </c>
      <c r="AF81" s="3453" t="s">
        <v>4127</v>
      </c>
      <c r="AG81" s="3453" t="s">
        <v>4128</v>
      </c>
      <c r="AH81" s="3453" t="s">
        <v>3791</v>
      </c>
      <c r="AI81" s="3453">
        <v>376000</v>
      </c>
      <c r="AJ81" s="3453">
        <v>75500</v>
      </c>
      <c r="AK81" s="3453" t="s">
        <v>4075</v>
      </c>
      <c r="AL81" s="3453">
        <v>376000</v>
      </c>
      <c r="AM81" s="3453">
        <v>9159.59</v>
      </c>
      <c r="AN81" s="3453">
        <v>9159.59</v>
      </c>
      <c r="AO81" s="3453">
        <v>54958</v>
      </c>
      <c r="AP81" s="3453">
        <v>54958</v>
      </c>
      <c r="AQ81" s="3453" t="s">
        <v>3470</v>
      </c>
      <c r="AR81" s="3453" t="s">
        <v>3470</v>
      </c>
      <c r="AS81" s="3453">
        <v>0</v>
      </c>
      <c r="AT81" s="3453" t="s">
        <v>3767</v>
      </c>
      <c r="AU81" s="3453">
        <v>413600</v>
      </c>
      <c r="AV81" s="3453" t="s">
        <v>3505</v>
      </c>
      <c r="AW81" s="3453">
        <v>75000</v>
      </c>
      <c r="AX81" s="3453">
        <v>60454</v>
      </c>
      <c r="AY81" s="3453">
        <v>10</v>
      </c>
      <c r="AZ81" s="3453">
        <v>20042</v>
      </c>
      <c r="BA81" s="3453"/>
    </row>
    <row r="82" spans="1:53">
      <c r="A82" s="3453" t="s">
        <v>4129</v>
      </c>
      <c r="B82" s="3453" t="s">
        <v>3457</v>
      </c>
      <c r="C82" s="3453" t="s">
        <v>4130</v>
      </c>
      <c r="D82" s="3453" t="s">
        <v>3459</v>
      </c>
      <c r="E82" s="3453" t="s">
        <v>3655</v>
      </c>
      <c r="F82" s="3453" t="s">
        <v>3775</v>
      </c>
      <c r="G82" s="3453" t="s">
        <v>4098</v>
      </c>
      <c r="H82" s="3453" t="s">
        <v>3484</v>
      </c>
      <c r="I82" s="3453">
        <v>43632.26</v>
      </c>
      <c r="J82" s="3453">
        <v>101601</v>
      </c>
      <c r="K82" s="3453">
        <v>2.33</v>
      </c>
      <c r="L82" s="3453" t="s">
        <v>3464</v>
      </c>
      <c r="M82" s="3453" t="s">
        <v>4131</v>
      </c>
      <c r="N82" s="3453" t="s">
        <v>4070</v>
      </c>
      <c r="O82" s="3453">
        <v>12.48</v>
      </c>
      <c r="P82" s="3453" t="s">
        <v>3470</v>
      </c>
      <c r="Q82" s="3453" t="s">
        <v>3470</v>
      </c>
      <c r="R82" s="3453" t="s">
        <v>3979</v>
      </c>
      <c r="S82" s="3453" t="s">
        <v>3743</v>
      </c>
      <c r="T82" s="3453" t="s">
        <v>3470</v>
      </c>
      <c r="U82" s="3453" t="s">
        <v>4132</v>
      </c>
      <c r="V82" s="3453">
        <v>25700</v>
      </c>
      <c r="W82" s="3453">
        <v>25700</v>
      </c>
      <c r="X82" s="3453">
        <v>0</v>
      </c>
      <c r="Y82" s="3453">
        <v>0</v>
      </c>
      <c r="Z82" s="3454">
        <v>44438.000497685185</v>
      </c>
      <c r="AA82" s="3454">
        <v>44462.000497685185</v>
      </c>
      <c r="AB82" s="3454">
        <v>44482.000497685185</v>
      </c>
      <c r="AC82" s="3454">
        <v>44482.000497685185</v>
      </c>
      <c r="AD82" s="3453" t="s">
        <v>4133</v>
      </c>
      <c r="AE82" s="3453" t="s">
        <v>3472</v>
      </c>
      <c r="AF82" s="3453" t="s">
        <v>4134</v>
      </c>
      <c r="AG82" s="3453" t="s">
        <v>4135</v>
      </c>
      <c r="AH82" s="3453" t="s">
        <v>3791</v>
      </c>
      <c r="AI82" s="3453">
        <v>390000</v>
      </c>
      <c r="AJ82" s="3453">
        <v>78000</v>
      </c>
      <c r="AK82" s="3453" t="s">
        <v>4075</v>
      </c>
      <c r="AL82" s="3453">
        <v>418000</v>
      </c>
      <c r="AM82" s="3453">
        <v>5958.89</v>
      </c>
      <c r="AN82" s="3453">
        <v>6386.71</v>
      </c>
      <c r="AO82" s="3453">
        <v>38385</v>
      </c>
      <c r="AP82" s="3453">
        <v>41141</v>
      </c>
      <c r="AQ82" s="3453">
        <v>51383</v>
      </c>
      <c r="AR82" s="3453">
        <v>55072</v>
      </c>
      <c r="AS82" s="3453">
        <v>7.18</v>
      </c>
      <c r="AT82" s="3453" t="s">
        <v>4136</v>
      </c>
      <c r="AU82" s="3453">
        <v>448500</v>
      </c>
      <c r="AV82" s="3453" t="s">
        <v>3505</v>
      </c>
      <c r="AW82" s="3453">
        <v>112000</v>
      </c>
      <c r="AX82" s="3453">
        <v>44143</v>
      </c>
      <c r="AY82" s="3453">
        <v>15</v>
      </c>
      <c r="AZ82" s="3453">
        <v>73615</v>
      </c>
      <c r="BA82" s="3453"/>
    </row>
    <row r="83" spans="1:53" hidden="1">
      <c r="A83" s="3453" t="s">
        <v>4137</v>
      </c>
      <c r="B83" s="3453" t="s">
        <v>3457</v>
      </c>
      <c r="C83" s="3453" t="s">
        <v>4138</v>
      </c>
      <c r="D83" s="3453" t="s">
        <v>3459</v>
      </c>
      <c r="E83" s="3453" t="s">
        <v>3497</v>
      </c>
      <c r="F83" s="3453" t="s">
        <v>3498</v>
      </c>
      <c r="G83" s="3453" t="s">
        <v>3610</v>
      </c>
      <c r="H83" s="3453" t="s">
        <v>3484</v>
      </c>
      <c r="I83" s="3453">
        <v>41530.480000000003</v>
      </c>
      <c r="J83" s="3453">
        <v>90206</v>
      </c>
      <c r="K83" s="3453" t="s">
        <v>4139</v>
      </c>
      <c r="L83" s="3453" t="s">
        <v>3464</v>
      </c>
      <c r="M83" s="3453" t="s">
        <v>4140</v>
      </c>
      <c r="N83" s="3453" t="s">
        <v>4070</v>
      </c>
      <c r="O83" s="3453" t="s">
        <v>3467</v>
      </c>
      <c r="P83" s="3453" t="s">
        <v>4141</v>
      </c>
      <c r="Q83" s="3453" t="s">
        <v>4142</v>
      </c>
      <c r="R83" s="3453" t="s">
        <v>3979</v>
      </c>
      <c r="S83" s="3453" t="s">
        <v>3743</v>
      </c>
      <c r="T83" s="3453" t="s">
        <v>3895</v>
      </c>
      <c r="U83" s="3453" t="s">
        <v>3896</v>
      </c>
      <c r="V83" s="3453" t="s">
        <v>3470</v>
      </c>
      <c r="W83" s="3453" t="s">
        <v>3470</v>
      </c>
      <c r="X83" s="3453">
        <v>0</v>
      </c>
      <c r="Y83" s="3453">
        <v>0</v>
      </c>
      <c r="Z83" s="3454">
        <v>44438.000497685185</v>
      </c>
      <c r="AA83" s="3454">
        <v>44462.000497685185</v>
      </c>
      <c r="AB83" s="3454">
        <v>44482.000497685185</v>
      </c>
      <c r="AC83" s="3454">
        <v>44482.000497685185</v>
      </c>
      <c r="AD83" s="3453" t="s">
        <v>4143</v>
      </c>
      <c r="AE83" s="3453" t="s">
        <v>3472</v>
      </c>
      <c r="AF83" s="3453" t="s">
        <v>3503</v>
      </c>
      <c r="AG83" s="3453" t="s">
        <v>3504</v>
      </c>
      <c r="AH83" s="3453" t="s">
        <v>3475</v>
      </c>
      <c r="AI83" s="3453">
        <v>135000</v>
      </c>
      <c r="AJ83" s="3453">
        <v>27000</v>
      </c>
      <c r="AK83" s="3453" t="s">
        <v>4075</v>
      </c>
      <c r="AL83" s="3453">
        <v>146000</v>
      </c>
      <c r="AM83" s="3453">
        <v>2167.08</v>
      </c>
      <c r="AN83" s="3453">
        <v>2343.66</v>
      </c>
      <c r="AO83" s="3453">
        <v>14966</v>
      </c>
      <c r="AP83" s="3453">
        <v>16185</v>
      </c>
      <c r="AQ83" s="3453" t="s">
        <v>3470</v>
      </c>
      <c r="AR83" s="3453" t="s">
        <v>3470</v>
      </c>
      <c r="AS83" s="3453">
        <v>8.15</v>
      </c>
      <c r="AT83" s="3453" t="s">
        <v>3542</v>
      </c>
      <c r="AU83" s="3453">
        <v>155250</v>
      </c>
      <c r="AV83" s="3453" t="s">
        <v>3505</v>
      </c>
      <c r="AW83" s="3453">
        <v>45000</v>
      </c>
      <c r="AX83" s="3453">
        <v>17211</v>
      </c>
      <c r="AY83" s="3453">
        <v>15</v>
      </c>
      <c r="AZ83" s="3453">
        <v>30034</v>
      </c>
      <c r="BA83" s="3453"/>
    </row>
    <row r="84" spans="1:53" hidden="1">
      <c r="A84" s="3453" t="s">
        <v>4144</v>
      </c>
      <c r="B84" s="3453" t="s">
        <v>3457</v>
      </c>
      <c r="C84" s="3453" t="s">
        <v>4145</v>
      </c>
      <c r="D84" s="3453" t="s">
        <v>3459</v>
      </c>
      <c r="E84" s="3453" t="s">
        <v>3661</v>
      </c>
      <c r="F84" s="3453" t="s">
        <v>4146</v>
      </c>
      <c r="G84" s="3453" t="s">
        <v>4147</v>
      </c>
      <c r="H84" s="3453" t="s">
        <v>3484</v>
      </c>
      <c r="I84" s="3453">
        <v>31161.99</v>
      </c>
      <c r="J84" s="3453">
        <v>71300</v>
      </c>
      <c r="K84" s="3453" t="s">
        <v>4148</v>
      </c>
      <c r="L84" s="3453" t="s">
        <v>3464</v>
      </c>
      <c r="M84" s="3453" t="s">
        <v>3612</v>
      </c>
      <c r="N84" s="3453" t="s">
        <v>4070</v>
      </c>
      <c r="O84" s="3453" t="s">
        <v>3467</v>
      </c>
      <c r="P84" s="3453" t="s">
        <v>3470</v>
      </c>
      <c r="Q84" s="3453" t="s">
        <v>4149</v>
      </c>
      <c r="R84" s="3453" t="s">
        <v>3979</v>
      </c>
      <c r="S84" s="3453" t="s">
        <v>3979</v>
      </c>
      <c r="T84" s="3453" t="s">
        <v>3895</v>
      </c>
      <c r="U84" s="3453" t="s">
        <v>3896</v>
      </c>
      <c r="V84" s="3453" t="s">
        <v>3470</v>
      </c>
      <c r="W84" s="3453" t="s">
        <v>3470</v>
      </c>
      <c r="X84" s="3453">
        <v>0</v>
      </c>
      <c r="Y84" s="3453">
        <v>0</v>
      </c>
      <c r="Z84" s="3454">
        <v>44438.000497685185</v>
      </c>
      <c r="AA84" s="3454">
        <v>44462.000497685185</v>
      </c>
      <c r="AB84" s="3454">
        <v>44482.000497685185</v>
      </c>
      <c r="AC84" s="3454">
        <v>44487.000497685185</v>
      </c>
      <c r="AD84" s="3453" t="s">
        <v>4150</v>
      </c>
      <c r="AE84" s="3453" t="s">
        <v>3472</v>
      </c>
      <c r="AF84" s="3453" t="s">
        <v>4151</v>
      </c>
      <c r="AG84" s="3453" t="s">
        <v>4152</v>
      </c>
      <c r="AH84" s="3453" t="s">
        <v>3747</v>
      </c>
      <c r="AI84" s="3453">
        <v>465000</v>
      </c>
      <c r="AJ84" s="3453">
        <v>93000</v>
      </c>
      <c r="AK84" s="3453" t="s">
        <v>4075</v>
      </c>
      <c r="AL84" s="3453">
        <v>493000</v>
      </c>
      <c r="AM84" s="3453">
        <v>9948.02</v>
      </c>
      <c r="AN84" s="3453">
        <v>10547.04</v>
      </c>
      <c r="AO84" s="3453">
        <v>65217</v>
      </c>
      <c r="AP84" s="3453">
        <v>69144</v>
      </c>
      <c r="AQ84" s="3453" t="s">
        <v>3470</v>
      </c>
      <c r="AR84" s="3453" t="s">
        <v>3470</v>
      </c>
      <c r="AS84" s="3453">
        <v>6.02</v>
      </c>
      <c r="AT84" s="3453" t="s">
        <v>3542</v>
      </c>
      <c r="AU84" s="3453">
        <v>493000</v>
      </c>
      <c r="AV84" s="3453" t="s">
        <v>3478</v>
      </c>
      <c r="AW84" s="3453">
        <v>112000</v>
      </c>
      <c r="AX84" s="3453">
        <v>69144</v>
      </c>
      <c r="AY84" s="3453">
        <v>6.02</v>
      </c>
      <c r="AZ84" s="3453">
        <v>46783</v>
      </c>
      <c r="BA84" s="3453"/>
    </row>
    <row r="85" spans="1:53" hidden="1">
      <c r="A85" s="3453" t="s">
        <v>4153</v>
      </c>
      <c r="B85" s="3453" t="s">
        <v>3457</v>
      </c>
      <c r="C85" s="3453" t="s">
        <v>4154</v>
      </c>
      <c r="D85" s="3453" t="s">
        <v>3459</v>
      </c>
      <c r="E85" s="3453" t="s">
        <v>3481</v>
      </c>
      <c r="F85" s="3453" t="s">
        <v>4155</v>
      </c>
      <c r="G85" s="3453" t="s">
        <v>4156</v>
      </c>
      <c r="H85" s="3453" t="s">
        <v>3463</v>
      </c>
      <c r="I85" s="3453">
        <v>27077.63</v>
      </c>
      <c r="J85" s="3453">
        <v>56500</v>
      </c>
      <c r="K85" s="3453">
        <v>2.1</v>
      </c>
      <c r="L85" s="3453" t="s">
        <v>3464</v>
      </c>
      <c r="M85" s="3453" t="s">
        <v>3465</v>
      </c>
      <c r="N85" s="3453" t="s">
        <v>4070</v>
      </c>
      <c r="O85" s="3453" t="s">
        <v>3467</v>
      </c>
      <c r="P85" s="3453" t="s">
        <v>3470</v>
      </c>
      <c r="Q85" s="3453" t="s">
        <v>4125</v>
      </c>
      <c r="R85" s="3453" t="s">
        <v>3780</v>
      </c>
      <c r="S85" s="3453" t="s">
        <v>3780</v>
      </c>
      <c r="T85" s="3453" t="s">
        <v>3470</v>
      </c>
      <c r="U85" s="3453" t="s">
        <v>3470</v>
      </c>
      <c r="V85" s="3453" t="s">
        <v>3470</v>
      </c>
      <c r="W85" s="3453" t="s">
        <v>3470</v>
      </c>
      <c r="X85" s="3453">
        <v>0</v>
      </c>
      <c r="Y85" s="3453">
        <v>0</v>
      </c>
      <c r="Z85" s="3454">
        <v>44438.000497685185</v>
      </c>
      <c r="AA85" s="3454">
        <v>44462.000497685185</v>
      </c>
      <c r="AB85" s="3454">
        <v>44482.000497685185</v>
      </c>
      <c r="AC85" s="3454">
        <v>44482.000497685185</v>
      </c>
      <c r="AD85" s="3453" t="s">
        <v>4157</v>
      </c>
      <c r="AE85" s="3453" t="s">
        <v>3472</v>
      </c>
      <c r="AF85" s="3453" t="s">
        <v>4158</v>
      </c>
      <c r="AG85" s="3453" t="s">
        <v>4095</v>
      </c>
      <c r="AH85" s="3453" t="s">
        <v>3475</v>
      </c>
      <c r="AI85" s="3453">
        <v>82500</v>
      </c>
      <c r="AJ85" s="3453">
        <v>16500</v>
      </c>
      <c r="AK85" s="3453" t="s">
        <v>4075</v>
      </c>
      <c r="AL85" s="3453">
        <v>94875</v>
      </c>
      <c r="AM85" s="3453">
        <v>2031.2</v>
      </c>
      <c r="AN85" s="3453">
        <v>2335.88</v>
      </c>
      <c r="AO85" s="3453">
        <v>14602</v>
      </c>
      <c r="AP85" s="3453">
        <v>16792</v>
      </c>
      <c r="AQ85" s="3453" t="s">
        <v>3470</v>
      </c>
      <c r="AR85" s="3453" t="s">
        <v>3470</v>
      </c>
      <c r="AS85" s="3453">
        <v>15</v>
      </c>
      <c r="AT85" s="3453" t="s">
        <v>3869</v>
      </c>
      <c r="AU85" s="3453">
        <v>94875</v>
      </c>
      <c r="AV85" s="3453" t="s">
        <v>3478</v>
      </c>
      <c r="AW85" s="3453">
        <v>31900</v>
      </c>
      <c r="AX85" s="3453">
        <v>16792</v>
      </c>
      <c r="AY85" s="3453">
        <v>15</v>
      </c>
      <c r="AZ85" s="3453">
        <v>17298</v>
      </c>
      <c r="BA85" s="3453"/>
    </row>
    <row r="86" spans="1:53" hidden="1">
      <c r="A86" s="3453" t="s">
        <v>4159</v>
      </c>
      <c r="B86" s="3453" t="s">
        <v>3457</v>
      </c>
      <c r="C86" s="3453" t="s">
        <v>4160</v>
      </c>
      <c r="D86" s="3453" t="s">
        <v>3459</v>
      </c>
      <c r="E86" s="3453" t="s">
        <v>3497</v>
      </c>
      <c r="F86" s="3453" t="s">
        <v>4161</v>
      </c>
      <c r="G86" s="3453" t="s">
        <v>4162</v>
      </c>
      <c r="H86" s="3453" t="s">
        <v>3463</v>
      </c>
      <c r="I86" s="3453">
        <v>72250</v>
      </c>
      <c r="J86" s="3453">
        <v>79475</v>
      </c>
      <c r="K86" s="3453">
        <v>1.1000000000000001</v>
      </c>
      <c r="L86" s="3453" t="s">
        <v>3464</v>
      </c>
      <c r="M86" s="3453" t="s">
        <v>3465</v>
      </c>
      <c r="N86" s="3453" t="s">
        <v>4070</v>
      </c>
      <c r="O86" s="3453" t="s">
        <v>3467</v>
      </c>
      <c r="P86" s="3453" t="s">
        <v>3470</v>
      </c>
      <c r="Q86" s="3453" t="s">
        <v>3470</v>
      </c>
      <c r="R86" s="3453" t="s">
        <v>3979</v>
      </c>
      <c r="S86" s="3453" t="s">
        <v>3743</v>
      </c>
      <c r="T86" s="3453" t="s">
        <v>3470</v>
      </c>
      <c r="U86" s="3453" t="s">
        <v>3470</v>
      </c>
      <c r="V86" s="3453" t="s">
        <v>3470</v>
      </c>
      <c r="W86" s="3453" t="s">
        <v>3470</v>
      </c>
      <c r="X86" s="3453">
        <v>0</v>
      </c>
      <c r="Y86" s="3453">
        <v>0</v>
      </c>
      <c r="Z86" s="3454">
        <v>44438.000497685185</v>
      </c>
      <c r="AA86" s="3454">
        <v>44462.000497685185</v>
      </c>
      <c r="AB86" s="3454">
        <v>44481.000497685185</v>
      </c>
      <c r="AC86" s="3454">
        <v>44481.000497685185</v>
      </c>
      <c r="AD86" s="3453" t="s">
        <v>4163</v>
      </c>
      <c r="AE86" s="3453" t="s">
        <v>3472</v>
      </c>
      <c r="AF86" s="3453" t="s">
        <v>4164</v>
      </c>
      <c r="AG86" s="3453" t="s">
        <v>3571</v>
      </c>
      <c r="AH86" s="3453" t="s">
        <v>3493</v>
      </c>
      <c r="AI86" s="3453">
        <v>98300</v>
      </c>
      <c r="AJ86" s="3453">
        <v>20000</v>
      </c>
      <c r="AK86" s="3453" t="s">
        <v>4075</v>
      </c>
      <c r="AL86" s="3453">
        <v>98300</v>
      </c>
      <c r="AM86" s="3453">
        <v>907.04</v>
      </c>
      <c r="AN86" s="3453">
        <v>907.04</v>
      </c>
      <c r="AO86" s="3453">
        <v>12369</v>
      </c>
      <c r="AP86" s="3453">
        <v>12369</v>
      </c>
      <c r="AQ86" s="3453" t="s">
        <v>3470</v>
      </c>
      <c r="AR86" s="3453" t="s">
        <v>3470</v>
      </c>
      <c r="AS86" s="3453">
        <v>0</v>
      </c>
      <c r="AT86" s="3453" t="s">
        <v>3869</v>
      </c>
      <c r="AU86" s="3453">
        <v>103215</v>
      </c>
      <c r="AV86" s="3453" t="s">
        <v>3505</v>
      </c>
      <c r="AW86" s="3453">
        <v>27000</v>
      </c>
      <c r="AX86" s="3453">
        <v>12987</v>
      </c>
      <c r="AY86" s="3453">
        <v>5</v>
      </c>
      <c r="AZ86" s="3453">
        <v>14631</v>
      </c>
      <c r="BA86" s="3453"/>
    </row>
    <row r="87" spans="1:53" hidden="1">
      <c r="A87" s="3453" t="s">
        <v>4165</v>
      </c>
      <c r="B87" s="3453" t="s">
        <v>3457</v>
      </c>
      <c r="C87" s="3453" t="s">
        <v>4166</v>
      </c>
      <c r="D87" s="3453" t="s">
        <v>3459</v>
      </c>
      <c r="E87" s="3453" t="s">
        <v>3661</v>
      </c>
      <c r="F87" s="3453" t="s">
        <v>4146</v>
      </c>
      <c r="G87" s="3453" t="s">
        <v>4147</v>
      </c>
      <c r="H87" s="3453" t="s">
        <v>3463</v>
      </c>
      <c r="I87" s="3453">
        <v>25289.72</v>
      </c>
      <c r="J87" s="3453">
        <v>61500</v>
      </c>
      <c r="K87" s="3453">
        <v>2.4300000000000002</v>
      </c>
      <c r="L87" s="3453" t="s">
        <v>3464</v>
      </c>
      <c r="M87" s="3453" t="s">
        <v>3465</v>
      </c>
      <c r="N87" s="3453" t="s">
        <v>4070</v>
      </c>
      <c r="O87" s="3453" t="s">
        <v>3467</v>
      </c>
      <c r="P87" s="3453" t="s">
        <v>3470</v>
      </c>
      <c r="Q87" s="3453" t="s">
        <v>4125</v>
      </c>
      <c r="R87" s="3453" t="s">
        <v>3979</v>
      </c>
      <c r="S87" s="3453" t="s">
        <v>3979</v>
      </c>
      <c r="T87" s="3453" t="s">
        <v>3895</v>
      </c>
      <c r="U87" s="3453" t="s">
        <v>3896</v>
      </c>
      <c r="V87" s="3453" t="s">
        <v>3470</v>
      </c>
      <c r="W87" s="3453" t="s">
        <v>3470</v>
      </c>
      <c r="X87" s="3453">
        <v>0</v>
      </c>
      <c r="Y87" s="3453">
        <v>0</v>
      </c>
      <c r="Z87" s="3454">
        <v>44438.000497685185</v>
      </c>
      <c r="AA87" s="3454">
        <v>44462.000497685185</v>
      </c>
      <c r="AB87" s="3454">
        <v>44482.000497685185</v>
      </c>
      <c r="AC87" s="3454">
        <v>44487.000497685185</v>
      </c>
      <c r="AD87" s="3453" t="s">
        <v>4167</v>
      </c>
      <c r="AE87" s="3453" t="s">
        <v>3472</v>
      </c>
      <c r="AF87" s="3453" t="s">
        <v>4151</v>
      </c>
      <c r="AG87" s="3453" t="s">
        <v>4168</v>
      </c>
      <c r="AH87" s="3453" t="s">
        <v>3747</v>
      </c>
      <c r="AI87" s="3453">
        <v>419000</v>
      </c>
      <c r="AJ87" s="3453">
        <v>84000</v>
      </c>
      <c r="AK87" s="3453" t="s">
        <v>4075</v>
      </c>
      <c r="AL87" s="3453">
        <v>444000</v>
      </c>
      <c r="AM87" s="3453">
        <v>11045.33</v>
      </c>
      <c r="AN87" s="3453">
        <v>11704.36</v>
      </c>
      <c r="AO87" s="3453">
        <v>68130</v>
      </c>
      <c r="AP87" s="3453">
        <v>72195</v>
      </c>
      <c r="AQ87" s="3453" t="s">
        <v>3470</v>
      </c>
      <c r="AR87" s="3453" t="s">
        <v>3470</v>
      </c>
      <c r="AS87" s="3453">
        <v>5.97</v>
      </c>
      <c r="AT87" s="3453" t="s">
        <v>3869</v>
      </c>
      <c r="AU87" s="3453">
        <v>444000</v>
      </c>
      <c r="AV87" s="3453" t="s">
        <v>3478</v>
      </c>
      <c r="AW87" s="3453">
        <v>112000</v>
      </c>
      <c r="AX87" s="3453">
        <v>72195</v>
      </c>
      <c r="AY87" s="3453">
        <v>5.97</v>
      </c>
      <c r="AZ87" s="3453">
        <v>43870</v>
      </c>
      <c r="BA87" s="3453"/>
    </row>
    <row r="88" spans="1:53" hidden="1">
      <c r="A88" s="3453" t="s">
        <v>4169</v>
      </c>
      <c r="B88" s="3453" t="s">
        <v>3457</v>
      </c>
      <c r="C88" s="3453" t="s">
        <v>4170</v>
      </c>
      <c r="D88" s="3453" t="s">
        <v>3459</v>
      </c>
      <c r="E88" s="3453" t="s">
        <v>3802</v>
      </c>
      <c r="F88" s="3453" t="s">
        <v>4171</v>
      </c>
      <c r="G88" s="3453" t="s">
        <v>4172</v>
      </c>
      <c r="H88" s="3453" t="s">
        <v>3463</v>
      </c>
      <c r="I88" s="3453">
        <v>30675.919999999998</v>
      </c>
      <c r="J88" s="3453">
        <v>76689.8</v>
      </c>
      <c r="K88" s="3453" t="s">
        <v>3760</v>
      </c>
      <c r="L88" s="3453" t="s">
        <v>4173</v>
      </c>
      <c r="M88" s="3453" t="s">
        <v>4174</v>
      </c>
      <c r="N88" s="3453" t="s">
        <v>4070</v>
      </c>
      <c r="O88" s="3453" t="s">
        <v>3467</v>
      </c>
      <c r="P88" s="3453">
        <v>0.35</v>
      </c>
      <c r="Q88" s="3453" t="s">
        <v>4125</v>
      </c>
      <c r="R88" s="3453" t="s">
        <v>4175</v>
      </c>
      <c r="S88" s="3453" t="s">
        <v>4175</v>
      </c>
      <c r="T88" s="3453" t="s">
        <v>4176</v>
      </c>
      <c r="U88" s="3453" t="s">
        <v>3470</v>
      </c>
      <c r="V88" s="3453" t="s">
        <v>3470</v>
      </c>
      <c r="W88" s="3453" t="s">
        <v>3470</v>
      </c>
      <c r="X88" s="3453">
        <v>76689.8</v>
      </c>
      <c r="Y88" s="3453">
        <v>76689.8</v>
      </c>
      <c r="Z88" s="3454">
        <v>44438.000497685185</v>
      </c>
      <c r="AA88" s="3454">
        <v>44463.000497685185</v>
      </c>
      <c r="AB88" s="3454">
        <v>44463.000497685185</v>
      </c>
      <c r="AC88" s="3454">
        <v>44465.000497685185</v>
      </c>
      <c r="AD88" s="3453" t="s">
        <v>4177</v>
      </c>
      <c r="AE88" s="3453" t="s">
        <v>3472</v>
      </c>
      <c r="AF88" s="3453" t="s">
        <v>4178</v>
      </c>
      <c r="AG88" s="3453" t="s">
        <v>3653</v>
      </c>
      <c r="AH88" s="3453" t="s">
        <v>3493</v>
      </c>
      <c r="AI88" s="3453">
        <v>34710</v>
      </c>
      <c r="AJ88" s="3453">
        <v>7000</v>
      </c>
      <c r="AK88" s="3453" t="s">
        <v>4179</v>
      </c>
      <c r="AL88" s="3453">
        <v>34710</v>
      </c>
      <c r="AM88" s="3453">
        <v>754.34</v>
      </c>
      <c r="AN88" s="3453">
        <v>754.34</v>
      </c>
      <c r="AO88" s="3453">
        <v>4526</v>
      </c>
      <c r="AP88" s="3453">
        <v>4526</v>
      </c>
      <c r="AQ88" s="3453" t="s">
        <v>3470</v>
      </c>
      <c r="AR88" s="3453" t="s">
        <v>3470</v>
      </c>
      <c r="AS88" s="3453">
        <v>0</v>
      </c>
      <c r="AT88" s="3453" t="s">
        <v>3869</v>
      </c>
      <c r="AU88" s="3453" t="s">
        <v>3467</v>
      </c>
      <c r="AV88" s="3453" t="s">
        <v>3470</v>
      </c>
      <c r="AW88" s="3453">
        <v>16500</v>
      </c>
      <c r="AX88" s="3453" t="s">
        <v>3470</v>
      </c>
      <c r="AY88" s="3453" t="s">
        <v>3470</v>
      </c>
      <c r="AZ88" s="3453">
        <v>11974</v>
      </c>
      <c r="BA88" s="3453"/>
    </row>
    <row r="89" spans="1:53" hidden="1">
      <c r="A89" s="3453" t="s">
        <v>4180</v>
      </c>
      <c r="B89" s="3453" t="s">
        <v>3457</v>
      </c>
      <c r="C89" s="3453" t="s">
        <v>4181</v>
      </c>
      <c r="D89" s="3453" t="s">
        <v>3459</v>
      </c>
      <c r="E89" s="3453" t="s">
        <v>3661</v>
      </c>
      <c r="F89" s="3453" t="s">
        <v>3662</v>
      </c>
      <c r="G89" s="3453" t="s">
        <v>4068</v>
      </c>
      <c r="H89" s="3453" t="s">
        <v>3484</v>
      </c>
      <c r="I89" s="3453">
        <v>59060.26</v>
      </c>
      <c r="J89" s="3453">
        <v>86350.39</v>
      </c>
      <c r="K89" s="3453" t="s">
        <v>4182</v>
      </c>
      <c r="L89" s="3453" t="s">
        <v>3464</v>
      </c>
      <c r="M89" s="3453" t="s">
        <v>3612</v>
      </c>
      <c r="N89" s="3453" t="s">
        <v>4070</v>
      </c>
      <c r="O89" s="3453" t="s">
        <v>3467</v>
      </c>
      <c r="P89" s="3453" t="s">
        <v>3470</v>
      </c>
      <c r="Q89" s="3453" t="s">
        <v>4183</v>
      </c>
      <c r="R89" s="3453" t="s">
        <v>3979</v>
      </c>
      <c r="S89" s="3453" t="s">
        <v>3743</v>
      </c>
      <c r="T89" s="3453" t="s">
        <v>3470</v>
      </c>
      <c r="U89" s="3453" t="s">
        <v>3470</v>
      </c>
      <c r="V89" s="3453" t="s">
        <v>3470</v>
      </c>
      <c r="W89" s="3453" t="s">
        <v>3470</v>
      </c>
      <c r="X89" s="3453">
        <v>0</v>
      </c>
      <c r="Y89" s="3453">
        <v>0</v>
      </c>
      <c r="Z89" s="3454">
        <v>44438.000497685185</v>
      </c>
      <c r="AA89" s="3454">
        <v>44462.000497685185</v>
      </c>
      <c r="AB89" s="3454">
        <v>44482.000497685185</v>
      </c>
      <c r="AC89" s="3454">
        <v>44482.000497685185</v>
      </c>
      <c r="AD89" s="3453" t="s">
        <v>4184</v>
      </c>
      <c r="AE89" s="3453" t="s">
        <v>3472</v>
      </c>
      <c r="AF89" s="3453" t="s">
        <v>3887</v>
      </c>
      <c r="AG89" s="3453" t="s">
        <v>3551</v>
      </c>
      <c r="AH89" s="3453" t="s">
        <v>3475</v>
      </c>
      <c r="AI89" s="3453">
        <v>426000</v>
      </c>
      <c r="AJ89" s="3453">
        <v>85500</v>
      </c>
      <c r="AK89" s="3453" t="s">
        <v>4075</v>
      </c>
      <c r="AL89" s="3453">
        <v>450000</v>
      </c>
      <c r="AM89" s="3453">
        <v>4808.6499999999996</v>
      </c>
      <c r="AN89" s="3453">
        <v>5079.5600000000004</v>
      </c>
      <c r="AO89" s="3453">
        <v>49334</v>
      </c>
      <c r="AP89" s="3453">
        <v>52113</v>
      </c>
      <c r="AQ89" s="3453" t="s">
        <v>3470</v>
      </c>
      <c r="AR89" s="3453" t="s">
        <v>3470</v>
      </c>
      <c r="AS89" s="3453">
        <v>5.63</v>
      </c>
      <c r="AT89" s="3453" t="s">
        <v>3542</v>
      </c>
      <c r="AU89" s="3453">
        <v>468600</v>
      </c>
      <c r="AV89" s="3453" t="s">
        <v>3505</v>
      </c>
      <c r="AW89" s="3453">
        <v>83000</v>
      </c>
      <c r="AX89" s="3453">
        <v>54267</v>
      </c>
      <c r="AY89" s="3453">
        <v>10</v>
      </c>
      <c r="AZ89" s="3453">
        <v>33666</v>
      </c>
      <c r="BA89" s="3453"/>
    </row>
    <row r="90" spans="1:53" hidden="1">
      <c r="A90" s="3453" t="s">
        <v>4185</v>
      </c>
      <c r="B90" s="3453" t="s">
        <v>3457</v>
      </c>
      <c r="C90" s="3453" t="s">
        <v>4186</v>
      </c>
      <c r="D90" s="3453" t="s">
        <v>3459</v>
      </c>
      <c r="E90" s="3453" t="s">
        <v>3556</v>
      </c>
      <c r="F90" s="3453" t="s">
        <v>3557</v>
      </c>
      <c r="G90" s="3453" t="s">
        <v>3558</v>
      </c>
      <c r="H90" s="3453" t="s">
        <v>3484</v>
      </c>
      <c r="I90" s="3453">
        <v>26024.34</v>
      </c>
      <c r="J90" s="3453">
        <v>66171.58</v>
      </c>
      <c r="K90" s="3453" t="s">
        <v>4187</v>
      </c>
      <c r="L90" s="3453" t="s">
        <v>3464</v>
      </c>
      <c r="M90" s="3453" t="s">
        <v>3700</v>
      </c>
      <c r="N90" s="3453" t="s">
        <v>4070</v>
      </c>
      <c r="O90" s="3453" t="s">
        <v>3467</v>
      </c>
      <c r="P90" s="3453" t="s">
        <v>3470</v>
      </c>
      <c r="Q90" s="3453" t="s">
        <v>4188</v>
      </c>
      <c r="R90" s="3453" t="s">
        <v>3979</v>
      </c>
      <c r="S90" s="3453" t="s">
        <v>3743</v>
      </c>
      <c r="T90" s="3453" t="s">
        <v>3895</v>
      </c>
      <c r="U90" s="3453" t="s">
        <v>3896</v>
      </c>
      <c r="V90" s="3453" t="s">
        <v>3470</v>
      </c>
      <c r="W90" s="3453" t="s">
        <v>3470</v>
      </c>
      <c r="X90" s="3453">
        <v>0</v>
      </c>
      <c r="Y90" s="3453">
        <v>0</v>
      </c>
      <c r="Z90" s="3454">
        <v>44438.000497685185</v>
      </c>
      <c r="AA90" s="3454">
        <v>44462.000497685185</v>
      </c>
      <c r="AB90" s="3454">
        <v>44482.000497685185</v>
      </c>
      <c r="AC90" s="3454">
        <v>44482.000497685185</v>
      </c>
      <c r="AD90" s="3453" t="s">
        <v>4189</v>
      </c>
      <c r="AE90" s="3453" t="s">
        <v>3472</v>
      </c>
      <c r="AF90" s="3453" t="s">
        <v>4190</v>
      </c>
      <c r="AG90" s="3453" t="s">
        <v>4191</v>
      </c>
      <c r="AH90" s="3453" t="s">
        <v>3634</v>
      </c>
      <c r="AI90" s="3453">
        <v>120000</v>
      </c>
      <c r="AJ90" s="3453">
        <v>24000</v>
      </c>
      <c r="AK90" s="3453" t="s">
        <v>4075</v>
      </c>
      <c r="AL90" s="3453">
        <v>121800</v>
      </c>
      <c r="AM90" s="3453">
        <v>3074.05</v>
      </c>
      <c r="AN90" s="3453">
        <v>3120.16</v>
      </c>
      <c r="AO90" s="3453">
        <v>18135</v>
      </c>
      <c r="AP90" s="3453">
        <v>18407</v>
      </c>
      <c r="AQ90" s="3453" t="s">
        <v>3470</v>
      </c>
      <c r="AR90" s="3453" t="s">
        <v>3470</v>
      </c>
      <c r="AS90" s="3453">
        <v>1.5</v>
      </c>
      <c r="AT90" s="3453" t="s">
        <v>4112</v>
      </c>
      <c r="AU90" s="3453">
        <v>138000</v>
      </c>
      <c r="AV90" s="3453" t="s">
        <v>3505</v>
      </c>
      <c r="AW90" s="3453">
        <v>61000</v>
      </c>
      <c r="AX90" s="3453">
        <v>20855</v>
      </c>
      <c r="AY90" s="3453">
        <v>15</v>
      </c>
      <c r="AZ90" s="3453">
        <v>42865</v>
      </c>
      <c r="BA90" s="3453"/>
    </row>
    <row r="91" spans="1:53" hidden="1">
      <c r="A91" s="3453" t="s">
        <v>4192</v>
      </c>
      <c r="B91" s="3453" t="s">
        <v>3457</v>
      </c>
      <c r="C91" s="3453" t="s">
        <v>4193</v>
      </c>
      <c r="D91" s="3453" t="s">
        <v>3459</v>
      </c>
      <c r="E91" s="3453" t="s">
        <v>3481</v>
      </c>
      <c r="F91" s="3453" t="s">
        <v>3482</v>
      </c>
      <c r="G91" s="3453" t="s">
        <v>3621</v>
      </c>
      <c r="H91" s="3453" t="s">
        <v>3484</v>
      </c>
      <c r="I91" s="3453">
        <v>67586.429999999993</v>
      </c>
      <c r="J91" s="3453">
        <v>149027</v>
      </c>
      <c r="K91" s="3453" t="s">
        <v>4194</v>
      </c>
      <c r="L91" s="3453" t="s">
        <v>3464</v>
      </c>
      <c r="M91" s="3453" t="s">
        <v>3612</v>
      </c>
      <c r="N91" s="3453" t="s">
        <v>4195</v>
      </c>
      <c r="O91" s="3453" t="s">
        <v>3467</v>
      </c>
      <c r="P91" s="3453" t="s">
        <v>3470</v>
      </c>
      <c r="Q91" s="3453" t="s">
        <v>4196</v>
      </c>
      <c r="R91" s="3453" t="s">
        <v>4197</v>
      </c>
      <c r="S91" s="3453" t="s">
        <v>4198</v>
      </c>
      <c r="T91" s="3453" t="s">
        <v>3602</v>
      </c>
      <c r="U91" s="3453" t="s">
        <v>4132</v>
      </c>
      <c r="V91" s="3453">
        <v>14100</v>
      </c>
      <c r="W91" s="3453">
        <v>14100</v>
      </c>
      <c r="X91" s="3453">
        <v>0</v>
      </c>
      <c r="Y91" s="3453">
        <v>0</v>
      </c>
      <c r="Z91" s="3454">
        <v>44286.000497685185</v>
      </c>
      <c r="AA91" s="3454">
        <v>44308.000497685185</v>
      </c>
      <c r="AB91" s="3454">
        <v>44324.000497685185</v>
      </c>
      <c r="AC91" s="3454">
        <v>44327.000497685185</v>
      </c>
      <c r="AD91" s="3453" t="s">
        <v>4199</v>
      </c>
      <c r="AE91" s="3453" t="s">
        <v>3472</v>
      </c>
      <c r="AF91" s="3453" t="s">
        <v>4200</v>
      </c>
      <c r="AG91" s="3453" t="s">
        <v>4201</v>
      </c>
      <c r="AH91" s="3453" t="s">
        <v>3766</v>
      </c>
      <c r="AI91" s="3453">
        <v>475000</v>
      </c>
      <c r="AJ91" s="3453">
        <v>95000</v>
      </c>
      <c r="AK91" s="3453" t="s">
        <v>4202</v>
      </c>
      <c r="AL91" s="3453">
        <v>499000</v>
      </c>
      <c r="AM91" s="3453">
        <v>4685.3599999999997</v>
      </c>
      <c r="AN91" s="3453">
        <v>4922.09</v>
      </c>
      <c r="AO91" s="3453">
        <v>31873</v>
      </c>
      <c r="AP91" s="3453">
        <v>33484</v>
      </c>
      <c r="AQ91" s="3453">
        <v>35204</v>
      </c>
      <c r="AR91" s="3453">
        <v>36983</v>
      </c>
      <c r="AS91" s="3453">
        <v>5.05</v>
      </c>
      <c r="AT91" s="3453" t="s">
        <v>4112</v>
      </c>
      <c r="AU91" s="3453">
        <v>499000</v>
      </c>
      <c r="AV91" s="3453" t="s">
        <v>3478</v>
      </c>
      <c r="AW91" s="3453" t="s">
        <v>3467</v>
      </c>
      <c r="AX91" s="3453">
        <v>33484</v>
      </c>
      <c r="AY91" s="3453">
        <v>5.05</v>
      </c>
      <c r="AZ91" s="3453" t="s">
        <v>3470</v>
      </c>
      <c r="BA91" s="3453"/>
    </row>
    <row r="92" spans="1:53" hidden="1">
      <c r="A92" s="3453" t="s">
        <v>4203</v>
      </c>
      <c r="B92" s="3453" t="s">
        <v>3457</v>
      </c>
      <c r="C92" s="3453" t="s">
        <v>4204</v>
      </c>
      <c r="D92" s="3453" t="s">
        <v>3459</v>
      </c>
      <c r="E92" s="3453" t="s">
        <v>3670</v>
      </c>
      <c r="F92" s="3453" t="s">
        <v>4205</v>
      </c>
      <c r="G92" s="3453" t="s">
        <v>4206</v>
      </c>
      <c r="H92" s="3453" t="s">
        <v>3463</v>
      </c>
      <c r="I92" s="3453">
        <v>58351.58</v>
      </c>
      <c r="J92" s="3453">
        <v>116703</v>
      </c>
      <c r="K92" s="3453" t="s">
        <v>3638</v>
      </c>
      <c r="L92" s="3453" t="s">
        <v>3464</v>
      </c>
      <c r="M92" s="3453" t="s">
        <v>3465</v>
      </c>
      <c r="N92" s="3453" t="s">
        <v>4195</v>
      </c>
      <c r="O92" s="3453" t="s">
        <v>3467</v>
      </c>
      <c r="P92" s="3453" t="s">
        <v>4207</v>
      </c>
      <c r="Q92" s="3453" t="s">
        <v>4208</v>
      </c>
      <c r="R92" s="3453" t="s">
        <v>4209</v>
      </c>
      <c r="S92" s="3453" t="s">
        <v>4209</v>
      </c>
      <c r="T92" s="3453" t="s">
        <v>3470</v>
      </c>
      <c r="U92" s="3453" t="s">
        <v>3470</v>
      </c>
      <c r="V92" s="3453">
        <v>0</v>
      </c>
      <c r="W92" s="3453">
        <v>0</v>
      </c>
      <c r="X92" s="3453">
        <v>0</v>
      </c>
      <c r="Y92" s="3453">
        <v>0</v>
      </c>
      <c r="Z92" s="3454">
        <v>44286.000497685185</v>
      </c>
      <c r="AA92" s="3454">
        <v>44308.000497685185</v>
      </c>
      <c r="AB92" s="3454">
        <v>44324.000497685185</v>
      </c>
      <c r="AC92" s="3454">
        <v>44341.000497685185</v>
      </c>
      <c r="AD92" s="3453" t="s">
        <v>4210</v>
      </c>
      <c r="AE92" s="3453" t="s">
        <v>3472</v>
      </c>
      <c r="AF92" s="3453" t="s">
        <v>4211</v>
      </c>
      <c r="AG92" s="3453" t="s">
        <v>4212</v>
      </c>
      <c r="AH92" s="3453" t="s">
        <v>3791</v>
      </c>
      <c r="AI92" s="3453">
        <v>151200</v>
      </c>
      <c r="AJ92" s="3453">
        <v>31000</v>
      </c>
      <c r="AK92" s="3453" t="s">
        <v>4202</v>
      </c>
      <c r="AL92" s="3453">
        <v>173800</v>
      </c>
      <c r="AM92" s="3453">
        <v>1727.46</v>
      </c>
      <c r="AN92" s="3453">
        <v>1985.66</v>
      </c>
      <c r="AO92" s="3453">
        <v>12956</v>
      </c>
      <c r="AP92" s="3453">
        <v>14893</v>
      </c>
      <c r="AQ92" s="3453" t="s">
        <v>3470</v>
      </c>
      <c r="AR92" s="3453" t="s">
        <v>3470</v>
      </c>
      <c r="AS92" s="3453">
        <v>14.95</v>
      </c>
      <c r="AT92" s="3453" t="s">
        <v>4112</v>
      </c>
      <c r="AU92" s="3453">
        <v>173800</v>
      </c>
      <c r="AV92" s="3453" t="s">
        <v>3478</v>
      </c>
      <c r="AW92" s="3453" t="s">
        <v>3467</v>
      </c>
      <c r="AX92" s="3453">
        <v>14893</v>
      </c>
      <c r="AY92" s="3453">
        <v>14.95</v>
      </c>
      <c r="AZ92" s="3453" t="s">
        <v>3470</v>
      </c>
      <c r="BA92" s="3453"/>
    </row>
    <row r="93" spans="1:53" hidden="1">
      <c r="A93" s="3453" t="s">
        <v>4213</v>
      </c>
      <c r="B93" s="3453" t="s">
        <v>3457</v>
      </c>
      <c r="C93" s="3453" t="s">
        <v>4214</v>
      </c>
      <c r="D93" s="3453" t="s">
        <v>3459</v>
      </c>
      <c r="E93" s="3453" t="s">
        <v>3508</v>
      </c>
      <c r="F93" s="3453" t="s">
        <v>4215</v>
      </c>
      <c r="G93" s="3453" t="s">
        <v>4216</v>
      </c>
      <c r="H93" s="3453" t="s">
        <v>3484</v>
      </c>
      <c r="I93" s="3453">
        <v>104979.3</v>
      </c>
      <c r="J93" s="3453">
        <v>177256.92</v>
      </c>
      <c r="K93" s="3453" t="s">
        <v>4217</v>
      </c>
      <c r="L93" s="3453" t="s">
        <v>3464</v>
      </c>
      <c r="M93" s="3453" t="s">
        <v>4218</v>
      </c>
      <c r="N93" s="3453" t="s">
        <v>4195</v>
      </c>
      <c r="O93" s="3453">
        <v>1.77</v>
      </c>
      <c r="P93" s="3453" t="s">
        <v>4207</v>
      </c>
      <c r="Q93" s="3453" t="s">
        <v>4219</v>
      </c>
      <c r="R93" s="3453" t="s">
        <v>4220</v>
      </c>
      <c r="S93" s="3453" t="s">
        <v>4221</v>
      </c>
      <c r="T93" s="3453" t="s">
        <v>3470</v>
      </c>
      <c r="U93" s="3453" t="s">
        <v>3470</v>
      </c>
      <c r="V93" s="3453">
        <v>0</v>
      </c>
      <c r="W93" s="3453">
        <v>0</v>
      </c>
      <c r="X93" s="3453">
        <v>0</v>
      </c>
      <c r="Y93" s="3453">
        <v>0</v>
      </c>
      <c r="Z93" s="3454">
        <v>44286.000497685185</v>
      </c>
      <c r="AA93" s="3454">
        <v>44308.000497685185</v>
      </c>
      <c r="AB93" s="3454">
        <v>44324.000497685185</v>
      </c>
      <c r="AC93" s="3454">
        <v>44327.000497685185</v>
      </c>
      <c r="AD93" s="3453" t="s">
        <v>4222</v>
      </c>
      <c r="AE93" s="3453" t="s">
        <v>3472</v>
      </c>
      <c r="AF93" s="3453" t="s">
        <v>4223</v>
      </c>
      <c r="AG93" s="3453" t="s">
        <v>4047</v>
      </c>
      <c r="AH93" s="3453" t="s">
        <v>3867</v>
      </c>
      <c r="AI93" s="3453">
        <v>447000</v>
      </c>
      <c r="AJ93" s="3453">
        <v>90000</v>
      </c>
      <c r="AK93" s="3453" t="s">
        <v>4202</v>
      </c>
      <c r="AL93" s="3453">
        <v>451600</v>
      </c>
      <c r="AM93" s="3453">
        <v>2838.65</v>
      </c>
      <c r="AN93" s="3453">
        <v>2867.87</v>
      </c>
      <c r="AO93" s="3453">
        <v>25218</v>
      </c>
      <c r="AP93" s="3453">
        <v>25477</v>
      </c>
      <c r="AQ93" s="3453" t="s">
        <v>3470</v>
      </c>
      <c r="AR93" s="3453" t="s">
        <v>3470</v>
      </c>
      <c r="AS93" s="3453">
        <v>1.03</v>
      </c>
      <c r="AT93" s="3453" t="s">
        <v>4112</v>
      </c>
      <c r="AU93" s="3453">
        <v>491500</v>
      </c>
      <c r="AV93" s="3453" t="s">
        <v>3505</v>
      </c>
      <c r="AW93" s="3453" t="s">
        <v>3467</v>
      </c>
      <c r="AX93" s="3453">
        <v>27728</v>
      </c>
      <c r="AY93" s="3453">
        <v>9.9600000000000009</v>
      </c>
      <c r="AZ93" s="3453" t="s">
        <v>3470</v>
      </c>
      <c r="BA93" s="3453"/>
    </row>
    <row r="94" spans="1:53" hidden="1">
      <c r="A94" s="3453" t="s">
        <v>4224</v>
      </c>
      <c r="B94" s="3453" t="s">
        <v>3457</v>
      </c>
      <c r="C94" s="3453" t="s">
        <v>4225</v>
      </c>
      <c r="D94" s="3453" t="s">
        <v>3459</v>
      </c>
      <c r="E94" s="3453" t="s">
        <v>3460</v>
      </c>
      <c r="F94" s="3453" t="s">
        <v>3565</v>
      </c>
      <c r="G94" s="3453" t="s">
        <v>3588</v>
      </c>
      <c r="H94" s="3453" t="s">
        <v>3484</v>
      </c>
      <c r="I94" s="3453">
        <v>23471.66</v>
      </c>
      <c r="J94" s="3453">
        <v>70415</v>
      </c>
      <c r="K94" s="3453" t="s">
        <v>4226</v>
      </c>
      <c r="L94" s="3453" t="s">
        <v>3464</v>
      </c>
      <c r="M94" s="3453" t="s">
        <v>3843</v>
      </c>
      <c r="N94" s="3453" t="s">
        <v>4195</v>
      </c>
      <c r="O94" s="3453" t="s">
        <v>3467</v>
      </c>
      <c r="P94" s="3453" t="s">
        <v>4207</v>
      </c>
      <c r="Q94" s="3453" t="s">
        <v>4227</v>
      </c>
      <c r="R94" s="3453" t="s">
        <v>4228</v>
      </c>
      <c r="S94" s="3453" t="s">
        <v>4228</v>
      </c>
      <c r="T94" s="3453" t="s">
        <v>3470</v>
      </c>
      <c r="U94" s="3453" t="s">
        <v>3470</v>
      </c>
      <c r="V94" s="3453" t="s">
        <v>3470</v>
      </c>
      <c r="W94" s="3453">
        <v>0</v>
      </c>
      <c r="X94" s="3453">
        <v>0</v>
      </c>
      <c r="Y94" s="3453">
        <v>0</v>
      </c>
      <c r="Z94" s="3454">
        <v>44286.000497685185</v>
      </c>
      <c r="AA94" s="3454">
        <v>44308.000497685185</v>
      </c>
      <c r="AB94" s="3454">
        <v>44324.000497685185</v>
      </c>
      <c r="AC94" s="3454">
        <v>44343.000497685185</v>
      </c>
      <c r="AD94" s="3453" t="s">
        <v>4229</v>
      </c>
      <c r="AE94" s="3453" t="s">
        <v>3472</v>
      </c>
      <c r="AF94" s="3453" t="s">
        <v>4230</v>
      </c>
      <c r="AG94" s="3453" t="s">
        <v>3625</v>
      </c>
      <c r="AH94" s="3453" t="s">
        <v>3493</v>
      </c>
      <c r="AI94" s="3453">
        <v>243500</v>
      </c>
      <c r="AJ94" s="3453">
        <v>49000</v>
      </c>
      <c r="AK94" s="3453" t="s">
        <v>4202</v>
      </c>
      <c r="AL94" s="3453">
        <v>280000</v>
      </c>
      <c r="AM94" s="3453">
        <v>6916.14</v>
      </c>
      <c r="AN94" s="3453">
        <v>7952.85</v>
      </c>
      <c r="AO94" s="3453">
        <v>34581</v>
      </c>
      <c r="AP94" s="3453">
        <v>39764</v>
      </c>
      <c r="AQ94" s="3453" t="s">
        <v>3470</v>
      </c>
      <c r="AR94" s="3453" t="s">
        <v>3470</v>
      </c>
      <c r="AS94" s="3453">
        <v>14.99</v>
      </c>
      <c r="AT94" s="3453" t="s">
        <v>4112</v>
      </c>
      <c r="AU94" s="3453">
        <v>280000</v>
      </c>
      <c r="AV94" s="3453" t="s">
        <v>3478</v>
      </c>
      <c r="AW94" s="3453" t="s">
        <v>3467</v>
      </c>
      <c r="AX94" s="3453">
        <v>39764</v>
      </c>
      <c r="AY94" s="3453">
        <v>14.99</v>
      </c>
      <c r="AZ94" s="3453" t="s">
        <v>3470</v>
      </c>
      <c r="BA94" s="3453"/>
    </row>
    <row r="95" spans="1:53" hidden="1">
      <c r="A95" s="3453" t="s">
        <v>4231</v>
      </c>
      <c r="B95" s="3453" t="s">
        <v>3457</v>
      </c>
      <c r="C95" s="3453" t="s">
        <v>4232</v>
      </c>
      <c r="D95" s="3453" t="s">
        <v>3459</v>
      </c>
      <c r="E95" s="3453" t="s">
        <v>3508</v>
      </c>
      <c r="F95" s="3453" t="s">
        <v>3509</v>
      </c>
      <c r="G95" s="3453" t="s">
        <v>4233</v>
      </c>
      <c r="H95" s="3453" t="s">
        <v>3484</v>
      </c>
      <c r="I95" s="3453">
        <v>124063.23</v>
      </c>
      <c r="J95" s="3453">
        <v>240662.81</v>
      </c>
      <c r="K95" s="3453" t="s">
        <v>4234</v>
      </c>
      <c r="L95" s="3453" t="s">
        <v>3464</v>
      </c>
      <c r="M95" s="3453" t="s">
        <v>4235</v>
      </c>
      <c r="N95" s="3453" t="s">
        <v>4195</v>
      </c>
      <c r="O95" s="3453" t="s">
        <v>3467</v>
      </c>
      <c r="P95" s="3453" t="s">
        <v>4236</v>
      </c>
      <c r="Q95" s="3453" t="s">
        <v>4237</v>
      </c>
      <c r="R95" s="3453" t="s">
        <v>3836</v>
      </c>
      <c r="S95" s="3453" t="s">
        <v>3837</v>
      </c>
      <c r="T95" s="3453" t="s">
        <v>4238</v>
      </c>
      <c r="U95" s="3453" t="s">
        <v>4239</v>
      </c>
      <c r="V95" s="3453" t="s">
        <v>3470</v>
      </c>
      <c r="W95" s="3453">
        <v>0</v>
      </c>
      <c r="X95" s="3453">
        <v>0</v>
      </c>
      <c r="Y95" s="3453">
        <v>0</v>
      </c>
      <c r="Z95" s="3454">
        <v>44286.000497685185</v>
      </c>
      <c r="AA95" s="3454">
        <v>44308.000497685185</v>
      </c>
      <c r="AB95" s="3454">
        <v>44324.000497685185</v>
      </c>
      <c r="AC95" s="3454">
        <v>44327.000497685185</v>
      </c>
      <c r="AD95" s="3453" t="s">
        <v>4240</v>
      </c>
      <c r="AE95" s="3453" t="s">
        <v>3472</v>
      </c>
      <c r="AF95" s="3453" t="s">
        <v>4241</v>
      </c>
      <c r="AG95" s="3453" t="s">
        <v>4242</v>
      </c>
      <c r="AH95" s="3453" t="s">
        <v>3530</v>
      </c>
      <c r="AI95" s="3453">
        <v>358000</v>
      </c>
      <c r="AJ95" s="3453">
        <v>72000</v>
      </c>
      <c r="AK95" s="3453" t="s">
        <v>4202</v>
      </c>
      <c r="AL95" s="3453">
        <v>411500</v>
      </c>
      <c r="AM95" s="3453">
        <v>1923.75</v>
      </c>
      <c r="AN95" s="3453">
        <v>2211.2399999999998</v>
      </c>
      <c r="AO95" s="3453">
        <v>14876</v>
      </c>
      <c r="AP95" s="3453">
        <v>17099</v>
      </c>
      <c r="AQ95" s="3453" t="s">
        <v>3470</v>
      </c>
      <c r="AR95" s="3453" t="s">
        <v>3470</v>
      </c>
      <c r="AS95" s="3453">
        <v>14.94</v>
      </c>
      <c r="AT95" s="3453" t="s">
        <v>4112</v>
      </c>
      <c r="AU95" s="3453">
        <v>411500</v>
      </c>
      <c r="AV95" s="3453" t="s">
        <v>3478</v>
      </c>
      <c r="AW95" s="3453" t="s">
        <v>3467</v>
      </c>
      <c r="AX95" s="3453">
        <v>17099</v>
      </c>
      <c r="AY95" s="3453">
        <v>14.94</v>
      </c>
      <c r="AZ95" s="3453" t="s">
        <v>3470</v>
      </c>
      <c r="BA95" s="3453"/>
    </row>
    <row r="96" spans="1:53" hidden="1">
      <c r="A96" s="3453" t="s">
        <v>4243</v>
      </c>
      <c r="B96" s="3453" t="s">
        <v>3457</v>
      </c>
      <c r="C96" s="3453" t="s">
        <v>4244</v>
      </c>
      <c r="D96" s="3453" t="s">
        <v>3459</v>
      </c>
      <c r="E96" s="3453" t="s">
        <v>3481</v>
      </c>
      <c r="F96" s="3453" t="s">
        <v>3759</v>
      </c>
      <c r="G96" s="3453" t="s">
        <v>4245</v>
      </c>
      <c r="H96" s="3453" t="s">
        <v>3463</v>
      </c>
      <c r="I96" s="3453">
        <v>31537.81</v>
      </c>
      <c r="J96" s="3453">
        <v>88306</v>
      </c>
      <c r="K96" s="3453" t="s">
        <v>3796</v>
      </c>
      <c r="L96" s="3453" t="s">
        <v>3464</v>
      </c>
      <c r="M96" s="3453" t="s">
        <v>3465</v>
      </c>
      <c r="N96" s="3453" t="s">
        <v>4195</v>
      </c>
      <c r="O96" s="3453" t="s">
        <v>3467</v>
      </c>
      <c r="P96" s="3453" t="s">
        <v>4207</v>
      </c>
      <c r="Q96" s="3453" t="s">
        <v>4246</v>
      </c>
      <c r="R96" s="3453" t="s">
        <v>4198</v>
      </c>
      <c r="S96" s="3453" t="s">
        <v>4198</v>
      </c>
      <c r="T96" s="3453" t="s">
        <v>3602</v>
      </c>
      <c r="U96" s="3453" t="s">
        <v>4132</v>
      </c>
      <c r="V96" s="3453">
        <v>0</v>
      </c>
      <c r="W96" s="3453">
        <v>0</v>
      </c>
      <c r="X96" s="3453">
        <v>0</v>
      </c>
      <c r="Y96" s="3453">
        <v>0</v>
      </c>
      <c r="Z96" s="3454">
        <v>44286.000497685185</v>
      </c>
      <c r="AA96" s="3454">
        <v>44308.000497685185</v>
      </c>
      <c r="AB96" s="3454">
        <v>44324.000497685185</v>
      </c>
      <c r="AC96" s="3454">
        <v>44327.000497685185</v>
      </c>
      <c r="AD96" s="3453" t="s">
        <v>4247</v>
      </c>
      <c r="AE96" s="3453" t="s">
        <v>3472</v>
      </c>
      <c r="AF96" s="3453" t="s">
        <v>4200</v>
      </c>
      <c r="AG96" s="3453" t="s">
        <v>4248</v>
      </c>
      <c r="AH96" s="3453" t="s">
        <v>3562</v>
      </c>
      <c r="AI96" s="3453">
        <v>343000</v>
      </c>
      <c r="AJ96" s="3453">
        <v>69000</v>
      </c>
      <c r="AK96" s="3453" t="s">
        <v>4202</v>
      </c>
      <c r="AL96" s="3453">
        <v>361000</v>
      </c>
      <c r="AM96" s="3453">
        <v>7250.56</v>
      </c>
      <c r="AN96" s="3453">
        <v>7631.05</v>
      </c>
      <c r="AO96" s="3453">
        <v>38842</v>
      </c>
      <c r="AP96" s="3453">
        <v>40881</v>
      </c>
      <c r="AQ96" s="3453" t="s">
        <v>3470</v>
      </c>
      <c r="AR96" s="3453" t="s">
        <v>3470</v>
      </c>
      <c r="AS96" s="3453">
        <v>5.25</v>
      </c>
      <c r="AT96" s="3453" t="s">
        <v>4112</v>
      </c>
      <c r="AU96" s="3453">
        <v>361000</v>
      </c>
      <c r="AV96" s="3453" t="s">
        <v>3478</v>
      </c>
      <c r="AW96" s="3453" t="s">
        <v>3467</v>
      </c>
      <c r="AX96" s="3453">
        <v>40881</v>
      </c>
      <c r="AY96" s="3453">
        <v>5.25</v>
      </c>
      <c r="AZ96" s="3453" t="s">
        <v>3470</v>
      </c>
      <c r="BA96" s="3453"/>
    </row>
    <row r="97" spans="1:53" hidden="1">
      <c r="A97" s="3453" t="s">
        <v>4249</v>
      </c>
      <c r="B97" s="3453" t="s">
        <v>3457</v>
      </c>
      <c r="C97" s="3453" t="s">
        <v>4250</v>
      </c>
      <c r="D97" s="3453" t="s">
        <v>3459</v>
      </c>
      <c r="E97" s="3453" t="s">
        <v>3661</v>
      </c>
      <c r="F97" s="3453" t="s">
        <v>4251</v>
      </c>
      <c r="G97" s="3453" t="s">
        <v>4252</v>
      </c>
      <c r="H97" s="3453" t="s">
        <v>3463</v>
      </c>
      <c r="I97" s="3453">
        <v>57020.91</v>
      </c>
      <c r="J97" s="3453">
        <v>92371</v>
      </c>
      <c r="K97" s="3453" t="s">
        <v>4253</v>
      </c>
      <c r="L97" s="3453" t="s">
        <v>3464</v>
      </c>
      <c r="M97" s="3453" t="s">
        <v>3465</v>
      </c>
      <c r="N97" s="3453" t="s">
        <v>4195</v>
      </c>
      <c r="O97" s="3453">
        <v>0</v>
      </c>
      <c r="P97" s="3453" t="s">
        <v>3470</v>
      </c>
      <c r="Q97" s="3453" t="s">
        <v>4254</v>
      </c>
      <c r="R97" s="3453" t="s">
        <v>4209</v>
      </c>
      <c r="S97" s="3453" t="s">
        <v>4209</v>
      </c>
      <c r="T97" s="3453" t="s">
        <v>3470</v>
      </c>
      <c r="U97" s="3453" t="s">
        <v>3470</v>
      </c>
      <c r="V97" s="3453">
        <v>0</v>
      </c>
      <c r="W97" s="3453">
        <v>0</v>
      </c>
      <c r="X97" s="3453">
        <v>0</v>
      </c>
      <c r="Y97" s="3453">
        <v>0</v>
      </c>
      <c r="Z97" s="3454">
        <v>44286.000497685185</v>
      </c>
      <c r="AA97" s="3454">
        <v>44308.000497685185</v>
      </c>
      <c r="AB97" s="3454">
        <v>44324.000497685185</v>
      </c>
      <c r="AC97" s="3454">
        <v>44342.000497685185</v>
      </c>
      <c r="AD97" s="3453" t="s">
        <v>4255</v>
      </c>
      <c r="AE97" s="3453" t="s">
        <v>3472</v>
      </c>
      <c r="AF97" s="3453" t="s">
        <v>4256</v>
      </c>
      <c r="AG97" s="3453" t="s">
        <v>4257</v>
      </c>
      <c r="AH97" s="3453" t="s">
        <v>3530</v>
      </c>
      <c r="AI97" s="3453">
        <v>621000</v>
      </c>
      <c r="AJ97" s="3453">
        <v>125000</v>
      </c>
      <c r="AK97" s="3453" t="s">
        <v>4202</v>
      </c>
      <c r="AL97" s="3453">
        <v>637000</v>
      </c>
      <c r="AM97" s="3453">
        <v>7260.49</v>
      </c>
      <c r="AN97" s="3453">
        <v>7447.56</v>
      </c>
      <c r="AO97" s="3453">
        <v>67229</v>
      </c>
      <c r="AP97" s="3453">
        <v>68961</v>
      </c>
      <c r="AQ97" s="3453" t="s">
        <v>3470</v>
      </c>
      <c r="AR97" s="3453" t="s">
        <v>3470</v>
      </c>
      <c r="AS97" s="3453">
        <v>2.58</v>
      </c>
      <c r="AT97" s="3453" t="s">
        <v>4112</v>
      </c>
      <c r="AU97" s="3453">
        <v>637000</v>
      </c>
      <c r="AV97" s="3453" t="s">
        <v>3478</v>
      </c>
      <c r="AW97" s="3453" t="s">
        <v>3467</v>
      </c>
      <c r="AX97" s="3453">
        <v>68961</v>
      </c>
      <c r="AY97" s="3453">
        <v>2.58</v>
      </c>
      <c r="AZ97" s="3453" t="s">
        <v>3470</v>
      </c>
      <c r="BA97" s="3453"/>
    </row>
    <row r="98" spans="1:53" hidden="1">
      <c r="A98" s="3453" t="s">
        <v>4258</v>
      </c>
      <c r="B98" s="3453" t="s">
        <v>3457</v>
      </c>
      <c r="C98" s="3453" t="s">
        <v>4259</v>
      </c>
      <c r="D98" s="3453" t="s">
        <v>3459</v>
      </c>
      <c r="E98" s="3453" t="s">
        <v>3460</v>
      </c>
      <c r="F98" s="3453" t="s">
        <v>4260</v>
      </c>
      <c r="G98" s="3453" t="s">
        <v>4261</v>
      </c>
      <c r="H98" s="3453" t="s">
        <v>3484</v>
      </c>
      <c r="I98" s="3453">
        <v>85059.12</v>
      </c>
      <c r="J98" s="3453">
        <v>242377.36</v>
      </c>
      <c r="K98" s="3453" t="s">
        <v>3796</v>
      </c>
      <c r="L98" s="3453" t="s">
        <v>3464</v>
      </c>
      <c r="M98" s="3453" t="s">
        <v>3843</v>
      </c>
      <c r="N98" s="3453" t="s">
        <v>4195</v>
      </c>
      <c r="O98" s="3453" t="s">
        <v>3467</v>
      </c>
      <c r="P98" s="3453" t="s">
        <v>4207</v>
      </c>
      <c r="Q98" s="3453" t="s">
        <v>3470</v>
      </c>
      <c r="R98" s="3453" t="s">
        <v>4228</v>
      </c>
      <c r="S98" s="3453" t="s">
        <v>4228</v>
      </c>
      <c r="T98" s="3453" t="s">
        <v>3470</v>
      </c>
      <c r="U98" s="3453" t="s">
        <v>3470</v>
      </c>
      <c r="V98" s="3453" t="s">
        <v>3470</v>
      </c>
      <c r="W98" s="3453">
        <v>0</v>
      </c>
      <c r="X98" s="3453">
        <v>0</v>
      </c>
      <c r="Y98" s="3453">
        <v>0</v>
      </c>
      <c r="Z98" s="3454">
        <v>44286.000497685185</v>
      </c>
      <c r="AA98" s="3454">
        <v>44308.000497685185</v>
      </c>
      <c r="AB98" s="3454">
        <v>44324.000497685185</v>
      </c>
      <c r="AC98" s="3454">
        <v>44342.000497685185</v>
      </c>
      <c r="AD98" s="3453" t="s">
        <v>4262</v>
      </c>
      <c r="AE98" s="3453" t="s">
        <v>3472</v>
      </c>
      <c r="AF98" s="3453" t="s">
        <v>4263</v>
      </c>
      <c r="AG98" s="3453" t="s">
        <v>3866</v>
      </c>
      <c r="AH98" s="3453" t="s">
        <v>3867</v>
      </c>
      <c r="AI98" s="3453">
        <v>593000</v>
      </c>
      <c r="AJ98" s="3453">
        <v>120000</v>
      </c>
      <c r="AK98" s="3453" t="s">
        <v>4202</v>
      </c>
      <c r="AL98" s="3453">
        <v>682000</v>
      </c>
      <c r="AM98" s="3453">
        <v>4647.75</v>
      </c>
      <c r="AN98" s="3453">
        <v>5345.3</v>
      </c>
      <c r="AO98" s="3453">
        <v>24466</v>
      </c>
      <c r="AP98" s="3453">
        <v>28138</v>
      </c>
      <c r="AQ98" s="3453" t="s">
        <v>3470</v>
      </c>
      <c r="AR98" s="3453" t="s">
        <v>3470</v>
      </c>
      <c r="AS98" s="3453">
        <v>15.01</v>
      </c>
      <c r="AT98" s="3453" t="s">
        <v>4112</v>
      </c>
      <c r="AU98" s="3453">
        <v>682000</v>
      </c>
      <c r="AV98" s="3453" t="s">
        <v>3478</v>
      </c>
      <c r="AW98" s="3453" t="s">
        <v>3467</v>
      </c>
      <c r="AX98" s="3453">
        <v>28138</v>
      </c>
      <c r="AY98" s="3453">
        <v>15.01</v>
      </c>
      <c r="AZ98" s="3453" t="s">
        <v>3470</v>
      </c>
      <c r="BA98" s="3453"/>
    </row>
    <row r="99" spans="1:53" hidden="1">
      <c r="A99" s="3453" t="s">
        <v>4264</v>
      </c>
      <c r="B99" s="3453" t="s">
        <v>3457</v>
      </c>
      <c r="C99" s="3453" t="s">
        <v>4265</v>
      </c>
      <c r="D99" s="3453" t="s">
        <v>3459</v>
      </c>
      <c r="E99" s="3453" t="s">
        <v>3481</v>
      </c>
      <c r="F99" s="3453" t="s">
        <v>3737</v>
      </c>
      <c r="G99" s="3453" t="s">
        <v>3738</v>
      </c>
      <c r="H99" s="3453" t="s">
        <v>3463</v>
      </c>
      <c r="I99" s="3453">
        <v>16028.4</v>
      </c>
      <c r="J99" s="3453">
        <v>25645.439999999999</v>
      </c>
      <c r="K99" s="3453" t="s">
        <v>4253</v>
      </c>
      <c r="L99" s="3453" t="s">
        <v>3464</v>
      </c>
      <c r="M99" s="3453" t="s">
        <v>3465</v>
      </c>
      <c r="N99" s="3453" t="s">
        <v>4195</v>
      </c>
      <c r="O99" s="3453" t="s">
        <v>3467</v>
      </c>
      <c r="P99" s="3453" t="s">
        <v>3470</v>
      </c>
      <c r="Q99" s="3453" t="s">
        <v>4266</v>
      </c>
      <c r="R99" s="3453" t="s">
        <v>4267</v>
      </c>
      <c r="S99" s="3453" t="s">
        <v>4268</v>
      </c>
      <c r="T99" s="3453" t="s">
        <v>3602</v>
      </c>
      <c r="U99" s="3453" t="s">
        <v>4132</v>
      </c>
      <c r="V99" s="3453">
        <v>0</v>
      </c>
      <c r="W99" s="3453">
        <v>0</v>
      </c>
      <c r="X99" s="3453">
        <v>0</v>
      </c>
      <c r="Y99" s="3453">
        <v>0</v>
      </c>
      <c r="Z99" s="3454">
        <v>44286.000497685185</v>
      </c>
      <c r="AA99" s="3454">
        <v>44308.000497685185</v>
      </c>
      <c r="AB99" s="3454">
        <v>44324.000497685185</v>
      </c>
      <c r="AC99" s="3454">
        <v>44327.000497685185</v>
      </c>
      <c r="AD99" s="3453" t="s">
        <v>4269</v>
      </c>
      <c r="AE99" s="3453" t="s">
        <v>3472</v>
      </c>
      <c r="AF99" s="3453" t="s">
        <v>4270</v>
      </c>
      <c r="AG99" s="3453" t="s">
        <v>4271</v>
      </c>
      <c r="AH99" s="3453" t="s">
        <v>3530</v>
      </c>
      <c r="AI99" s="3453">
        <v>55500</v>
      </c>
      <c r="AJ99" s="3453">
        <v>12000</v>
      </c>
      <c r="AK99" s="3453" t="s">
        <v>4202</v>
      </c>
      <c r="AL99" s="3453">
        <v>66600</v>
      </c>
      <c r="AM99" s="3453">
        <v>2308.4</v>
      </c>
      <c r="AN99" s="3453">
        <v>2770.08</v>
      </c>
      <c r="AO99" s="3453">
        <v>21641</v>
      </c>
      <c r="AP99" s="3453">
        <v>25970</v>
      </c>
      <c r="AQ99" s="3453" t="s">
        <v>3470</v>
      </c>
      <c r="AR99" s="3453" t="s">
        <v>3470</v>
      </c>
      <c r="AS99" s="3453">
        <v>20</v>
      </c>
      <c r="AT99" s="3453" t="s">
        <v>4112</v>
      </c>
      <c r="AU99" s="3453">
        <v>66600</v>
      </c>
      <c r="AV99" s="3453" t="s">
        <v>3478</v>
      </c>
      <c r="AW99" s="3453" t="s">
        <v>3467</v>
      </c>
      <c r="AX99" s="3453">
        <v>25970</v>
      </c>
      <c r="AY99" s="3453">
        <v>20</v>
      </c>
      <c r="AZ99" s="3453" t="s">
        <v>3470</v>
      </c>
      <c r="BA99" s="3453"/>
    </row>
    <row r="100" spans="1:53" hidden="1">
      <c r="A100" s="3453" t="s">
        <v>4272</v>
      </c>
      <c r="B100" s="3453" t="s">
        <v>3457</v>
      </c>
      <c r="C100" s="3453" t="s">
        <v>4273</v>
      </c>
      <c r="D100" s="3453" t="s">
        <v>3459</v>
      </c>
      <c r="E100" s="3453" t="s">
        <v>3460</v>
      </c>
      <c r="F100" s="3453" t="s">
        <v>3786</v>
      </c>
      <c r="G100" s="3453" t="s">
        <v>3964</v>
      </c>
      <c r="H100" s="3453" t="s">
        <v>3463</v>
      </c>
      <c r="I100" s="3453">
        <v>32382.01</v>
      </c>
      <c r="J100" s="3453">
        <v>80955</v>
      </c>
      <c r="K100" s="3453" t="s">
        <v>4274</v>
      </c>
      <c r="L100" s="3453" t="s">
        <v>3464</v>
      </c>
      <c r="M100" s="3453" t="s">
        <v>3465</v>
      </c>
      <c r="N100" s="3453" t="s">
        <v>4195</v>
      </c>
      <c r="O100" s="3453" t="s">
        <v>3467</v>
      </c>
      <c r="P100" s="3453" t="s">
        <v>3470</v>
      </c>
      <c r="Q100" s="3453" t="s">
        <v>4275</v>
      </c>
      <c r="R100" s="3453" t="s">
        <v>4276</v>
      </c>
      <c r="S100" s="3453" t="s">
        <v>4276</v>
      </c>
      <c r="T100" s="3453" t="s">
        <v>3602</v>
      </c>
      <c r="U100" s="3453" t="s">
        <v>4132</v>
      </c>
      <c r="V100" s="3453">
        <v>0</v>
      </c>
      <c r="W100" s="3453">
        <v>0</v>
      </c>
      <c r="X100" s="3453">
        <v>0</v>
      </c>
      <c r="Y100" s="3453">
        <v>0</v>
      </c>
      <c r="Z100" s="3454">
        <v>44286.000497685185</v>
      </c>
      <c r="AA100" s="3454">
        <v>44308.000497685185</v>
      </c>
      <c r="AB100" s="3454">
        <v>44324.000497685185</v>
      </c>
      <c r="AC100" s="3454">
        <v>44340.000497685185</v>
      </c>
      <c r="AD100" s="3453" t="s">
        <v>4277</v>
      </c>
      <c r="AE100" s="3453" t="s">
        <v>3472</v>
      </c>
      <c r="AF100" s="3453" t="s">
        <v>4278</v>
      </c>
      <c r="AG100" s="3453" t="s">
        <v>4279</v>
      </c>
      <c r="AH100" s="3453" t="s">
        <v>4280</v>
      </c>
      <c r="AI100" s="3453">
        <v>300000</v>
      </c>
      <c r="AJ100" s="3453">
        <v>60000</v>
      </c>
      <c r="AK100" s="3453" t="s">
        <v>4202</v>
      </c>
      <c r="AL100" s="3453">
        <v>315000</v>
      </c>
      <c r="AM100" s="3453">
        <v>6176.27</v>
      </c>
      <c r="AN100" s="3453">
        <v>6485.08</v>
      </c>
      <c r="AO100" s="3453">
        <v>37058</v>
      </c>
      <c r="AP100" s="3453">
        <v>38911</v>
      </c>
      <c r="AQ100" s="3453" t="s">
        <v>3470</v>
      </c>
      <c r="AR100" s="3453" t="s">
        <v>3470</v>
      </c>
      <c r="AS100" s="3453">
        <v>5</v>
      </c>
      <c r="AT100" s="3453" t="s">
        <v>4112</v>
      </c>
      <c r="AU100" s="3453" t="s">
        <v>3467</v>
      </c>
      <c r="AV100" s="3453" t="s">
        <v>3470</v>
      </c>
      <c r="AW100" s="3453" t="s">
        <v>3467</v>
      </c>
      <c r="AX100" s="3453" t="s">
        <v>3470</v>
      </c>
      <c r="AY100" s="3453" t="s">
        <v>3470</v>
      </c>
      <c r="AZ100" s="3453" t="s">
        <v>3470</v>
      </c>
      <c r="BA100" s="3453"/>
    </row>
    <row r="101" spans="1:53" hidden="1">
      <c r="A101" s="3453" t="s">
        <v>4281</v>
      </c>
      <c r="B101" s="3453" t="s">
        <v>3457</v>
      </c>
      <c r="C101" s="3453" t="s">
        <v>4282</v>
      </c>
      <c r="D101" s="3453" t="s">
        <v>3459</v>
      </c>
      <c r="E101" s="3453" t="s">
        <v>3497</v>
      </c>
      <c r="F101" s="3453" t="s">
        <v>4283</v>
      </c>
      <c r="G101" s="3453" t="s">
        <v>4284</v>
      </c>
      <c r="H101" s="3453" t="s">
        <v>3484</v>
      </c>
      <c r="I101" s="3453">
        <v>40514.839999999997</v>
      </c>
      <c r="J101" s="3453">
        <v>92680</v>
      </c>
      <c r="K101" s="3453" t="s">
        <v>4285</v>
      </c>
      <c r="L101" s="3453" t="s">
        <v>4173</v>
      </c>
      <c r="M101" s="3453" t="s">
        <v>4286</v>
      </c>
      <c r="N101" s="3453" t="s">
        <v>4195</v>
      </c>
      <c r="O101" s="3453" t="s">
        <v>3467</v>
      </c>
      <c r="P101" s="3453" t="s">
        <v>4207</v>
      </c>
      <c r="Q101" s="3453" t="s">
        <v>4287</v>
      </c>
      <c r="R101" s="3453" t="s">
        <v>3743</v>
      </c>
      <c r="S101" s="3453" t="s">
        <v>4175</v>
      </c>
      <c r="T101" s="3453" t="s">
        <v>3602</v>
      </c>
      <c r="U101" s="3453" t="s">
        <v>4132</v>
      </c>
      <c r="V101" s="3453">
        <v>25775.56</v>
      </c>
      <c r="W101" s="3453">
        <v>25775.56</v>
      </c>
      <c r="X101" s="3453">
        <v>0</v>
      </c>
      <c r="Y101" s="3453">
        <v>0</v>
      </c>
      <c r="Z101" s="3454">
        <v>44286.000497685185</v>
      </c>
      <c r="AA101" s="3454">
        <v>44308.000497685185</v>
      </c>
      <c r="AB101" s="3454">
        <v>44308.000497685185</v>
      </c>
      <c r="AC101" s="3454">
        <v>44308.000497685185</v>
      </c>
      <c r="AD101" s="3453" t="s">
        <v>4288</v>
      </c>
      <c r="AE101" s="3453" t="s">
        <v>3472</v>
      </c>
      <c r="AF101" s="3453" t="s">
        <v>3727</v>
      </c>
      <c r="AG101" s="3453" t="s">
        <v>3728</v>
      </c>
      <c r="AH101" s="3453" t="s">
        <v>3493</v>
      </c>
      <c r="AI101" s="3453" t="s">
        <v>3470</v>
      </c>
      <c r="AJ101" s="3453">
        <v>15000</v>
      </c>
      <c r="AK101" s="3453" t="s">
        <v>4289</v>
      </c>
      <c r="AL101" s="3453">
        <v>75000</v>
      </c>
      <c r="AM101" s="3453" t="s">
        <v>3470</v>
      </c>
      <c r="AN101" s="3453">
        <v>1234.1199999999999</v>
      </c>
      <c r="AO101" s="3453" t="s">
        <v>3470</v>
      </c>
      <c r="AP101" s="3453">
        <v>8092</v>
      </c>
      <c r="AQ101" s="3453" t="s">
        <v>3470</v>
      </c>
      <c r="AR101" s="3453">
        <v>11210</v>
      </c>
      <c r="AS101" s="3453">
        <v>0</v>
      </c>
      <c r="AT101" s="3453" t="s">
        <v>4112</v>
      </c>
      <c r="AU101" s="3453">
        <v>403700</v>
      </c>
      <c r="AV101" s="3453" t="s">
        <v>3505</v>
      </c>
      <c r="AW101" s="3453">
        <v>27000</v>
      </c>
      <c r="AX101" s="3453">
        <v>43558</v>
      </c>
      <c r="AY101" s="3453" t="s">
        <v>3470</v>
      </c>
      <c r="AZ101" s="3453" t="s">
        <v>3470</v>
      </c>
      <c r="BA101" s="3453"/>
    </row>
    <row r="102" spans="1:53" hidden="1">
      <c r="A102" s="3453" t="s">
        <v>4290</v>
      </c>
      <c r="B102" s="3453" t="s">
        <v>3457</v>
      </c>
      <c r="C102" s="3453" t="s">
        <v>4291</v>
      </c>
      <c r="D102" s="3453" t="s">
        <v>3459</v>
      </c>
      <c r="E102" s="3453" t="s">
        <v>3508</v>
      </c>
      <c r="F102" s="3453" t="s">
        <v>3509</v>
      </c>
      <c r="G102" s="3453" t="s">
        <v>4292</v>
      </c>
      <c r="H102" s="3453" t="s">
        <v>3484</v>
      </c>
      <c r="I102" s="3453">
        <v>44474.33</v>
      </c>
      <c r="J102" s="3453">
        <v>95931.32</v>
      </c>
      <c r="K102" s="3453" t="s">
        <v>4293</v>
      </c>
      <c r="L102" s="3453" t="s">
        <v>3464</v>
      </c>
      <c r="M102" s="3453" t="s">
        <v>4294</v>
      </c>
      <c r="N102" s="3453" t="s">
        <v>4195</v>
      </c>
      <c r="O102" s="3453" t="s">
        <v>3467</v>
      </c>
      <c r="P102" s="3453" t="s">
        <v>3470</v>
      </c>
      <c r="Q102" s="3453" t="s">
        <v>4295</v>
      </c>
      <c r="R102" s="3453" t="s">
        <v>3836</v>
      </c>
      <c r="S102" s="3453" t="s">
        <v>3837</v>
      </c>
      <c r="T102" s="3453" t="s">
        <v>3470</v>
      </c>
      <c r="U102" s="3453" t="s">
        <v>3470</v>
      </c>
      <c r="V102" s="3453" t="s">
        <v>3470</v>
      </c>
      <c r="W102" s="3453">
        <v>0</v>
      </c>
      <c r="X102" s="3453">
        <v>0</v>
      </c>
      <c r="Y102" s="3453">
        <v>0</v>
      </c>
      <c r="Z102" s="3454">
        <v>44286.000497685185</v>
      </c>
      <c r="AA102" s="3454">
        <v>44308.000497685185</v>
      </c>
      <c r="AB102" s="3454">
        <v>44324.000497685185</v>
      </c>
      <c r="AC102" s="3454">
        <v>44343.000497685185</v>
      </c>
      <c r="AD102" s="3453" t="s">
        <v>4296</v>
      </c>
      <c r="AE102" s="3453" t="s">
        <v>3472</v>
      </c>
      <c r="AF102" s="3453" t="s">
        <v>4297</v>
      </c>
      <c r="AG102" s="3453" t="s">
        <v>4298</v>
      </c>
      <c r="AH102" s="3453" t="s">
        <v>3634</v>
      </c>
      <c r="AI102" s="3453">
        <v>179200</v>
      </c>
      <c r="AJ102" s="3453">
        <v>36000</v>
      </c>
      <c r="AK102" s="3453" t="s">
        <v>4202</v>
      </c>
      <c r="AL102" s="3453">
        <v>224000</v>
      </c>
      <c r="AM102" s="3453">
        <v>2686.19</v>
      </c>
      <c r="AN102" s="3453">
        <v>3357.74</v>
      </c>
      <c r="AO102" s="3453">
        <v>18680</v>
      </c>
      <c r="AP102" s="3453">
        <v>23350</v>
      </c>
      <c r="AQ102" s="3453" t="s">
        <v>3470</v>
      </c>
      <c r="AR102" s="3453" t="s">
        <v>3470</v>
      </c>
      <c r="AS102" s="3453">
        <v>25</v>
      </c>
      <c r="AT102" s="3453" t="s">
        <v>4112</v>
      </c>
      <c r="AU102" s="3453">
        <v>224000</v>
      </c>
      <c r="AV102" s="3453" t="s">
        <v>3478</v>
      </c>
      <c r="AW102" s="3453" t="s">
        <v>3467</v>
      </c>
      <c r="AX102" s="3453">
        <v>23350</v>
      </c>
      <c r="AY102" s="3453">
        <v>25</v>
      </c>
      <c r="AZ102" s="3453" t="s">
        <v>3470</v>
      </c>
      <c r="BA102" s="3453"/>
    </row>
    <row r="103" spans="1:53" hidden="1">
      <c r="A103" s="3453" t="s">
        <v>4299</v>
      </c>
      <c r="B103" s="3453" t="s">
        <v>3457</v>
      </c>
      <c r="C103" s="3453" t="s">
        <v>4300</v>
      </c>
      <c r="D103" s="3453" t="s">
        <v>3459</v>
      </c>
      <c r="E103" s="3453" t="s">
        <v>3460</v>
      </c>
      <c r="F103" s="3453" t="s">
        <v>3565</v>
      </c>
      <c r="G103" s="3453" t="s">
        <v>3588</v>
      </c>
      <c r="H103" s="3453" t="s">
        <v>3463</v>
      </c>
      <c r="I103" s="3453">
        <v>41186.94</v>
      </c>
      <c r="J103" s="3453">
        <v>102967</v>
      </c>
      <c r="K103" s="3453" t="s">
        <v>3760</v>
      </c>
      <c r="L103" s="3453" t="s">
        <v>3464</v>
      </c>
      <c r="M103" s="3453" t="s">
        <v>3465</v>
      </c>
      <c r="N103" s="3453" t="s">
        <v>4195</v>
      </c>
      <c r="O103" s="3453" t="s">
        <v>3467</v>
      </c>
      <c r="P103" s="3453" t="s">
        <v>4207</v>
      </c>
      <c r="Q103" s="3453" t="s">
        <v>4227</v>
      </c>
      <c r="R103" s="3453" t="s">
        <v>4276</v>
      </c>
      <c r="S103" s="3453" t="s">
        <v>4301</v>
      </c>
      <c r="T103" s="3453" t="s">
        <v>3602</v>
      </c>
      <c r="U103" s="3453" t="s">
        <v>4132</v>
      </c>
      <c r="V103" s="3453">
        <v>10300</v>
      </c>
      <c r="W103" s="3453">
        <v>10300</v>
      </c>
      <c r="X103" s="3453">
        <v>0</v>
      </c>
      <c r="Y103" s="3453">
        <v>0</v>
      </c>
      <c r="Z103" s="3454">
        <v>44286.000497685185</v>
      </c>
      <c r="AA103" s="3454">
        <v>44308.000497685185</v>
      </c>
      <c r="AB103" s="3454">
        <v>44324.000497685185</v>
      </c>
      <c r="AC103" s="3454">
        <v>44326.000497685185</v>
      </c>
      <c r="AD103" s="3453" t="s">
        <v>4302</v>
      </c>
      <c r="AE103" s="3453" t="s">
        <v>3472</v>
      </c>
      <c r="AF103" s="3453" t="s">
        <v>4303</v>
      </c>
      <c r="AG103" s="3453" t="s">
        <v>4304</v>
      </c>
      <c r="AH103" s="3453" t="s">
        <v>4305</v>
      </c>
      <c r="AI103" s="3453">
        <v>443000</v>
      </c>
      <c r="AJ103" s="3453">
        <v>89000</v>
      </c>
      <c r="AK103" s="3453" t="s">
        <v>4202</v>
      </c>
      <c r="AL103" s="3453">
        <v>509400</v>
      </c>
      <c r="AM103" s="3453">
        <v>7170.56</v>
      </c>
      <c r="AN103" s="3453">
        <v>8245.33</v>
      </c>
      <c r="AO103" s="3453">
        <v>43023</v>
      </c>
      <c r="AP103" s="3453">
        <v>49472</v>
      </c>
      <c r="AQ103" s="3453">
        <v>47806</v>
      </c>
      <c r="AR103" s="3453">
        <v>54971</v>
      </c>
      <c r="AS103" s="3453">
        <v>14.99</v>
      </c>
      <c r="AT103" s="3453" t="s">
        <v>4112</v>
      </c>
      <c r="AU103" s="3453">
        <v>509400</v>
      </c>
      <c r="AV103" s="3453" t="s">
        <v>3478</v>
      </c>
      <c r="AW103" s="3453" t="s">
        <v>3467</v>
      </c>
      <c r="AX103" s="3453">
        <v>49472</v>
      </c>
      <c r="AY103" s="3453">
        <v>14.99</v>
      </c>
      <c r="AZ103" s="3453" t="s">
        <v>3470</v>
      </c>
    </row>
    <row r="104" spans="1:53">
      <c r="A104" s="3453" t="s">
        <v>4306</v>
      </c>
      <c r="B104" s="3453" t="s">
        <v>3457</v>
      </c>
      <c r="C104" s="3453" t="s">
        <v>4307</v>
      </c>
      <c r="D104" s="3453" t="s">
        <v>3459</v>
      </c>
      <c r="E104" s="3453" t="s">
        <v>3655</v>
      </c>
      <c r="F104" s="3453" t="s">
        <v>3817</v>
      </c>
      <c r="G104" s="3453" t="s">
        <v>4308</v>
      </c>
      <c r="H104" s="3453" t="s">
        <v>3463</v>
      </c>
      <c r="I104" s="3453">
        <v>74400.31</v>
      </c>
      <c r="J104" s="3453">
        <v>171120.71</v>
      </c>
      <c r="K104" s="3453" t="s">
        <v>4309</v>
      </c>
      <c r="L104" s="3453" t="s">
        <v>3464</v>
      </c>
      <c r="M104" s="3453" t="s">
        <v>3465</v>
      </c>
      <c r="N104" s="3453" t="s">
        <v>4195</v>
      </c>
      <c r="O104" s="3453" t="s">
        <v>3467</v>
      </c>
      <c r="P104" s="3453" t="s">
        <v>4207</v>
      </c>
      <c r="Q104" s="3453" t="s">
        <v>3639</v>
      </c>
      <c r="R104" s="3453" t="s">
        <v>4276</v>
      </c>
      <c r="S104" s="3453" t="s">
        <v>4301</v>
      </c>
      <c r="T104" s="3453" t="s">
        <v>3602</v>
      </c>
      <c r="U104" s="3453" t="s">
        <v>4132</v>
      </c>
      <c r="V104" s="3453">
        <v>1000</v>
      </c>
      <c r="W104" s="3453">
        <v>1000</v>
      </c>
      <c r="X104" s="3453">
        <v>0</v>
      </c>
      <c r="Y104" s="3453">
        <v>0</v>
      </c>
      <c r="Z104" s="3454">
        <v>44286.000497685185</v>
      </c>
      <c r="AA104" s="3454">
        <v>44308.000497685185</v>
      </c>
      <c r="AB104" s="3454">
        <v>44324.000497685185</v>
      </c>
      <c r="AC104" s="3454">
        <v>44327.000497685185</v>
      </c>
      <c r="AD104" s="3453" t="s">
        <v>4310</v>
      </c>
      <c r="AE104" s="3453" t="s">
        <v>3472</v>
      </c>
      <c r="AF104" s="3453" t="s">
        <v>4311</v>
      </c>
      <c r="AG104" s="3453" t="s">
        <v>4312</v>
      </c>
      <c r="AH104" s="3453" t="s">
        <v>3634</v>
      </c>
      <c r="AI104" s="3453">
        <v>590000</v>
      </c>
      <c r="AJ104" s="3453">
        <v>120000</v>
      </c>
      <c r="AK104" s="3453" t="s">
        <v>4202</v>
      </c>
      <c r="AL104" s="3453">
        <v>620000</v>
      </c>
      <c r="AM104" s="3453">
        <v>5286.72</v>
      </c>
      <c r="AN104" s="3453">
        <v>5555.53</v>
      </c>
      <c r="AO104" s="3453">
        <v>34479</v>
      </c>
      <c r="AP104" s="3453">
        <v>36232</v>
      </c>
      <c r="AQ104" s="3453">
        <v>34681</v>
      </c>
      <c r="AR104" s="3453">
        <v>36445</v>
      </c>
      <c r="AS104" s="3453">
        <v>5.08</v>
      </c>
      <c r="AT104" s="3453" t="s">
        <v>4112</v>
      </c>
      <c r="AU104" s="3453">
        <v>620000</v>
      </c>
      <c r="AV104" s="3453" t="s">
        <v>3478</v>
      </c>
      <c r="AW104" s="3453" t="s">
        <v>3467</v>
      </c>
      <c r="AX104" s="3453">
        <v>36232</v>
      </c>
      <c r="AY104" s="3453">
        <v>5.08</v>
      </c>
      <c r="AZ104" s="3453" t="s">
        <v>3470</v>
      </c>
    </row>
    <row r="105" spans="1:53" hidden="1">
      <c r="A105" s="3453" t="s">
        <v>4313</v>
      </c>
      <c r="B105" s="3453" t="s">
        <v>3457</v>
      </c>
      <c r="C105" s="3453" t="s">
        <v>4314</v>
      </c>
      <c r="D105" s="3453" t="s">
        <v>3459</v>
      </c>
      <c r="E105" s="3453" t="s">
        <v>3460</v>
      </c>
      <c r="F105" s="3453" t="s">
        <v>3786</v>
      </c>
      <c r="G105" s="3453" t="s">
        <v>3964</v>
      </c>
      <c r="H105" s="3453" t="s">
        <v>3463</v>
      </c>
      <c r="I105" s="3453">
        <v>48808.67</v>
      </c>
      <c r="J105" s="3453">
        <v>122022</v>
      </c>
      <c r="K105" s="3453" t="s">
        <v>4274</v>
      </c>
      <c r="L105" s="3453" t="s">
        <v>3464</v>
      </c>
      <c r="M105" s="3453" t="s">
        <v>3465</v>
      </c>
      <c r="N105" s="3453" t="s">
        <v>4195</v>
      </c>
      <c r="O105" s="3453">
        <v>0</v>
      </c>
      <c r="P105" s="3453" t="s">
        <v>3470</v>
      </c>
      <c r="Q105" s="3453" t="s">
        <v>4275</v>
      </c>
      <c r="R105" s="3453" t="s">
        <v>4276</v>
      </c>
      <c r="S105" s="3453" t="s">
        <v>4276</v>
      </c>
      <c r="T105" s="3453" t="s">
        <v>3602</v>
      </c>
      <c r="U105" s="3453" t="s">
        <v>4132</v>
      </c>
      <c r="V105" s="3453">
        <v>0</v>
      </c>
      <c r="W105" s="3453">
        <v>0</v>
      </c>
      <c r="X105" s="3453">
        <v>0</v>
      </c>
      <c r="Y105" s="3453">
        <v>0</v>
      </c>
      <c r="Z105" s="3454">
        <v>44286.000497685185</v>
      </c>
      <c r="AA105" s="3454">
        <v>44308.000497685185</v>
      </c>
      <c r="AB105" s="3454">
        <v>44324.000497685185</v>
      </c>
      <c r="AC105" s="3454">
        <v>44343.000497685185</v>
      </c>
      <c r="AD105" s="3453" t="s">
        <v>4315</v>
      </c>
      <c r="AE105" s="3453" t="s">
        <v>3472</v>
      </c>
      <c r="AF105" s="3453" t="s">
        <v>4316</v>
      </c>
      <c r="AG105" s="3453" t="s">
        <v>4317</v>
      </c>
      <c r="AH105" s="3453" t="s">
        <v>3823</v>
      </c>
      <c r="AI105" s="3453">
        <v>519000</v>
      </c>
      <c r="AJ105" s="3453">
        <v>104000</v>
      </c>
      <c r="AK105" s="3453" t="s">
        <v>4202</v>
      </c>
      <c r="AL105" s="3453">
        <v>545000</v>
      </c>
      <c r="AM105" s="3453">
        <v>7088.9</v>
      </c>
      <c r="AN105" s="3453">
        <v>7444.03</v>
      </c>
      <c r="AO105" s="3453">
        <v>42533</v>
      </c>
      <c r="AP105" s="3453">
        <v>44664</v>
      </c>
      <c r="AQ105" s="3453" t="s">
        <v>3470</v>
      </c>
      <c r="AR105" s="3453" t="s">
        <v>3470</v>
      </c>
      <c r="AS105" s="3453">
        <v>5.01</v>
      </c>
      <c r="AT105" s="3453" t="s">
        <v>4112</v>
      </c>
      <c r="AU105" s="3453">
        <v>545000</v>
      </c>
      <c r="AV105" s="3453" t="s">
        <v>3478</v>
      </c>
      <c r="AW105" s="3453" t="s">
        <v>3467</v>
      </c>
      <c r="AX105" s="3453">
        <v>44664</v>
      </c>
      <c r="AY105" s="3453">
        <v>5.01</v>
      </c>
      <c r="AZ105" s="3453" t="s">
        <v>3470</v>
      </c>
    </row>
    <row r="106" spans="1:53" hidden="1">
      <c r="A106" s="3453" t="s">
        <v>4318</v>
      </c>
      <c r="B106" s="3453" t="s">
        <v>3457</v>
      </c>
      <c r="C106" s="3453" t="s">
        <v>4319</v>
      </c>
      <c r="D106" s="3453" t="s">
        <v>3459</v>
      </c>
      <c r="E106" s="3453" t="s">
        <v>3460</v>
      </c>
      <c r="F106" s="3453" t="s">
        <v>3851</v>
      </c>
      <c r="G106" s="3453" t="s">
        <v>4320</v>
      </c>
      <c r="H106" s="3453" t="s">
        <v>3463</v>
      </c>
      <c r="I106" s="3453">
        <v>38953.300000000003</v>
      </c>
      <c r="J106" s="3453">
        <v>50639</v>
      </c>
      <c r="K106" s="3453" t="s">
        <v>4321</v>
      </c>
      <c r="L106" s="3453" t="s">
        <v>3464</v>
      </c>
      <c r="M106" s="3453" t="s">
        <v>3465</v>
      </c>
      <c r="N106" s="3453" t="s">
        <v>4195</v>
      </c>
      <c r="O106" s="3453" t="s">
        <v>3467</v>
      </c>
      <c r="P106" s="3453" t="s">
        <v>4207</v>
      </c>
      <c r="Q106" s="3453" t="s">
        <v>4322</v>
      </c>
      <c r="R106" s="3453" t="s">
        <v>4209</v>
      </c>
      <c r="S106" s="3453" t="s">
        <v>3548</v>
      </c>
      <c r="T106" s="3453" t="s">
        <v>3470</v>
      </c>
      <c r="U106" s="3453" t="s">
        <v>3470</v>
      </c>
      <c r="V106" s="3453" t="s">
        <v>3470</v>
      </c>
      <c r="W106" s="3453">
        <v>0</v>
      </c>
      <c r="X106" s="3453">
        <v>0</v>
      </c>
      <c r="Y106" s="3453">
        <v>0</v>
      </c>
      <c r="Z106" s="3454">
        <v>44286.000497685185</v>
      </c>
      <c r="AA106" s="3454">
        <v>44308.000497685185</v>
      </c>
      <c r="AB106" s="3454">
        <v>44324.000497685185</v>
      </c>
      <c r="AC106" s="3454">
        <v>44326.000497685185</v>
      </c>
      <c r="AD106" s="3453" t="s">
        <v>4323</v>
      </c>
      <c r="AE106" s="3453" t="s">
        <v>3472</v>
      </c>
      <c r="AF106" s="3453" t="s">
        <v>4324</v>
      </c>
      <c r="AG106" s="3453" t="s">
        <v>4257</v>
      </c>
      <c r="AH106" s="3453" t="s">
        <v>3530</v>
      </c>
      <c r="AI106" s="3453">
        <v>258300</v>
      </c>
      <c r="AJ106" s="3453">
        <v>51660</v>
      </c>
      <c r="AK106" s="3453" t="s">
        <v>4202</v>
      </c>
      <c r="AL106" s="3453">
        <v>268300</v>
      </c>
      <c r="AM106" s="3453">
        <v>4420.68</v>
      </c>
      <c r="AN106" s="3453">
        <v>4591.82</v>
      </c>
      <c r="AO106" s="3453">
        <v>51008</v>
      </c>
      <c r="AP106" s="3453">
        <v>52983</v>
      </c>
      <c r="AQ106" s="3453" t="s">
        <v>3470</v>
      </c>
      <c r="AR106" s="3453" t="s">
        <v>3470</v>
      </c>
      <c r="AS106" s="3453">
        <v>3.87</v>
      </c>
      <c r="AT106" s="3453" t="s">
        <v>4112</v>
      </c>
      <c r="AU106" s="3453">
        <v>268300</v>
      </c>
      <c r="AV106" s="3453" t="s">
        <v>3478</v>
      </c>
      <c r="AW106" s="3453" t="s">
        <v>3467</v>
      </c>
      <c r="AX106" s="3453">
        <v>52983</v>
      </c>
      <c r="AY106" s="3453">
        <v>3.87</v>
      </c>
      <c r="AZ106" s="3453" t="s">
        <v>3470</v>
      </c>
    </row>
    <row r="107" spans="1:53" hidden="1">
      <c r="A107" s="3453" t="s">
        <v>4325</v>
      </c>
      <c r="B107" s="3453" t="s">
        <v>3457</v>
      </c>
      <c r="C107" s="3453" t="s">
        <v>4326</v>
      </c>
      <c r="D107" s="3453" t="s">
        <v>3459</v>
      </c>
      <c r="E107" s="3453" t="s">
        <v>3460</v>
      </c>
      <c r="F107" s="3453" t="s">
        <v>3565</v>
      </c>
      <c r="G107" s="3453" t="s">
        <v>4327</v>
      </c>
      <c r="H107" s="3453" t="s">
        <v>3463</v>
      </c>
      <c r="I107" s="3453">
        <v>17102.490000000002</v>
      </c>
      <c r="J107" s="3453">
        <v>47887</v>
      </c>
      <c r="K107" s="3453" t="s">
        <v>3796</v>
      </c>
      <c r="L107" s="3453" t="s">
        <v>3464</v>
      </c>
      <c r="M107" s="3453" t="s">
        <v>3465</v>
      </c>
      <c r="N107" s="3453" t="s">
        <v>4195</v>
      </c>
      <c r="O107" s="3453" t="s">
        <v>3467</v>
      </c>
      <c r="P107" s="3453" t="s">
        <v>3470</v>
      </c>
      <c r="Q107" s="3453" t="s">
        <v>4246</v>
      </c>
      <c r="R107" s="3453" t="s">
        <v>4276</v>
      </c>
      <c r="S107" s="3453" t="s">
        <v>4301</v>
      </c>
      <c r="T107" s="3453" t="s">
        <v>3602</v>
      </c>
      <c r="U107" s="3453" t="s">
        <v>4132</v>
      </c>
      <c r="V107" s="3453">
        <v>0</v>
      </c>
      <c r="W107" s="3453">
        <v>0</v>
      </c>
      <c r="X107" s="3453">
        <v>0</v>
      </c>
      <c r="Y107" s="3453">
        <v>0</v>
      </c>
      <c r="Z107" s="3454">
        <v>44286.000497685185</v>
      </c>
      <c r="AA107" s="3454">
        <v>44308.000497685185</v>
      </c>
      <c r="AB107" s="3454">
        <v>44324.000497685185</v>
      </c>
      <c r="AC107" s="3454">
        <v>44326.000497685185</v>
      </c>
      <c r="AD107" s="3453" t="s">
        <v>4328</v>
      </c>
      <c r="AE107" s="3453" t="s">
        <v>3472</v>
      </c>
      <c r="AF107" s="3453" t="s">
        <v>4329</v>
      </c>
      <c r="AG107" s="3453" t="s">
        <v>4330</v>
      </c>
      <c r="AH107" s="3453" t="s">
        <v>3475</v>
      </c>
      <c r="AI107" s="3453">
        <v>217000</v>
      </c>
      <c r="AJ107" s="3453">
        <v>44000</v>
      </c>
      <c r="AK107" s="3453" t="s">
        <v>4202</v>
      </c>
      <c r="AL107" s="3453">
        <v>228000</v>
      </c>
      <c r="AM107" s="3453">
        <v>8458.81</v>
      </c>
      <c r="AN107" s="3453">
        <v>8887.59</v>
      </c>
      <c r="AO107" s="3453">
        <v>45315</v>
      </c>
      <c r="AP107" s="3453">
        <v>47612</v>
      </c>
      <c r="AQ107" s="3453" t="s">
        <v>3470</v>
      </c>
      <c r="AR107" s="3453" t="s">
        <v>3470</v>
      </c>
      <c r="AS107" s="3453">
        <v>5.07</v>
      </c>
      <c r="AT107" s="3453" t="s">
        <v>4112</v>
      </c>
      <c r="AU107" s="3453">
        <v>228000</v>
      </c>
      <c r="AV107" s="3453" t="s">
        <v>3478</v>
      </c>
      <c r="AW107" s="3453" t="s">
        <v>3467</v>
      </c>
      <c r="AX107" s="3453">
        <v>47612</v>
      </c>
      <c r="AY107" s="3453">
        <v>5.07</v>
      </c>
      <c r="AZ107" s="3453" t="s">
        <v>3470</v>
      </c>
    </row>
    <row r="108" spans="1:53" hidden="1">
      <c r="A108" s="3453" t="s">
        <v>4331</v>
      </c>
      <c r="B108" s="3453" t="s">
        <v>3457</v>
      </c>
      <c r="C108" s="3453" t="s">
        <v>4332</v>
      </c>
      <c r="D108" s="3453" t="s">
        <v>3459</v>
      </c>
      <c r="E108" s="3453" t="s">
        <v>3519</v>
      </c>
      <c r="F108" s="3453" t="s">
        <v>4333</v>
      </c>
      <c r="G108" s="3453" t="s">
        <v>4334</v>
      </c>
      <c r="H108" s="3453" t="s">
        <v>3484</v>
      </c>
      <c r="I108" s="3453">
        <v>94973.86</v>
      </c>
      <c r="J108" s="3453">
        <v>192900</v>
      </c>
      <c r="K108" s="3453" t="s">
        <v>3638</v>
      </c>
      <c r="L108" s="3453" t="s">
        <v>3464</v>
      </c>
      <c r="M108" s="3453" t="s">
        <v>4286</v>
      </c>
      <c r="N108" s="3453" t="s">
        <v>4195</v>
      </c>
      <c r="O108" s="3453" t="s">
        <v>3467</v>
      </c>
      <c r="P108" s="3453" t="s">
        <v>3470</v>
      </c>
      <c r="Q108" s="3453" t="s">
        <v>4335</v>
      </c>
      <c r="R108" s="3453" t="s">
        <v>4336</v>
      </c>
      <c r="S108" s="3453" t="s">
        <v>4337</v>
      </c>
      <c r="T108" s="3453" t="s">
        <v>3602</v>
      </c>
      <c r="U108" s="3453" t="s">
        <v>4132</v>
      </c>
      <c r="V108" s="3453" t="s">
        <v>3470</v>
      </c>
      <c r="W108" s="3453">
        <v>1000</v>
      </c>
      <c r="X108" s="3453">
        <v>0</v>
      </c>
      <c r="Y108" s="3453">
        <v>0</v>
      </c>
      <c r="Z108" s="3454">
        <v>44286.000497685185</v>
      </c>
      <c r="AA108" s="3454">
        <v>44308.000497685185</v>
      </c>
      <c r="AB108" s="3454">
        <v>44324.000497685185</v>
      </c>
      <c r="AC108" s="3454">
        <v>44327.000497685185</v>
      </c>
      <c r="AD108" s="3453" t="s">
        <v>4338</v>
      </c>
      <c r="AE108" s="3453" t="s">
        <v>3472</v>
      </c>
      <c r="AF108" s="3453" t="s">
        <v>4329</v>
      </c>
      <c r="AG108" s="3453" t="s">
        <v>4330</v>
      </c>
      <c r="AH108" s="3453" t="s">
        <v>3475</v>
      </c>
      <c r="AI108" s="3453">
        <v>595000</v>
      </c>
      <c r="AJ108" s="3453">
        <v>119000</v>
      </c>
      <c r="AK108" s="3453" t="s">
        <v>4202</v>
      </c>
      <c r="AL108" s="3453">
        <v>625000</v>
      </c>
      <c r="AM108" s="3453">
        <v>4176.59</v>
      </c>
      <c r="AN108" s="3453">
        <v>4387.17</v>
      </c>
      <c r="AO108" s="3453">
        <v>30845</v>
      </c>
      <c r="AP108" s="3453">
        <v>32400</v>
      </c>
      <c r="AQ108" s="3453" t="s">
        <v>3470</v>
      </c>
      <c r="AR108" s="3453">
        <v>32569</v>
      </c>
      <c r="AS108" s="3453">
        <v>5.04</v>
      </c>
      <c r="AT108" s="3453" t="s">
        <v>4112</v>
      </c>
      <c r="AU108" s="3453">
        <v>625000</v>
      </c>
      <c r="AV108" s="3453" t="s">
        <v>3478</v>
      </c>
      <c r="AW108" s="3453" t="s">
        <v>3467</v>
      </c>
      <c r="AX108" s="3453">
        <v>32400</v>
      </c>
      <c r="AY108" s="3453">
        <v>5.04</v>
      </c>
      <c r="AZ108" s="3453" t="s">
        <v>3470</v>
      </c>
    </row>
    <row r="109" spans="1:53" hidden="1">
      <c r="A109" s="3453" t="s">
        <v>4339</v>
      </c>
      <c r="B109" s="3453" t="s">
        <v>3457</v>
      </c>
      <c r="C109" s="3453" t="s">
        <v>4340</v>
      </c>
      <c r="D109" s="3453" t="s">
        <v>3459</v>
      </c>
      <c r="E109" s="3453" t="s">
        <v>3519</v>
      </c>
      <c r="F109" s="3453" t="s">
        <v>3686</v>
      </c>
      <c r="G109" s="3453" t="s">
        <v>4341</v>
      </c>
      <c r="H109" s="3453" t="s">
        <v>3484</v>
      </c>
      <c r="I109" s="3453">
        <v>38598.46</v>
      </c>
      <c r="J109" s="3453">
        <v>82574</v>
      </c>
      <c r="K109" s="3453" t="s">
        <v>4342</v>
      </c>
      <c r="L109" s="3453" t="s">
        <v>3464</v>
      </c>
      <c r="M109" s="3453" t="s">
        <v>4343</v>
      </c>
      <c r="N109" s="3453" t="s">
        <v>4195</v>
      </c>
      <c r="O109" s="3453" t="s">
        <v>3467</v>
      </c>
      <c r="P109" s="3453" t="s">
        <v>4344</v>
      </c>
      <c r="Q109" s="3453" t="s">
        <v>4345</v>
      </c>
      <c r="R109" s="3453" t="s">
        <v>4276</v>
      </c>
      <c r="S109" s="3453" t="s">
        <v>4301</v>
      </c>
      <c r="T109" s="3453" t="s">
        <v>3602</v>
      </c>
      <c r="U109" s="3453" t="s">
        <v>4132</v>
      </c>
      <c r="V109" s="3453">
        <v>12810</v>
      </c>
      <c r="W109" s="3453">
        <v>12810</v>
      </c>
      <c r="X109" s="3453">
        <v>0</v>
      </c>
      <c r="Y109" s="3453">
        <v>0</v>
      </c>
      <c r="Z109" s="3454">
        <v>44286.000497685185</v>
      </c>
      <c r="AA109" s="3454">
        <v>44308.000497685185</v>
      </c>
      <c r="AB109" s="3454">
        <v>44324.000497685185</v>
      </c>
      <c r="AC109" s="3454">
        <v>44327.000497685185</v>
      </c>
      <c r="AD109" s="3453" t="s">
        <v>4346</v>
      </c>
      <c r="AE109" s="3453" t="s">
        <v>3472</v>
      </c>
      <c r="AF109" s="3453" t="s">
        <v>4347</v>
      </c>
      <c r="AG109" s="3453" t="s">
        <v>3728</v>
      </c>
      <c r="AH109" s="3453" t="s">
        <v>3493</v>
      </c>
      <c r="AI109" s="3453">
        <v>142000</v>
      </c>
      <c r="AJ109" s="3453">
        <v>29000</v>
      </c>
      <c r="AK109" s="3453" t="s">
        <v>4202</v>
      </c>
      <c r="AL109" s="3453">
        <v>163000</v>
      </c>
      <c r="AM109" s="3453">
        <v>2452.6</v>
      </c>
      <c r="AN109" s="3453">
        <v>2815.31</v>
      </c>
      <c r="AO109" s="3453">
        <v>17197</v>
      </c>
      <c r="AP109" s="3453">
        <v>19740</v>
      </c>
      <c r="AQ109" s="3453">
        <v>20354</v>
      </c>
      <c r="AR109" s="3453">
        <v>23364</v>
      </c>
      <c r="AS109" s="3453">
        <v>14.79</v>
      </c>
      <c r="AT109" s="3453" t="s">
        <v>4112</v>
      </c>
      <c r="AU109" s="3453">
        <v>163000</v>
      </c>
      <c r="AV109" s="3453" t="s">
        <v>3478</v>
      </c>
      <c r="AW109" s="3453" t="s">
        <v>3467</v>
      </c>
      <c r="AX109" s="3453">
        <v>19740</v>
      </c>
      <c r="AY109" s="3453">
        <v>14.79</v>
      </c>
      <c r="AZ109" s="3453" t="s">
        <v>3470</v>
      </c>
    </row>
    <row r="110" spans="1:53" hidden="1">
      <c r="A110" s="3453" t="s">
        <v>4348</v>
      </c>
      <c r="B110" s="3453" t="s">
        <v>3457</v>
      </c>
      <c r="C110" s="3453" t="s">
        <v>4349</v>
      </c>
      <c r="D110" s="3453" t="s">
        <v>3459</v>
      </c>
      <c r="E110" s="3453" t="s">
        <v>3973</v>
      </c>
      <c r="F110" s="3453" t="s">
        <v>4350</v>
      </c>
      <c r="G110" s="3453" t="s">
        <v>4351</v>
      </c>
      <c r="H110" s="3453" t="s">
        <v>3484</v>
      </c>
      <c r="I110" s="3453">
        <v>115536.75</v>
      </c>
      <c r="J110" s="3453">
        <v>211725</v>
      </c>
      <c r="K110" s="3453" t="s">
        <v>4352</v>
      </c>
      <c r="L110" s="3453" t="s">
        <v>3464</v>
      </c>
      <c r="M110" s="3453" t="s">
        <v>3778</v>
      </c>
      <c r="N110" s="3453" t="s">
        <v>4195</v>
      </c>
      <c r="O110" s="3453" t="s">
        <v>3467</v>
      </c>
      <c r="P110" s="3453" t="s">
        <v>3470</v>
      </c>
      <c r="Q110" s="3453" t="s">
        <v>3470</v>
      </c>
      <c r="R110" s="3453" t="s">
        <v>4209</v>
      </c>
      <c r="S110" s="3453" t="s">
        <v>3548</v>
      </c>
      <c r="T110" s="3453" t="s">
        <v>3470</v>
      </c>
      <c r="U110" s="3453" t="s">
        <v>3470</v>
      </c>
      <c r="V110" s="3453" t="s">
        <v>3470</v>
      </c>
      <c r="W110" s="3453">
        <v>0</v>
      </c>
      <c r="X110" s="3453">
        <v>0</v>
      </c>
      <c r="Y110" s="3453">
        <v>0</v>
      </c>
      <c r="Z110" s="3454">
        <v>44286.000497685185</v>
      </c>
      <c r="AA110" s="3454">
        <v>44308.000497685185</v>
      </c>
      <c r="AB110" s="3454">
        <v>44324.000497685185</v>
      </c>
      <c r="AC110" s="3454">
        <v>44324.000497685185</v>
      </c>
      <c r="AD110" s="3453" t="s">
        <v>4353</v>
      </c>
      <c r="AE110" s="3453" t="s">
        <v>3472</v>
      </c>
      <c r="AF110" s="3453" t="s">
        <v>4354</v>
      </c>
      <c r="AG110" s="3453" t="s">
        <v>4355</v>
      </c>
      <c r="AH110" s="3453" t="s">
        <v>3831</v>
      </c>
      <c r="AI110" s="3453">
        <v>457000</v>
      </c>
      <c r="AJ110" s="3453">
        <v>92000</v>
      </c>
      <c r="AK110" s="3453" t="s">
        <v>4202</v>
      </c>
      <c r="AL110" s="3453">
        <v>457000</v>
      </c>
      <c r="AM110" s="3453">
        <v>2636.97</v>
      </c>
      <c r="AN110" s="3453">
        <v>2636.97</v>
      </c>
      <c r="AO110" s="3453">
        <v>21585</v>
      </c>
      <c r="AP110" s="3453">
        <v>21585</v>
      </c>
      <c r="AQ110" s="3453" t="s">
        <v>3470</v>
      </c>
      <c r="AR110" s="3453" t="s">
        <v>3470</v>
      </c>
      <c r="AS110" s="3453">
        <v>0</v>
      </c>
      <c r="AT110" s="3453" t="s">
        <v>4112</v>
      </c>
      <c r="AU110" s="3453">
        <v>502700</v>
      </c>
      <c r="AV110" s="3453" t="s">
        <v>3505</v>
      </c>
      <c r="AW110" s="3453" t="s">
        <v>3467</v>
      </c>
      <c r="AX110" s="3453">
        <v>23743</v>
      </c>
      <c r="AY110" s="3453">
        <v>10</v>
      </c>
      <c r="AZ110" s="3453" t="s">
        <v>3470</v>
      </c>
    </row>
    <row r="111" spans="1:53" hidden="1">
      <c r="A111" s="3453" t="s">
        <v>4356</v>
      </c>
      <c r="B111" s="3453" t="s">
        <v>3457</v>
      </c>
      <c r="C111" s="3453" t="s">
        <v>4357</v>
      </c>
      <c r="D111" s="3453" t="s">
        <v>3459</v>
      </c>
      <c r="E111" s="3453" t="s">
        <v>3519</v>
      </c>
      <c r="F111" s="3453" t="s">
        <v>4333</v>
      </c>
      <c r="G111" s="3453" t="s">
        <v>4334</v>
      </c>
      <c r="H111" s="3453" t="s">
        <v>3484</v>
      </c>
      <c r="I111" s="3453">
        <v>108243.94</v>
      </c>
      <c r="J111" s="3453">
        <v>262360.75</v>
      </c>
      <c r="K111" s="3453" t="s">
        <v>4358</v>
      </c>
      <c r="L111" s="3453" t="s">
        <v>3464</v>
      </c>
      <c r="M111" s="3453" t="s">
        <v>4359</v>
      </c>
      <c r="N111" s="3453" t="s">
        <v>4195</v>
      </c>
      <c r="O111" s="3453">
        <v>5.28</v>
      </c>
      <c r="P111" s="3453" t="s">
        <v>3470</v>
      </c>
      <c r="Q111" s="3453" t="s">
        <v>3470</v>
      </c>
      <c r="R111" s="3453" t="s">
        <v>4360</v>
      </c>
      <c r="S111" s="3453" t="s">
        <v>4361</v>
      </c>
      <c r="T111" s="3453" t="s">
        <v>3602</v>
      </c>
      <c r="U111" s="3453" t="s">
        <v>4132</v>
      </c>
      <c r="V111" s="3453" t="s">
        <v>3470</v>
      </c>
      <c r="W111" s="3453">
        <v>0</v>
      </c>
      <c r="X111" s="3453">
        <v>0</v>
      </c>
      <c r="Y111" s="3453">
        <v>0</v>
      </c>
      <c r="Z111" s="3454">
        <v>44286.000497685185</v>
      </c>
      <c r="AA111" s="3454">
        <v>44308.000497685185</v>
      </c>
      <c r="AB111" s="3454">
        <v>44324.000497685185</v>
      </c>
      <c r="AC111" s="3454">
        <v>44324.000497685185</v>
      </c>
      <c r="AD111" s="3453" t="s">
        <v>4362</v>
      </c>
      <c r="AE111" s="3453" t="s">
        <v>3472</v>
      </c>
      <c r="AF111" s="3453" t="s">
        <v>4363</v>
      </c>
      <c r="AG111" s="3453" t="s">
        <v>4364</v>
      </c>
      <c r="AH111" s="3453" t="s">
        <v>4365</v>
      </c>
      <c r="AI111" s="3453">
        <v>452000</v>
      </c>
      <c r="AJ111" s="3453">
        <v>91000</v>
      </c>
      <c r="AK111" s="3453" t="s">
        <v>4202</v>
      </c>
      <c r="AL111" s="3453">
        <v>452000</v>
      </c>
      <c r="AM111" s="3453">
        <v>2783.84</v>
      </c>
      <c r="AN111" s="3453">
        <v>2783.84</v>
      </c>
      <c r="AO111" s="3453">
        <v>17228</v>
      </c>
      <c r="AP111" s="3453">
        <v>17228</v>
      </c>
      <c r="AQ111" s="3453" t="s">
        <v>3470</v>
      </c>
      <c r="AR111" s="3453" t="s">
        <v>3470</v>
      </c>
      <c r="AS111" s="3453">
        <v>0</v>
      </c>
      <c r="AT111" s="3453" t="s">
        <v>4112</v>
      </c>
      <c r="AU111" s="3453">
        <v>497000</v>
      </c>
      <c r="AV111" s="3453" t="s">
        <v>3505</v>
      </c>
      <c r="AW111" s="3453" t="s">
        <v>3467</v>
      </c>
      <c r="AX111" s="3453">
        <v>18943</v>
      </c>
      <c r="AY111" s="3453">
        <v>9.9600000000000009</v>
      </c>
      <c r="AZ111" s="3453" t="s">
        <v>3470</v>
      </c>
    </row>
    <row r="112" spans="1:53" hidden="1">
      <c r="A112" s="3453" t="s">
        <v>4366</v>
      </c>
      <c r="B112" s="3453" t="s">
        <v>3457</v>
      </c>
      <c r="C112" s="3453" t="s">
        <v>4367</v>
      </c>
      <c r="D112" s="3453" t="s">
        <v>3459</v>
      </c>
      <c r="E112" s="3453" t="s">
        <v>3556</v>
      </c>
      <c r="F112" s="3453" t="s">
        <v>3557</v>
      </c>
      <c r="G112" s="3453" t="s">
        <v>3558</v>
      </c>
      <c r="H112" s="3453" t="s">
        <v>3484</v>
      </c>
      <c r="I112" s="3453">
        <v>52916.1</v>
      </c>
      <c r="J112" s="3453">
        <v>51938.27</v>
      </c>
      <c r="K112" s="3453" t="s">
        <v>4368</v>
      </c>
      <c r="L112" s="3453" t="s">
        <v>3464</v>
      </c>
      <c r="M112" s="3453" t="s">
        <v>4369</v>
      </c>
      <c r="N112" s="3453" t="s">
        <v>4195</v>
      </c>
      <c r="O112" s="3453" t="s">
        <v>3467</v>
      </c>
      <c r="P112" s="3453" t="s">
        <v>4370</v>
      </c>
      <c r="Q112" s="3453" t="s">
        <v>4371</v>
      </c>
      <c r="R112" s="3453" t="s">
        <v>4209</v>
      </c>
      <c r="S112" s="3453" t="s">
        <v>3548</v>
      </c>
      <c r="T112" s="3453" t="s">
        <v>3470</v>
      </c>
      <c r="U112" s="3453" t="s">
        <v>3470</v>
      </c>
      <c r="V112" s="3453" t="s">
        <v>3470</v>
      </c>
      <c r="W112" s="3453">
        <v>0</v>
      </c>
      <c r="X112" s="3453">
        <v>0</v>
      </c>
      <c r="Y112" s="3453">
        <v>0</v>
      </c>
      <c r="Z112" s="3454">
        <v>44286.000497685185</v>
      </c>
      <c r="AA112" s="3454">
        <v>44308.000497685185</v>
      </c>
      <c r="AB112" s="3454">
        <v>44324.000497685185</v>
      </c>
      <c r="AC112" s="3454">
        <v>44324.000497685185</v>
      </c>
      <c r="AD112" s="3453" t="s">
        <v>4372</v>
      </c>
      <c r="AE112" s="3453" t="s">
        <v>3472</v>
      </c>
      <c r="AF112" s="3453" t="s">
        <v>4373</v>
      </c>
      <c r="AG112" s="3453" t="s">
        <v>4374</v>
      </c>
      <c r="AH112" s="3453" t="s">
        <v>3530</v>
      </c>
      <c r="AI112" s="3453">
        <v>153000</v>
      </c>
      <c r="AJ112" s="3453">
        <v>31000</v>
      </c>
      <c r="AK112" s="3453" t="s">
        <v>4202</v>
      </c>
      <c r="AL112" s="3453">
        <v>153000</v>
      </c>
      <c r="AM112" s="3453">
        <v>1927.58</v>
      </c>
      <c r="AN112" s="3453">
        <v>1927.58</v>
      </c>
      <c r="AO112" s="3453">
        <v>29458</v>
      </c>
      <c r="AP112" s="3453">
        <v>29458</v>
      </c>
      <c r="AQ112" s="3453" t="s">
        <v>3470</v>
      </c>
      <c r="AR112" s="3453" t="s">
        <v>3470</v>
      </c>
      <c r="AS112" s="3453">
        <v>0</v>
      </c>
      <c r="AT112" s="3453" t="s">
        <v>4112</v>
      </c>
      <c r="AU112" s="3453">
        <v>163600</v>
      </c>
      <c r="AV112" s="3453" t="s">
        <v>3505</v>
      </c>
      <c r="AW112" s="3453" t="s">
        <v>3467</v>
      </c>
      <c r="AX112" s="3453">
        <v>31499</v>
      </c>
      <c r="AY112" s="3453">
        <v>6.93</v>
      </c>
      <c r="AZ112" s="3453" t="s">
        <v>3470</v>
      </c>
    </row>
    <row r="113" spans="1:52">
      <c r="A113" s="3453" t="s">
        <v>4375</v>
      </c>
      <c r="B113" s="3453" t="s">
        <v>3457</v>
      </c>
      <c r="C113" s="3453" t="s">
        <v>4376</v>
      </c>
      <c r="D113" s="3453" t="s">
        <v>3459</v>
      </c>
      <c r="E113" s="3453" t="s">
        <v>3655</v>
      </c>
      <c r="F113" s="3453" t="s">
        <v>4377</v>
      </c>
      <c r="G113" s="3453" t="s">
        <v>4378</v>
      </c>
      <c r="H113" s="3453" t="s">
        <v>3463</v>
      </c>
      <c r="I113" s="3453">
        <v>90083.7</v>
      </c>
      <c r="J113" s="3453">
        <v>126117.18</v>
      </c>
      <c r="K113" s="3453" t="s">
        <v>3770</v>
      </c>
      <c r="L113" s="3453" t="s">
        <v>3464</v>
      </c>
      <c r="M113" s="3453" t="s">
        <v>3465</v>
      </c>
      <c r="N113" s="3453" t="s">
        <v>4195</v>
      </c>
      <c r="O113" s="3453" t="s">
        <v>3467</v>
      </c>
      <c r="P113" s="3453" t="s">
        <v>4379</v>
      </c>
      <c r="Q113" s="3453" t="s">
        <v>4254</v>
      </c>
      <c r="R113" s="3453" t="s">
        <v>4380</v>
      </c>
      <c r="S113" s="3453" t="s">
        <v>3501</v>
      </c>
      <c r="T113" s="3453" t="s">
        <v>3470</v>
      </c>
      <c r="U113" s="3453" t="s">
        <v>3470</v>
      </c>
      <c r="V113" s="3453">
        <v>0</v>
      </c>
      <c r="W113" s="3453">
        <v>0</v>
      </c>
      <c r="X113" s="3453">
        <v>0</v>
      </c>
      <c r="Y113" s="3453">
        <v>0</v>
      </c>
      <c r="Z113" s="3454">
        <v>44286.000497685185</v>
      </c>
      <c r="AA113" s="3454">
        <v>44308.000497685185</v>
      </c>
      <c r="AB113" s="3454">
        <v>44324.000497685185</v>
      </c>
      <c r="AC113" s="3454">
        <v>44327.000497685185</v>
      </c>
      <c r="AD113" s="3453" t="s">
        <v>4381</v>
      </c>
      <c r="AE113" s="3453" t="s">
        <v>3472</v>
      </c>
      <c r="AF113" s="3453" t="s">
        <v>4382</v>
      </c>
      <c r="AG113" s="3453" t="s">
        <v>3713</v>
      </c>
      <c r="AH113" s="3453" t="s">
        <v>3475</v>
      </c>
      <c r="AI113" s="3453">
        <v>367000</v>
      </c>
      <c r="AJ113" s="3453">
        <v>75000</v>
      </c>
      <c r="AK113" s="3453" t="s">
        <v>4202</v>
      </c>
      <c r="AL113" s="3453">
        <v>371000</v>
      </c>
      <c r="AM113" s="3453">
        <v>2715.99</v>
      </c>
      <c r="AN113" s="3453">
        <v>2745.59</v>
      </c>
      <c r="AO113" s="3453">
        <v>29100</v>
      </c>
      <c r="AP113" s="3453">
        <v>29417</v>
      </c>
      <c r="AQ113" s="3453" t="s">
        <v>3470</v>
      </c>
      <c r="AR113" s="3453" t="s">
        <v>3470</v>
      </c>
      <c r="AS113" s="3453">
        <v>1.0900000000000001</v>
      </c>
      <c r="AT113" s="3453" t="s">
        <v>4112</v>
      </c>
      <c r="AU113" s="3453">
        <v>403700</v>
      </c>
      <c r="AV113" s="3453" t="s">
        <v>3505</v>
      </c>
      <c r="AW113" s="3453" t="s">
        <v>3467</v>
      </c>
      <c r="AX113" s="3453">
        <v>32010</v>
      </c>
      <c r="AY113" s="3453">
        <v>10</v>
      </c>
      <c r="AZ113" s="3453" t="s">
        <v>3470</v>
      </c>
    </row>
    <row r="114" spans="1:52" hidden="1">
      <c r="A114" s="3453" t="s">
        <v>4383</v>
      </c>
      <c r="B114" s="3453" t="s">
        <v>3457</v>
      </c>
      <c r="C114" s="3453" t="s">
        <v>4384</v>
      </c>
      <c r="D114" s="3453" t="s">
        <v>3459</v>
      </c>
      <c r="E114" s="3453" t="s">
        <v>3460</v>
      </c>
      <c r="F114" s="3453" t="s">
        <v>3565</v>
      </c>
      <c r="G114" s="3453" t="s">
        <v>3588</v>
      </c>
      <c r="H114" s="3453" t="s">
        <v>3463</v>
      </c>
      <c r="I114" s="3453">
        <v>34118.69</v>
      </c>
      <c r="J114" s="3453">
        <v>85297</v>
      </c>
      <c r="K114" s="3453" t="s">
        <v>3760</v>
      </c>
      <c r="L114" s="3453" t="s">
        <v>3464</v>
      </c>
      <c r="M114" s="3453" t="s">
        <v>3465</v>
      </c>
      <c r="N114" s="3453" t="s">
        <v>4195</v>
      </c>
      <c r="O114" s="3453" t="s">
        <v>3467</v>
      </c>
      <c r="P114" s="3453" t="s">
        <v>4207</v>
      </c>
      <c r="Q114" s="3453" t="s">
        <v>4227</v>
      </c>
      <c r="R114" s="3453" t="s">
        <v>4276</v>
      </c>
      <c r="S114" s="3453" t="s">
        <v>4301</v>
      </c>
      <c r="T114" s="3453" t="s">
        <v>3602</v>
      </c>
      <c r="U114" s="3453" t="s">
        <v>4132</v>
      </c>
      <c r="V114" s="3453">
        <v>8600</v>
      </c>
      <c r="W114" s="3453">
        <v>8600</v>
      </c>
      <c r="X114" s="3453">
        <v>0</v>
      </c>
      <c r="Y114" s="3453">
        <v>0</v>
      </c>
      <c r="Z114" s="3454">
        <v>44286.000497685185</v>
      </c>
      <c r="AA114" s="3454">
        <v>44308.000497685185</v>
      </c>
      <c r="AB114" s="3454">
        <v>44324.000497685185</v>
      </c>
      <c r="AC114" s="3454">
        <v>44326.000497685185</v>
      </c>
      <c r="AD114" s="3453" t="s">
        <v>4385</v>
      </c>
      <c r="AE114" s="3453" t="s">
        <v>3472</v>
      </c>
      <c r="AF114" s="3453" t="s">
        <v>4386</v>
      </c>
      <c r="AG114" s="3453" t="s">
        <v>4387</v>
      </c>
      <c r="AH114" s="3453" t="s">
        <v>3584</v>
      </c>
      <c r="AI114" s="3453">
        <v>367000</v>
      </c>
      <c r="AJ114" s="3453">
        <v>74000</v>
      </c>
      <c r="AK114" s="3453" t="s">
        <v>4202</v>
      </c>
      <c r="AL114" s="3453">
        <v>422000</v>
      </c>
      <c r="AM114" s="3453">
        <v>7171.05</v>
      </c>
      <c r="AN114" s="3453">
        <v>8245.7199999999993</v>
      </c>
      <c r="AO114" s="3453">
        <v>43026</v>
      </c>
      <c r="AP114" s="3453">
        <v>49474</v>
      </c>
      <c r="AQ114" s="3453">
        <v>47851</v>
      </c>
      <c r="AR114" s="3453">
        <v>55022</v>
      </c>
      <c r="AS114" s="3453">
        <v>14.99</v>
      </c>
      <c r="AT114" s="3453" t="s">
        <v>4112</v>
      </c>
      <c r="AU114" s="3453">
        <v>422000</v>
      </c>
      <c r="AV114" s="3453" t="s">
        <v>3478</v>
      </c>
      <c r="AW114" s="3453" t="s">
        <v>3467</v>
      </c>
      <c r="AX114" s="3453">
        <v>49474</v>
      </c>
      <c r="AY114" s="3453">
        <v>14.99</v>
      </c>
      <c r="AZ114" s="3453" t="s">
        <v>3470</v>
      </c>
    </row>
    <row r="115" spans="1:52" hidden="1">
      <c r="A115" s="3453" t="s">
        <v>4388</v>
      </c>
      <c r="B115" s="3453" t="s">
        <v>3457</v>
      </c>
      <c r="C115" s="3453" t="s">
        <v>4389</v>
      </c>
      <c r="D115" s="3453" t="s">
        <v>3459</v>
      </c>
      <c r="E115" s="3453" t="s">
        <v>4005</v>
      </c>
      <c r="F115" s="3453" t="s">
        <v>4006</v>
      </c>
      <c r="G115" s="3453" t="s">
        <v>4390</v>
      </c>
      <c r="H115" s="3453" t="s">
        <v>3463</v>
      </c>
      <c r="I115" s="3453">
        <v>16867.490000000002</v>
      </c>
      <c r="J115" s="3453">
        <v>32048.23</v>
      </c>
      <c r="K115" s="3453" t="s">
        <v>4391</v>
      </c>
      <c r="L115" s="3453" t="s">
        <v>3464</v>
      </c>
      <c r="M115" s="3453" t="s">
        <v>3465</v>
      </c>
      <c r="N115" s="3453" t="s">
        <v>4195</v>
      </c>
      <c r="O115" s="3453">
        <v>0</v>
      </c>
      <c r="P115" s="3453" t="s">
        <v>3470</v>
      </c>
      <c r="Q115" s="3453" t="s">
        <v>4392</v>
      </c>
      <c r="R115" s="3453" t="s">
        <v>3979</v>
      </c>
      <c r="S115" s="3453" t="s">
        <v>3979</v>
      </c>
      <c r="T115" s="3453" t="s">
        <v>3470</v>
      </c>
      <c r="U115" s="3453" t="s">
        <v>3470</v>
      </c>
      <c r="V115" s="3453">
        <v>0</v>
      </c>
      <c r="W115" s="3453">
        <v>0</v>
      </c>
      <c r="X115" s="3453">
        <v>0</v>
      </c>
      <c r="Y115" s="3453">
        <v>0</v>
      </c>
      <c r="Z115" s="3454">
        <v>44286.000497685185</v>
      </c>
      <c r="AA115" s="3454">
        <v>44308.000497685185</v>
      </c>
      <c r="AB115" s="3454">
        <v>44324.000497685185</v>
      </c>
      <c r="AC115" s="3454">
        <v>44342.000497685185</v>
      </c>
      <c r="AD115" s="3453" t="s">
        <v>4393</v>
      </c>
      <c r="AE115" s="3453" t="s">
        <v>3472</v>
      </c>
      <c r="AF115" s="3453" t="s">
        <v>4394</v>
      </c>
      <c r="AG115" s="3453" t="s">
        <v>4395</v>
      </c>
      <c r="AH115" s="3453" t="s">
        <v>3493</v>
      </c>
      <c r="AI115" s="3453">
        <v>38100</v>
      </c>
      <c r="AJ115" s="3453">
        <v>7700</v>
      </c>
      <c r="AK115" s="3453" t="s">
        <v>4202</v>
      </c>
      <c r="AL115" s="3453">
        <v>41900</v>
      </c>
      <c r="AM115" s="3453">
        <v>1505.86</v>
      </c>
      <c r="AN115" s="3453">
        <v>1656.05</v>
      </c>
      <c r="AO115" s="3453">
        <v>11888</v>
      </c>
      <c r="AP115" s="3453">
        <v>13074</v>
      </c>
      <c r="AQ115" s="3453" t="s">
        <v>3470</v>
      </c>
      <c r="AR115" s="3453" t="s">
        <v>3470</v>
      </c>
      <c r="AS115" s="3453">
        <v>9.9700000000000006</v>
      </c>
      <c r="AT115" s="3453" t="s">
        <v>4112</v>
      </c>
      <c r="AU115" s="3453">
        <v>41900</v>
      </c>
      <c r="AV115" s="3453" t="s">
        <v>3478</v>
      </c>
      <c r="AW115" s="3453" t="s">
        <v>3467</v>
      </c>
      <c r="AX115" s="3453">
        <v>13074</v>
      </c>
      <c r="AY115" s="3453">
        <v>9.9700000000000006</v>
      </c>
      <c r="AZ115" s="3453" t="s">
        <v>3470</v>
      </c>
    </row>
    <row r="116" spans="1:52" hidden="1">
      <c r="A116" s="3453" t="s">
        <v>4396</v>
      </c>
      <c r="B116" s="3453" t="s">
        <v>3457</v>
      </c>
      <c r="C116" s="3453" t="s">
        <v>4397</v>
      </c>
      <c r="D116" s="3453" t="s">
        <v>3459</v>
      </c>
      <c r="E116" s="3453" t="s">
        <v>3460</v>
      </c>
      <c r="F116" s="3453" t="s">
        <v>3786</v>
      </c>
      <c r="G116" s="3453" t="s">
        <v>3964</v>
      </c>
      <c r="H116" s="3453" t="s">
        <v>3484</v>
      </c>
      <c r="I116" s="3453">
        <v>32742.57</v>
      </c>
      <c r="J116" s="3453">
        <v>73016</v>
      </c>
      <c r="K116" s="3453" t="s">
        <v>4285</v>
      </c>
      <c r="L116" s="3453" t="s">
        <v>3464</v>
      </c>
      <c r="M116" s="3453" t="s">
        <v>3629</v>
      </c>
      <c r="N116" s="3453" t="s">
        <v>4195</v>
      </c>
      <c r="O116" s="3453" t="s">
        <v>3467</v>
      </c>
      <c r="P116" s="3453" t="s">
        <v>3470</v>
      </c>
      <c r="Q116" s="3453" t="s">
        <v>4398</v>
      </c>
      <c r="R116" s="3453" t="s">
        <v>4276</v>
      </c>
      <c r="S116" s="3453" t="s">
        <v>4276</v>
      </c>
      <c r="T116" s="3453" t="s">
        <v>3602</v>
      </c>
      <c r="U116" s="3453" t="s">
        <v>4132</v>
      </c>
      <c r="V116" s="3453">
        <v>0</v>
      </c>
      <c r="W116" s="3453">
        <v>0</v>
      </c>
      <c r="X116" s="3453">
        <v>0</v>
      </c>
      <c r="Y116" s="3453">
        <v>0</v>
      </c>
      <c r="Z116" s="3454">
        <v>44286.000497685185</v>
      </c>
      <c r="AA116" s="3454">
        <v>44308.000497685185</v>
      </c>
      <c r="AB116" s="3454">
        <v>44324.000497685185</v>
      </c>
      <c r="AC116" s="3454">
        <v>44343.000497685185</v>
      </c>
      <c r="AD116" s="3453" t="s">
        <v>4399</v>
      </c>
      <c r="AE116" s="3453" t="s">
        <v>3472</v>
      </c>
      <c r="AF116" s="3453" t="s">
        <v>4400</v>
      </c>
      <c r="AG116" s="3453" t="s">
        <v>4401</v>
      </c>
      <c r="AH116" s="3453" t="s">
        <v>3475</v>
      </c>
      <c r="AI116" s="3453">
        <v>294500</v>
      </c>
      <c r="AJ116" s="3453">
        <v>59000</v>
      </c>
      <c r="AK116" s="3453" t="s">
        <v>4202</v>
      </c>
      <c r="AL116" s="3453">
        <v>309500</v>
      </c>
      <c r="AM116" s="3453">
        <v>5996.27</v>
      </c>
      <c r="AN116" s="3453">
        <v>6301.68</v>
      </c>
      <c r="AO116" s="3453">
        <v>40334</v>
      </c>
      <c r="AP116" s="3453">
        <v>42388</v>
      </c>
      <c r="AQ116" s="3453" t="s">
        <v>3470</v>
      </c>
      <c r="AR116" s="3453" t="s">
        <v>3470</v>
      </c>
      <c r="AS116" s="3453">
        <v>5.09</v>
      </c>
      <c r="AT116" s="3453" t="s">
        <v>4112</v>
      </c>
      <c r="AU116" s="3453">
        <v>309500</v>
      </c>
      <c r="AV116" s="3453" t="s">
        <v>3478</v>
      </c>
      <c r="AW116" s="3453" t="s">
        <v>3467</v>
      </c>
      <c r="AX116" s="3453">
        <v>42388</v>
      </c>
      <c r="AY116" s="3453">
        <v>5.09</v>
      </c>
      <c r="AZ116" s="3453" t="s">
        <v>3470</v>
      </c>
    </row>
    <row r="117" spans="1:52" hidden="1">
      <c r="A117" s="3453" t="s">
        <v>4402</v>
      </c>
      <c r="B117" s="3453" t="s">
        <v>3457</v>
      </c>
      <c r="C117" s="3453" t="s">
        <v>4403</v>
      </c>
      <c r="D117" s="3453" t="s">
        <v>3459</v>
      </c>
      <c r="E117" s="3453" t="s">
        <v>3519</v>
      </c>
      <c r="F117" s="3453" t="s">
        <v>4404</v>
      </c>
      <c r="G117" s="3453" t="s">
        <v>4405</v>
      </c>
      <c r="H117" s="3453" t="s">
        <v>3463</v>
      </c>
      <c r="I117" s="3453">
        <v>48407.51</v>
      </c>
      <c r="J117" s="3453">
        <v>96815.01</v>
      </c>
      <c r="K117" s="3453" t="s">
        <v>3638</v>
      </c>
      <c r="L117" s="3453" t="s">
        <v>3464</v>
      </c>
      <c r="M117" s="3453" t="s">
        <v>3465</v>
      </c>
      <c r="N117" s="3453" t="s">
        <v>4195</v>
      </c>
      <c r="O117" s="3453" t="s">
        <v>3467</v>
      </c>
      <c r="P117" s="3453" t="s">
        <v>4207</v>
      </c>
      <c r="Q117" s="3453" t="s">
        <v>3639</v>
      </c>
      <c r="R117" s="3453" t="s">
        <v>4209</v>
      </c>
      <c r="S117" s="3453" t="s">
        <v>3548</v>
      </c>
      <c r="T117" s="3453" t="s">
        <v>3470</v>
      </c>
      <c r="U117" s="3453" t="s">
        <v>3470</v>
      </c>
      <c r="V117" s="3453">
        <v>0</v>
      </c>
      <c r="W117" s="3453">
        <v>0</v>
      </c>
      <c r="X117" s="3453">
        <v>0</v>
      </c>
      <c r="Y117" s="3453">
        <v>0</v>
      </c>
      <c r="Z117" s="3454">
        <v>44286.000497685185</v>
      </c>
      <c r="AA117" s="3454">
        <v>44308.000497685185</v>
      </c>
      <c r="AB117" s="3454">
        <v>44324.000497685185</v>
      </c>
      <c r="AC117" s="3454">
        <v>44324.000497685185</v>
      </c>
      <c r="AD117" s="3453" t="s">
        <v>4406</v>
      </c>
      <c r="AE117" s="3453" t="s">
        <v>3472</v>
      </c>
      <c r="AF117" s="3453" t="s">
        <v>4407</v>
      </c>
      <c r="AG117" s="3453" t="s">
        <v>4408</v>
      </c>
      <c r="AH117" s="3453" t="s">
        <v>4409</v>
      </c>
      <c r="AI117" s="3453">
        <v>145800</v>
      </c>
      <c r="AJ117" s="3453">
        <v>30000</v>
      </c>
      <c r="AK117" s="3453" t="s">
        <v>4202</v>
      </c>
      <c r="AL117" s="3453">
        <v>145800</v>
      </c>
      <c r="AM117" s="3453">
        <v>2007.95</v>
      </c>
      <c r="AN117" s="3453">
        <v>2007.95</v>
      </c>
      <c r="AO117" s="3453">
        <v>15060</v>
      </c>
      <c r="AP117" s="3453">
        <v>15060</v>
      </c>
      <c r="AQ117" s="3453" t="s">
        <v>3470</v>
      </c>
      <c r="AR117" s="3453" t="s">
        <v>3470</v>
      </c>
      <c r="AS117" s="3453">
        <v>0</v>
      </c>
      <c r="AT117" s="3453" t="s">
        <v>4112</v>
      </c>
      <c r="AU117" s="3453">
        <v>167600</v>
      </c>
      <c r="AV117" s="3453" t="s">
        <v>3505</v>
      </c>
      <c r="AW117" s="3453" t="s">
        <v>3467</v>
      </c>
      <c r="AX117" s="3453">
        <v>17311</v>
      </c>
      <c r="AY117" s="3453">
        <v>14.95</v>
      </c>
      <c r="AZ117" s="3453" t="s">
        <v>3470</v>
      </c>
    </row>
    <row r="118" spans="1:52" hidden="1">
      <c r="A118" s="3453" t="s">
        <v>4410</v>
      </c>
      <c r="B118" s="3453" t="s">
        <v>3457</v>
      </c>
      <c r="C118" s="3453" t="s">
        <v>4411</v>
      </c>
      <c r="D118" s="3453" t="s">
        <v>3459</v>
      </c>
      <c r="E118" s="3453" t="s">
        <v>3661</v>
      </c>
      <c r="F118" s="3453" t="s">
        <v>4251</v>
      </c>
      <c r="G118" s="3453" t="s">
        <v>4252</v>
      </c>
      <c r="H118" s="3453" t="s">
        <v>3463</v>
      </c>
      <c r="I118" s="3453">
        <v>52686.19</v>
      </c>
      <c r="J118" s="3453">
        <v>83160</v>
      </c>
      <c r="K118" s="3453" t="s">
        <v>4253</v>
      </c>
      <c r="L118" s="3453" t="s">
        <v>3464</v>
      </c>
      <c r="M118" s="3453" t="s">
        <v>3465</v>
      </c>
      <c r="N118" s="3453" t="s">
        <v>4195</v>
      </c>
      <c r="O118" s="3453" t="s">
        <v>3467</v>
      </c>
      <c r="P118" s="3453" t="s">
        <v>3470</v>
      </c>
      <c r="Q118" s="3453" t="s">
        <v>4254</v>
      </c>
      <c r="R118" s="3453" t="s">
        <v>4380</v>
      </c>
      <c r="S118" s="3453" t="s">
        <v>4380</v>
      </c>
      <c r="T118" s="3453" t="s">
        <v>3470</v>
      </c>
      <c r="U118" s="3453" t="s">
        <v>3470</v>
      </c>
      <c r="V118" s="3453">
        <v>0</v>
      </c>
      <c r="W118" s="3453">
        <v>0</v>
      </c>
      <c r="X118" s="3453">
        <v>0</v>
      </c>
      <c r="Y118" s="3453">
        <v>0</v>
      </c>
      <c r="Z118" s="3454">
        <v>44286.000497685185</v>
      </c>
      <c r="AA118" s="3454">
        <v>44308.000497685185</v>
      </c>
      <c r="AB118" s="3454">
        <v>44324.000497685185</v>
      </c>
      <c r="AC118" s="3454">
        <v>44342.000497685185</v>
      </c>
      <c r="AD118" s="3453" t="s">
        <v>4412</v>
      </c>
      <c r="AE118" s="3453" t="s">
        <v>3472</v>
      </c>
      <c r="AF118" s="3453" t="s">
        <v>4413</v>
      </c>
      <c r="AG118" s="3453" t="s">
        <v>4414</v>
      </c>
      <c r="AH118" s="3453" t="s">
        <v>3634</v>
      </c>
      <c r="AI118" s="3453">
        <v>559000</v>
      </c>
      <c r="AJ118" s="3453">
        <v>112000</v>
      </c>
      <c r="AK118" s="3453" t="s">
        <v>4202</v>
      </c>
      <c r="AL118" s="3453">
        <v>573000</v>
      </c>
      <c r="AM118" s="3453">
        <v>7073.33</v>
      </c>
      <c r="AN118" s="3453">
        <v>7250.48</v>
      </c>
      <c r="AO118" s="3453">
        <v>67220</v>
      </c>
      <c r="AP118" s="3453">
        <v>68903</v>
      </c>
      <c r="AQ118" s="3453" t="s">
        <v>3470</v>
      </c>
      <c r="AR118" s="3453" t="s">
        <v>3470</v>
      </c>
      <c r="AS118" s="3453">
        <v>2.5</v>
      </c>
      <c r="AT118" s="3453" t="s">
        <v>4112</v>
      </c>
      <c r="AU118" s="3453">
        <v>573000</v>
      </c>
      <c r="AV118" s="3453" t="s">
        <v>3478</v>
      </c>
      <c r="AW118" s="3453" t="s">
        <v>3467</v>
      </c>
      <c r="AX118" s="3453">
        <v>68903</v>
      </c>
      <c r="AY118" s="3453">
        <v>2.5</v>
      </c>
      <c r="AZ118" s="3453" t="s">
        <v>3470</v>
      </c>
    </row>
    <row r="119" spans="1:52" hidden="1">
      <c r="A119" s="3453" t="s">
        <v>4415</v>
      </c>
      <c r="B119" s="3453" t="s">
        <v>3457</v>
      </c>
      <c r="C119" s="3453" t="s">
        <v>4416</v>
      </c>
      <c r="D119" s="3453" t="s">
        <v>3459</v>
      </c>
      <c r="E119" s="3453" t="s">
        <v>3460</v>
      </c>
      <c r="F119" s="3453" t="s">
        <v>3851</v>
      </c>
      <c r="G119" s="3453" t="s">
        <v>4320</v>
      </c>
      <c r="H119" s="3453" t="s">
        <v>3463</v>
      </c>
      <c r="I119" s="3453">
        <v>57008.47</v>
      </c>
      <c r="J119" s="3453">
        <v>74111</v>
      </c>
      <c r="K119" s="3453" t="s">
        <v>4321</v>
      </c>
      <c r="L119" s="3453" t="s">
        <v>3464</v>
      </c>
      <c r="M119" s="3453" t="s">
        <v>3465</v>
      </c>
      <c r="N119" s="3453" t="s">
        <v>4195</v>
      </c>
      <c r="O119" s="3453" t="s">
        <v>3467</v>
      </c>
      <c r="P119" s="3453" t="s">
        <v>4207</v>
      </c>
      <c r="Q119" s="3453" t="s">
        <v>4322</v>
      </c>
      <c r="R119" s="3453" t="s">
        <v>4209</v>
      </c>
      <c r="S119" s="3453" t="s">
        <v>3548</v>
      </c>
      <c r="T119" s="3453" t="s">
        <v>3470</v>
      </c>
      <c r="U119" s="3453" t="s">
        <v>3470</v>
      </c>
      <c r="V119" s="3453">
        <v>0</v>
      </c>
      <c r="W119" s="3453">
        <v>0</v>
      </c>
      <c r="X119" s="3453">
        <v>0</v>
      </c>
      <c r="Y119" s="3453">
        <v>0</v>
      </c>
      <c r="Z119" s="3454">
        <v>44286.000497685185</v>
      </c>
      <c r="AA119" s="3454">
        <v>44308.000497685185</v>
      </c>
      <c r="AB119" s="3454">
        <v>44324.000497685185</v>
      </c>
      <c r="AC119" s="3454">
        <v>44326.000497685185</v>
      </c>
      <c r="AD119" s="3453" t="s">
        <v>4417</v>
      </c>
      <c r="AE119" s="3453" t="s">
        <v>3472</v>
      </c>
      <c r="AF119" s="3453" t="s">
        <v>4418</v>
      </c>
      <c r="AG119" s="3453" t="s">
        <v>4419</v>
      </c>
      <c r="AH119" s="3453" t="s">
        <v>4420</v>
      </c>
      <c r="AI119" s="3453">
        <v>378000</v>
      </c>
      <c r="AJ119" s="3453">
        <v>76000</v>
      </c>
      <c r="AK119" s="3453" t="s">
        <v>4202</v>
      </c>
      <c r="AL119" s="3453">
        <v>392700</v>
      </c>
      <c r="AM119" s="3453">
        <v>4420.3999999999996</v>
      </c>
      <c r="AN119" s="3453">
        <v>4592.3</v>
      </c>
      <c r="AO119" s="3453">
        <v>51005</v>
      </c>
      <c r="AP119" s="3453">
        <v>52988</v>
      </c>
      <c r="AQ119" s="3453" t="s">
        <v>3470</v>
      </c>
      <c r="AR119" s="3453" t="s">
        <v>3470</v>
      </c>
      <c r="AS119" s="3453">
        <v>3.89</v>
      </c>
      <c r="AT119" s="3453" t="s">
        <v>4112</v>
      </c>
      <c r="AU119" s="3453">
        <v>392700</v>
      </c>
      <c r="AV119" s="3453" t="s">
        <v>3478</v>
      </c>
      <c r="AW119" s="3453" t="s">
        <v>3467</v>
      </c>
      <c r="AX119" s="3453">
        <v>52988</v>
      </c>
      <c r="AY119" s="3453">
        <v>3.89</v>
      </c>
      <c r="AZ119" s="3453" t="s">
        <v>3470</v>
      </c>
    </row>
    <row r="120" spans="1:52" hidden="1">
      <c r="A120" s="3453" t="s">
        <v>4421</v>
      </c>
      <c r="B120" s="3453" t="s">
        <v>3457</v>
      </c>
      <c r="C120" s="3453" t="s">
        <v>4422</v>
      </c>
      <c r="D120" s="3453" t="s">
        <v>3459</v>
      </c>
      <c r="E120" s="3453" t="s">
        <v>3534</v>
      </c>
      <c r="F120" s="3453" t="s">
        <v>3817</v>
      </c>
      <c r="G120" s="3453" t="s">
        <v>3842</v>
      </c>
      <c r="H120" s="3453" t="s">
        <v>3484</v>
      </c>
      <c r="I120" s="3453">
        <v>41608.92</v>
      </c>
      <c r="J120" s="3453">
        <v>110813.27</v>
      </c>
      <c r="K120" s="3453" t="s">
        <v>4423</v>
      </c>
      <c r="L120" s="3453" t="s">
        <v>3464</v>
      </c>
      <c r="M120" s="3453" t="s">
        <v>4424</v>
      </c>
      <c r="N120" s="3453" t="s">
        <v>4195</v>
      </c>
      <c r="O120" s="3453" t="s">
        <v>3467</v>
      </c>
      <c r="P120" s="3453" t="s">
        <v>3470</v>
      </c>
      <c r="Q120" s="3453" t="s">
        <v>4425</v>
      </c>
      <c r="R120" s="3453" t="s">
        <v>4220</v>
      </c>
      <c r="S120" s="3453" t="s">
        <v>4221</v>
      </c>
      <c r="T120" s="3453" t="s">
        <v>3470</v>
      </c>
      <c r="U120" s="3453" t="s">
        <v>3470</v>
      </c>
      <c r="V120" s="3453">
        <v>0</v>
      </c>
      <c r="W120" s="3453">
        <v>0</v>
      </c>
      <c r="X120" s="3453">
        <v>0</v>
      </c>
      <c r="Y120" s="3453">
        <v>0</v>
      </c>
      <c r="Z120" s="3454">
        <v>44286.000497685185</v>
      </c>
      <c r="AA120" s="3454">
        <v>44308.000497685185</v>
      </c>
      <c r="AB120" s="3454">
        <v>44324.000497685185</v>
      </c>
      <c r="AC120" s="3454">
        <v>44327.000497685185</v>
      </c>
      <c r="AD120" s="3453" t="s">
        <v>4426</v>
      </c>
      <c r="AE120" s="3453" t="s">
        <v>3472</v>
      </c>
      <c r="AF120" s="3453" t="s">
        <v>4427</v>
      </c>
      <c r="AG120" s="3453" t="s">
        <v>4428</v>
      </c>
      <c r="AH120" s="3453" t="s">
        <v>3530</v>
      </c>
      <c r="AI120" s="3453">
        <v>616000</v>
      </c>
      <c r="AJ120" s="3453">
        <v>124000</v>
      </c>
      <c r="AK120" s="3453" t="s">
        <v>4202</v>
      </c>
      <c r="AL120" s="3453">
        <v>644000</v>
      </c>
      <c r="AM120" s="3453">
        <v>9869.68</v>
      </c>
      <c r="AN120" s="3453">
        <v>10318.299999999999</v>
      </c>
      <c r="AO120" s="3453">
        <v>55589</v>
      </c>
      <c r="AP120" s="3453">
        <v>58116</v>
      </c>
      <c r="AQ120" s="3453" t="s">
        <v>3470</v>
      </c>
      <c r="AR120" s="3453" t="s">
        <v>3470</v>
      </c>
      <c r="AS120" s="3453">
        <v>4.55</v>
      </c>
      <c r="AT120" s="3453" t="s">
        <v>4112</v>
      </c>
      <c r="AU120" s="3453">
        <v>678000</v>
      </c>
      <c r="AV120" s="3453" t="s">
        <v>3505</v>
      </c>
      <c r="AW120" s="3453" t="s">
        <v>3467</v>
      </c>
      <c r="AX120" s="3453">
        <v>61184</v>
      </c>
      <c r="AY120" s="3453">
        <v>10.06</v>
      </c>
      <c r="AZ120" s="3453" t="s">
        <v>3470</v>
      </c>
    </row>
    <row r="121" spans="1:52" hidden="1">
      <c r="A121" s="3453" t="s">
        <v>4429</v>
      </c>
      <c r="B121" s="3453" t="s">
        <v>3457</v>
      </c>
      <c r="C121" s="3453" t="s">
        <v>4430</v>
      </c>
      <c r="D121" s="3453" t="s">
        <v>3459</v>
      </c>
      <c r="E121" s="3453" t="s">
        <v>3594</v>
      </c>
      <c r="F121" s="3453" t="s">
        <v>3752</v>
      </c>
      <c r="G121" s="3453" t="s">
        <v>4431</v>
      </c>
      <c r="H121" s="3453" t="s">
        <v>3463</v>
      </c>
      <c r="I121" s="3453">
        <v>105143.73</v>
      </c>
      <c r="J121" s="3453">
        <v>262859.32</v>
      </c>
      <c r="K121" s="3453" t="s">
        <v>3760</v>
      </c>
      <c r="L121" s="3453" t="s">
        <v>3464</v>
      </c>
      <c r="M121" s="3453" t="s">
        <v>3465</v>
      </c>
      <c r="N121" s="3453" t="s">
        <v>4062</v>
      </c>
      <c r="O121" s="3453">
        <v>7.61</v>
      </c>
      <c r="P121" s="3453" t="s">
        <v>4432</v>
      </c>
      <c r="Q121" s="3453" t="s">
        <v>3639</v>
      </c>
      <c r="R121" s="3453" t="s">
        <v>4433</v>
      </c>
      <c r="S121" s="3453" t="s">
        <v>4433</v>
      </c>
      <c r="T121" s="3453" t="s">
        <v>3470</v>
      </c>
      <c r="U121" s="3453" t="s">
        <v>3470</v>
      </c>
      <c r="V121" s="3453" t="s">
        <v>3470</v>
      </c>
      <c r="W121" s="3453">
        <v>0</v>
      </c>
      <c r="X121" s="3453">
        <v>0</v>
      </c>
      <c r="Y121" s="3453">
        <v>0</v>
      </c>
      <c r="Z121" s="3454">
        <v>44195.000497685185</v>
      </c>
      <c r="AA121" s="3454">
        <v>44215.000497685185</v>
      </c>
      <c r="AB121" s="3454">
        <v>44229.000497685185</v>
      </c>
      <c r="AC121" s="3454">
        <v>44229.000497685185</v>
      </c>
      <c r="AD121" s="3453" t="s">
        <v>4434</v>
      </c>
      <c r="AE121" s="3453" t="s">
        <v>3472</v>
      </c>
      <c r="AF121" s="3453" t="s">
        <v>4435</v>
      </c>
      <c r="AG121" s="3453" t="s">
        <v>4436</v>
      </c>
      <c r="AH121" s="3453" t="s">
        <v>3747</v>
      </c>
      <c r="AI121" s="3453">
        <v>502000</v>
      </c>
      <c r="AJ121" s="3453">
        <v>101000</v>
      </c>
      <c r="AK121" s="3453" t="s">
        <v>4437</v>
      </c>
      <c r="AL121" s="3453">
        <v>677700</v>
      </c>
      <c r="AM121" s="3453">
        <v>3182.94</v>
      </c>
      <c r="AN121" s="3453">
        <v>4296.9799999999996</v>
      </c>
      <c r="AO121" s="3453">
        <v>19098</v>
      </c>
      <c r="AP121" s="3453">
        <v>25782</v>
      </c>
      <c r="AQ121" s="3453" t="s">
        <v>3470</v>
      </c>
      <c r="AR121" s="3453" t="s">
        <v>3470</v>
      </c>
      <c r="AS121" s="3453">
        <v>35</v>
      </c>
      <c r="AT121" s="3453" t="s">
        <v>4112</v>
      </c>
      <c r="AU121" s="3453" t="s">
        <v>3467</v>
      </c>
      <c r="AV121" s="3453" t="s">
        <v>3470</v>
      </c>
      <c r="AW121" s="3453" t="s">
        <v>3467</v>
      </c>
      <c r="AX121" s="3453" t="s">
        <v>3470</v>
      </c>
      <c r="AY121" s="3453" t="s">
        <v>3470</v>
      </c>
      <c r="AZ121" s="3453" t="s">
        <v>3470</v>
      </c>
    </row>
    <row r="122" spans="1:52" hidden="1">
      <c r="A122" s="3453" t="s">
        <v>4438</v>
      </c>
      <c r="B122" s="3453" t="s">
        <v>3457</v>
      </c>
      <c r="C122" s="3453" t="s">
        <v>4439</v>
      </c>
      <c r="D122" s="3453" t="s">
        <v>3459</v>
      </c>
      <c r="E122" s="3453" t="s">
        <v>3594</v>
      </c>
      <c r="F122" s="3453" t="s">
        <v>3872</v>
      </c>
      <c r="G122" s="3453" t="s">
        <v>4440</v>
      </c>
      <c r="H122" s="3453" t="s">
        <v>3463</v>
      </c>
      <c r="I122" s="3453">
        <v>57208.800000000003</v>
      </c>
      <c r="J122" s="3453">
        <v>91534.080000000002</v>
      </c>
      <c r="K122" s="3453" t="s">
        <v>4253</v>
      </c>
      <c r="L122" s="3453" t="s">
        <v>3464</v>
      </c>
      <c r="M122" s="3453" t="s">
        <v>4441</v>
      </c>
      <c r="N122" s="3453" t="s">
        <v>4062</v>
      </c>
      <c r="O122" s="3453" t="s">
        <v>3467</v>
      </c>
      <c r="P122" s="3453" t="s">
        <v>4207</v>
      </c>
      <c r="Q122" s="3453" t="s">
        <v>4392</v>
      </c>
      <c r="R122" s="3453" t="s">
        <v>4442</v>
      </c>
      <c r="S122" s="3453" t="s">
        <v>3548</v>
      </c>
      <c r="T122" s="3453" t="s">
        <v>3470</v>
      </c>
      <c r="U122" s="3453" t="s">
        <v>3470</v>
      </c>
      <c r="V122" s="3453" t="s">
        <v>3470</v>
      </c>
      <c r="W122" s="3453">
        <v>0</v>
      </c>
      <c r="X122" s="3453">
        <v>0</v>
      </c>
      <c r="Y122" s="3453">
        <v>0</v>
      </c>
      <c r="Z122" s="3454">
        <v>44188.000497685185</v>
      </c>
      <c r="AA122" s="3454">
        <v>44208.000497685185</v>
      </c>
      <c r="AB122" s="3454">
        <v>44222.000497685185</v>
      </c>
      <c r="AC122" s="3454">
        <v>44222.000497685185</v>
      </c>
      <c r="AD122" s="3453" t="s">
        <v>4443</v>
      </c>
      <c r="AE122" s="3453" t="s">
        <v>3472</v>
      </c>
      <c r="AF122" s="3453" t="s">
        <v>4444</v>
      </c>
      <c r="AG122" s="3453" t="s">
        <v>4445</v>
      </c>
      <c r="AH122" s="3453" t="s">
        <v>4446</v>
      </c>
      <c r="AI122" s="3453">
        <v>177000</v>
      </c>
      <c r="AJ122" s="3453">
        <v>36000</v>
      </c>
      <c r="AK122" s="3453" t="s">
        <v>4447</v>
      </c>
      <c r="AL122" s="3453">
        <v>205000</v>
      </c>
      <c r="AM122" s="3453">
        <v>2062.62</v>
      </c>
      <c r="AN122" s="3453">
        <v>2388.91</v>
      </c>
      <c r="AO122" s="3453">
        <v>19337</v>
      </c>
      <c r="AP122" s="3453">
        <v>22396</v>
      </c>
      <c r="AQ122" s="3453" t="s">
        <v>3470</v>
      </c>
      <c r="AR122" s="3453" t="s">
        <v>3470</v>
      </c>
      <c r="AS122" s="3453">
        <v>15.82</v>
      </c>
      <c r="AT122" s="3453" t="s">
        <v>4112</v>
      </c>
      <c r="AU122" s="3453" t="s">
        <v>3467</v>
      </c>
      <c r="AV122" s="3453" t="s">
        <v>3470</v>
      </c>
      <c r="AW122" s="3453" t="s">
        <v>3467</v>
      </c>
      <c r="AX122" s="3453" t="s">
        <v>3470</v>
      </c>
      <c r="AY122" s="3453" t="s">
        <v>3470</v>
      </c>
      <c r="AZ122" s="3453" t="s">
        <v>3470</v>
      </c>
    </row>
    <row r="123" spans="1:52" hidden="1">
      <c r="A123" s="3453" t="s">
        <v>4448</v>
      </c>
      <c r="B123" s="3453" t="s">
        <v>3457</v>
      </c>
      <c r="C123" s="3453" t="s">
        <v>4449</v>
      </c>
      <c r="D123" s="3453" t="s">
        <v>3459</v>
      </c>
      <c r="E123" s="3453" t="s">
        <v>3519</v>
      </c>
      <c r="F123" s="3453" t="s">
        <v>4450</v>
      </c>
      <c r="G123" s="3453" t="s">
        <v>3884</v>
      </c>
      <c r="H123" s="3453" t="s">
        <v>3463</v>
      </c>
      <c r="I123" s="3453">
        <v>56860.73</v>
      </c>
      <c r="J123" s="3453">
        <v>133065.75</v>
      </c>
      <c r="K123" s="3453" t="s">
        <v>4309</v>
      </c>
      <c r="L123" s="3453" t="s">
        <v>3464</v>
      </c>
      <c r="M123" s="3453" t="s">
        <v>3465</v>
      </c>
      <c r="N123" s="3453" t="s">
        <v>4062</v>
      </c>
      <c r="O123" s="3453" t="s">
        <v>3467</v>
      </c>
      <c r="P123" s="3453" t="s">
        <v>3470</v>
      </c>
      <c r="Q123" s="3453" t="s">
        <v>3470</v>
      </c>
      <c r="R123" s="3453" t="s">
        <v>4442</v>
      </c>
      <c r="S123" s="3453" t="s">
        <v>3548</v>
      </c>
      <c r="T123" s="3453" t="s">
        <v>3470</v>
      </c>
      <c r="U123" s="3453" t="s">
        <v>3470</v>
      </c>
      <c r="V123" s="3453" t="s">
        <v>3470</v>
      </c>
      <c r="W123" s="3453">
        <v>0</v>
      </c>
      <c r="X123" s="3453">
        <v>0</v>
      </c>
      <c r="Y123" s="3453">
        <v>0</v>
      </c>
      <c r="Z123" s="3454">
        <v>44188.000497685185</v>
      </c>
      <c r="AA123" s="3454">
        <v>44208.000497685185</v>
      </c>
      <c r="AB123" s="3454">
        <v>44222.000497685185</v>
      </c>
      <c r="AC123" s="3454">
        <v>44222.000497685185</v>
      </c>
      <c r="AD123" s="3453" t="s">
        <v>4451</v>
      </c>
      <c r="AE123" s="3453" t="s">
        <v>3472</v>
      </c>
      <c r="AF123" s="3453" t="s">
        <v>4452</v>
      </c>
      <c r="AG123" s="3453" t="s">
        <v>4453</v>
      </c>
      <c r="AH123" s="3453" t="s">
        <v>3530</v>
      </c>
      <c r="AI123" s="3453">
        <v>420000</v>
      </c>
      <c r="AJ123" s="3453">
        <v>85000</v>
      </c>
      <c r="AK123" s="3453" t="s">
        <v>4447</v>
      </c>
      <c r="AL123" s="3453">
        <v>465700</v>
      </c>
      <c r="AM123" s="3453">
        <v>4924.3100000000004</v>
      </c>
      <c r="AN123" s="3453">
        <v>5460.12</v>
      </c>
      <c r="AO123" s="3453">
        <v>31563</v>
      </c>
      <c r="AP123" s="3453">
        <v>34998</v>
      </c>
      <c r="AQ123" s="3453" t="s">
        <v>3470</v>
      </c>
      <c r="AR123" s="3453" t="s">
        <v>3470</v>
      </c>
      <c r="AS123" s="3453">
        <v>10.88</v>
      </c>
      <c r="AT123" s="3453" t="s">
        <v>4112</v>
      </c>
      <c r="AU123" s="3453" t="s">
        <v>3467</v>
      </c>
      <c r="AV123" s="3453" t="s">
        <v>3470</v>
      </c>
      <c r="AW123" s="3453" t="s">
        <v>3467</v>
      </c>
      <c r="AX123" s="3453" t="s">
        <v>3470</v>
      </c>
      <c r="AY123" s="3453" t="s">
        <v>3470</v>
      </c>
      <c r="AZ123" s="3453" t="s">
        <v>3470</v>
      </c>
    </row>
    <row r="124" spans="1:52" hidden="1">
      <c r="A124" s="3453" t="s">
        <v>4454</v>
      </c>
      <c r="B124" s="3453" t="s">
        <v>3457</v>
      </c>
      <c r="C124" s="3453" t="s">
        <v>4455</v>
      </c>
      <c r="D124" s="3453" t="s">
        <v>3459</v>
      </c>
      <c r="E124" s="3453" t="s">
        <v>3594</v>
      </c>
      <c r="F124" s="3453" t="s">
        <v>3872</v>
      </c>
      <c r="G124" s="3453" t="s">
        <v>4440</v>
      </c>
      <c r="H124" s="3453" t="s">
        <v>3484</v>
      </c>
      <c r="I124" s="3453">
        <v>125102.17</v>
      </c>
      <c r="J124" s="3453">
        <v>219262.23</v>
      </c>
      <c r="K124" s="3453" t="s">
        <v>4456</v>
      </c>
      <c r="L124" s="3453" t="s">
        <v>3464</v>
      </c>
      <c r="M124" s="3453" t="s">
        <v>4457</v>
      </c>
      <c r="N124" s="3453" t="s">
        <v>4062</v>
      </c>
      <c r="O124" s="3453">
        <v>8</v>
      </c>
      <c r="P124" s="3453" t="s">
        <v>4458</v>
      </c>
      <c r="Q124" s="3453" t="s">
        <v>4459</v>
      </c>
      <c r="R124" s="3453" t="s">
        <v>4442</v>
      </c>
      <c r="S124" s="3453" t="s">
        <v>3548</v>
      </c>
      <c r="T124" s="3453" t="s">
        <v>3470</v>
      </c>
      <c r="U124" s="3453" t="s">
        <v>3470</v>
      </c>
      <c r="V124" s="3453" t="s">
        <v>3470</v>
      </c>
      <c r="W124" s="3453">
        <v>0</v>
      </c>
      <c r="X124" s="3453">
        <v>0</v>
      </c>
      <c r="Y124" s="3453">
        <v>0</v>
      </c>
      <c r="Z124" s="3454">
        <v>44188.000497685185</v>
      </c>
      <c r="AA124" s="3454">
        <v>44208.000497685185</v>
      </c>
      <c r="AB124" s="3454">
        <v>44222.000497685185</v>
      </c>
      <c r="AC124" s="3454">
        <v>44222.000497685185</v>
      </c>
      <c r="AD124" s="3453" t="s">
        <v>4460</v>
      </c>
      <c r="AE124" s="3453" t="s">
        <v>3472</v>
      </c>
      <c r="AF124" s="3453" t="s">
        <v>4461</v>
      </c>
      <c r="AG124" s="3453" t="s">
        <v>3504</v>
      </c>
      <c r="AH124" s="3453" t="s">
        <v>3475</v>
      </c>
      <c r="AI124" s="3453">
        <v>404000</v>
      </c>
      <c r="AJ124" s="3453">
        <v>81000</v>
      </c>
      <c r="AK124" s="3453" t="s">
        <v>4447</v>
      </c>
      <c r="AL124" s="3453">
        <v>406100</v>
      </c>
      <c r="AM124" s="3453">
        <v>2152.91</v>
      </c>
      <c r="AN124" s="3453">
        <v>2164.1</v>
      </c>
      <c r="AO124" s="3453">
        <v>18425</v>
      </c>
      <c r="AP124" s="3453">
        <v>18521</v>
      </c>
      <c r="AQ124" s="3453" t="s">
        <v>3470</v>
      </c>
      <c r="AR124" s="3453" t="s">
        <v>3470</v>
      </c>
      <c r="AS124" s="3453">
        <v>0.52</v>
      </c>
      <c r="AT124" s="3453" t="s">
        <v>4112</v>
      </c>
      <c r="AU124" s="3453" t="s">
        <v>3467</v>
      </c>
      <c r="AV124" s="3453" t="s">
        <v>3470</v>
      </c>
      <c r="AW124" s="3453" t="s">
        <v>3467</v>
      </c>
      <c r="AX124" s="3453" t="s">
        <v>3470</v>
      </c>
      <c r="AY124" s="3453" t="s">
        <v>3470</v>
      </c>
      <c r="AZ124" s="3453" t="s">
        <v>3470</v>
      </c>
    </row>
    <row r="125" spans="1:52" hidden="1">
      <c r="A125" s="3453" t="s">
        <v>4462</v>
      </c>
      <c r="B125" s="3453" t="s">
        <v>3457</v>
      </c>
      <c r="C125" s="3453" t="s">
        <v>4463</v>
      </c>
      <c r="D125" s="3453" t="s">
        <v>3459</v>
      </c>
      <c r="E125" s="3453" t="s">
        <v>3497</v>
      </c>
      <c r="F125" s="3453" t="s">
        <v>3646</v>
      </c>
      <c r="G125" s="3453" t="s">
        <v>3610</v>
      </c>
      <c r="H125" s="3453" t="s">
        <v>3484</v>
      </c>
      <c r="I125" s="3453">
        <v>63474.94</v>
      </c>
      <c r="J125" s="3453">
        <v>97252.05</v>
      </c>
      <c r="K125" s="3453" t="s">
        <v>4464</v>
      </c>
      <c r="L125" s="3453" t="s">
        <v>3464</v>
      </c>
      <c r="M125" s="3453" t="s">
        <v>4465</v>
      </c>
      <c r="N125" s="3453" t="s">
        <v>4062</v>
      </c>
      <c r="O125" s="3453">
        <v>15.76</v>
      </c>
      <c r="P125" s="3453" t="s">
        <v>4466</v>
      </c>
      <c r="Q125" s="3453" t="s">
        <v>4467</v>
      </c>
      <c r="R125" s="3453" t="s">
        <v>4442</v>
      </c>
      <c r="S125" s="3453" t="s">
        <v>3548</v>
      </c>
      <c r="T125" s="3453" t="s">
        <v>3470</v>
      </c>
      <c r="U125" s="3453" t="s">
        <v>3470</v>
      </c>
      <c r="V125" s="3453">
        <v>0</v>
      </c>
      <c r="W125" s="3453">
        <v>0</v>
      </c>
      <c r="X125" s="3453">
        <v>0</v>
      </c>
      <c r="Y125" s="3453">
        <v>0</v>
      </c>
      <c r="Z125" s="3454">
        <v>44174.000497685185</v>
      </c>
      <c r="AA125" s="3454">
        <v>44194.000497685185</v>
      </c>
      <c r="AB125" s="3454">
        <v>44209.000497685185</v>
      </c>
      <c r="AC125" s="3454">
        <v>44209.000497685185</v>
      </c>
      <c r="AD125" s="3453" t="s">
        <v>4468</v>
      </c>
      <c r="AE125" s="3453" t="s">
        <v>3472</v>
      </c>
      <c r="AF125" s="3453" t="s">
        <v>4469</v>
      </c>
      <c r="AG125" s="3453" t="s">
        <v>4047</v>
      </c>
      <c r="AH125" s="3453" t="s">
        <v>3867</v>
      </c>
      <c r="AI125" s="3453">
        <v>167300</v>
      </c>
      <c r="AJ125" s="3453">
        <v>33500</v>
      </c>
      <c r="AK125" s="3453" t="s">
        <v>4470</v>
      </c>
      <c r="AL125" s="3453">
        <v>182800</v>
      </c>
      <c r="AM125" s="3453">
        <v>1757.12</v>
      </c>
      <c r="AN125" s="3453">
        <v>1919.92</v>
      </c>
      <c r="AO125" s="3453">
        <v>17203</v>
      </c>
      <c r="AP125" s="3453">
        <v>18797</v>
      </c>
      <c r="AQ125" s="3453" t="s">
        <v>3470</v>
      </c>
      <c r="AR125" s="3453" t="s">
        <v>3470</v>
      </c>
      <c r="AS125" s="3453">
        <v>9.26</v>
      </c>
      <c r="AT125" s="3453" t="s">
        <v>4112</v>
      </c>
      <c r="AU125" s="3453" t="s">
        <v>3467</v>
      </c>
      <c r="AV125" s="3453" t="s">
        <v>3470</v>
      </c>
      <c r="AW125" s="3453" t="s">
        <v>3467</v>
      </c>
      <c r="AX125" s="3453" t="s">
        <v>3470</v>
      </c>
      <c r="AY125" s="3453" t="s">
        <v>3470</v>
      </c>
      <c r="AZ125" s="3453" t="s">
        <v>3470</v>
      </c>
    </row>
    <row r="126" spans="1:52" hidden="1">
      <c r="A126" s="3453" t="s">
        <v>4471</v>
      </c>
      <c r="B126" s="3453" t="s">
        <v>3457</v>
      </c>
      <c r="C126" s="3453" t="s">
        <v>4472</v>
      </c>
      <c r="D126" s="3453" t="s">
        <v>3459</v>
      </c>
      <c r="E126" s="3453" t="s">
        <v>3534</v>
      </c>
      <c r="F126" s="3453" t="s">
        <v>3662</v>
      </c>
      <c r="G126" s="3453" t="s">
        <v>3986</v>
      </c>
      <c r="H126" s="3453" t="s">
        <v>3484</v>
      </c>
      <c r="I126" s="3453">
        <v>101127.8</v>
      </c>
      <c r="J126" s="3453">
        <v>155908</v>
      </c>
      <c r="K126" s="3453" t="s">
        <v>4473</v>
      </c>
      <c r="L126" s="3453" t="s">
        <v>3464</v>
      </c>
      <c r="M126" s="3453" t="s">
        <v>4474</v>
      </c>
      <c r="N126" s="3453" t="s">
        <v>4062</v>
      </c>
      <c r="O126" s="3453">
        <v>53.18</v>
      </c>
      <c r="P126" s="3453" t="s">
        <v>3470</v>
      </c>
      <c r="Q126" s="3453" t="s">
        <v>4475</v>
      </c>
      <c r="R126" s="3453" t="s">
        <v>4442</v>
      </c>
      <c r="S126" s="3453" t="s">
        <v>3548</v>
      </c>
      <c r="T126" s="3453" t="s">
        <v>3470</v>
      </c>
      <c r="U126" s="3453" t="s">
        <v>3470</v>
      </c>
      <c r="V126" s="3453">
        <v>0</v>
      </c>
      <c r="W126" s="3453">
        <v>0</v>
      </c>
      <c r="X126" s="3453">
        <v>0</v>
      </c>
      <c r="Y126" s="3453">
        <v>0</v>
      </c>
      <c r="Z126" s="3454">
        <v>44161.000497685185</v>
      </c>
      <c r="AA126" s="3454">
        <v>44181.000497685185</v>
      </c>
      <c r="AB126" s="3454">
        <v>44195.000497685185</v>
      </c>
      <c r="AC126" s="3454">
        <v>44195.000497685185</v>
      </c>
      <c r="AD126" s="3453" t="s">
        <v>4476</v>
      </c>
      <c r="AE126" s="3453" t="s">
        <v>3472</v>
      </c>
      <c r="AF126" s="3453" t="s">
        <v>4477</v>
      </c>
      <c r="AG126" s="3453" t="s">
        <v>4478</v>
      </c>
      <c r="AH126" s="3453" t="s">
        <v>3867</v>
      </c>
      <c r="AI126" s="3453">
        <v>555600</v>
      </c>
      <c r="AJ126" s="3453">
        <v>111200</v>
      </c>
      <c r="AK126" s="3453" t="s">
        <v>4479</v>
      </c>
      <c r="AL126" s="3453">
        <v>555600</v>
      </c>
      <c r="AM126" s="3453">
        <v>3662.69</v>
      </c>
      <c r="AN126" s="3453">
        <v>3662.69</v>
      </c>
      <c r="AO126" s="3453">
        <v>35636</v>
      </c>
      <c r="AP126" s="3453">
        <v>35636</v>
      </c>
      <c r="AQ126" s="3453" t="s">
        <v>3470</v>
      </c>
      <c r="AR126" s="3453" t="s">
        <v>3470</v>
      </c>
      <c r="AS126" s="3453">
        <v>0</v>
      </c>
      <c r="AT126" s="3453" t="s">
        <v>4112</v>
      </c>
      <c r="AU126" s="3453" t="s">
        <v>3467</v>
      </c>
      <c r="AV126" s="3453" t="s">
        <v>3470</v>
      </c>
      <c r="AW126" s="3453" t="s">
        <v>3467</v>
      </c>
      <c r="AX126" s="3453" t="s">
        <v>3470</v>
      </c>
      <c r="AY126" s="3453" t="s">
        <v>3470</v>
      </c>
      <c r="AZ126" s="3453" t="s">
        <v>3470</v>
      </c>
    </row>
    <row r="127" spans="1:52" hidden="1">
      <c r="A127" s="3453" t="s">
        <v>4480</v>
      </c>
      <c r="B127" s="3453" t="s">
        <v>3457</v>
      </c>
      <c r="C127" s="3453" t="s">
        <v>4481</v>
      </c>
      <c r="D127" s="3453" t="s">
        <v>3459</v>
      </c>
      <c r="E127" s="3453" t="s">
        <v>3519</v>
      </c>
      <c r="F127" s="3453" t="s">
        <v>4482</v>
      </c>
      <c r="G127" s="3453" t="s">
        <v>4483</v>
      </c>
      <c r="H127" s="3453" t="s">
        <v>3484</v>
      </c>
      <c r="I127" s="3453">
        <v>43870.1</v>
      </c>
      <c r="J127" s="3453">
        <v>109675.25</v>
      </c>
      <c r="K127" s="3453" t="s">
        <v>3760</v>
      </c>
      <c r="L127" s="3453" t="s">
        <v>3464</v>
      </c>
      <c r="M127" s="3453" t="s">
        <v>4484</v>
      </c>
      <c r="N127" s="3453" t="s">
        <v>4062</v>
      </c>
      <c r="O127" s="3453" t="s">
        <v>3467</v>
      </c>
      <c r="P127" s="3453" t="s">
        <v>3470</v>
      </c>
      <c r="Q127" s="3453" t="s">
        <v>3639</v>
      </c>
      <c r="R127" s="3453" t="s">
        <v>3470</v>
      </c>
      <c r="S127" s="3453" t="s">
        <v>3470</v>
      </c>
      <c r="T127" s="3453" t="s">
        <v>4238</v>
      </c>
      <c r="U127" s="3453" t="s">
        <v>4239</v>
      </c>
      <c r="V127" s="3453">
        <v>0</v>
      </c>
      <c r="W127" s="3453">
        <v>0</v>
      </c>
      <c r="X127" s="3453">
        <v>0</v>
      </c>
      <c r="Y127" s="3453">
        <v>0</v>
      </c>
      <c r="Z127" s="3454">
        <v>44151.000497685185</v>
      </c>
      <c r="AA127" s="3454">
        <v>44172.000497685185</v>
      </c>
      <c r="AB127" s="3454">
        <v>44187.000497685185</v>
      </c>
      <c r="AC127" s="3454">
        <v>44187.000497685185</v>
      </c>
      <c r="AD127" s="3453" t="s">
        <v>4485</v>
      </c>
      <c r="AE127" s="3453" t="s">
        <v>3472</v>
      </c>
      <c r="AF127" s="3453" t="s">
        <v>4486</v>
      </c>
      <c r="AG127" s="3453" t="s">
        <v>4487</v>
      </c>
      <c r="AH127" s="3453" t="s">
        <v>3530</v>
      </c>
      <c r="AI127" s="3453">
        <v>148061.57999999999</v>
      </c>
      <c r="AJ127" s="3453">
        <v>45000</v>
      </c>
      <c r="AK127" s="3453" t="s">
        <v>4488</v>
      </c>
      <c r="AL127" s="3453">
        <v>148061.57999999999</v>
      </c>
      <c r="AM127" s="3453">
        <v>2250</v>
      </c>
      <c r="AN127" s="3453">
        <v>2250</v>
      </c>
      <c r="AO127" s="3453">
        <v>13500</v>
      </c>
      <c r="AP127" s="3453">
        <v>13500</v>
      </c>
      <c r="AQ127" s="3453" t="s">
        <v>3470</v>
      </c>
      <c r="AR127" s="3453" t="s">
        <v>3470</v>
      </c>
      <c r="AS127" s="3453">
        <v>0</v>
      </c>
      <c r="AT127" s="3453" t="s">
        <v>4489</v>
      </c>
      <c r="AU127" s="3453" t="s">
        <v>3467</v>
      </c>
      <c r="AV127" s="3453" t="s">
        <v>3470</v>
      </c>
      <c r="AW127" s="3453" t="s">
        <v>3467</v>
      </c>
      <c r="AX127" s="3453" t="s">
        <v>3470</v>
      </c>
      <c r="AY127" s="3453" t="s">
        <v>3470</v>
      </c>
      <c r="AZ127" s="3453" t="s">
        <v>3470</v>
      </c>
    </row>
    <row r="128" spans="1:52" hidden="1">
      <c r="A128" s="3453" t="s">
        <v>4490</v>
      </c>
      <c r="B128" s="3453" t="s">
        <v>3457</v>
      </c>
      <c r="C128" s="3453" t="s">
        <v>4491</v>
      </c>
      <c r="D128" s="3453" t="s">
        <v>3459</v>
      </c>
      <c r="E128" s="3453" t="s">
        <v>3534</v>
      </c>
      <c r="F128" s="3453" t="s">
        <v>3535</v>
      </c>
      <c r="G128" s="3453" t="s">
        <v>4492</v>
      </c>
      <c r="H128" s="3453" t="s">
        <v>3463</v>
      </c>
      <c r="I128" s="3453">
        <v>13681.37</v>
      </c>
      <c r="J128" s="3453">
        <v>38307.82</v>
      </c>
      <c r="K128" s="3453" t="s">
        <v>3796</v>
      </c>
      <c r="L128" s="3453" t="s">
        <v>3464</v>
      </c>
      <c r="M128" s="3453" t="s">
        <v>4441</v>
      </c>
      <c r="N128" s="3453" t="s">
        <v>4062</v>
      </c>
      <c r="O128" s="3453" t="s">
        <v>3467</v>
      </c>
      <c r="P128" s="3453" t="s">
        <v>3470</v>
      </c>
      <c r="Q128" s="3453" t="s">
        <v>4493</v>
      </c>
      <c r="R128" s="3453" t="s">
        <v>4442</v>
      </c>
      <c r="S128" s="3453" t="s">
        <v>3548</v>
      </c>
      <c r="T128" s="3453" t="s">
        <v>3470</v>
      </c>
      <c r="U128" s="3453" t="s">
        <v>3470</v>
      </c>
      <c r="V128" s="3453">
        <v>0</v>
      </c>
      <c r="W128" s="3453">
        <v>0</v>
      </c>
      <c r="X128" s="3453">
        <v>0</v>
      </c>
      <c r="Y128" s="3453">
        <v>0</v>
      </c>
      <c r="Z128" s="3454">
        <v>44145.000497685185</v>
      </c>
      <c r="AA128" s="3454">
        <v>44195.000497685185</v>
      </c>
      <c r="AB128" s="3454">
        <v>44210.000497685185</v>
      </c>
      <c r="AC128" s="3454">
        <v>44210.000497685185</v>
      </c>
      <c r="AD128" s="3453" t="s">
        <v>4494</v>
      </c>
      <c r="AE128" s="3453" t="s">
        <v>3472</v>
      </c>
      <c r="AF128" s="3453" t="s">
        <v>4495</v>
      </c>
      <c r="AG128" s="3453" t="s">
        <v>3551</v>
      </c>
      <c r="AH128" s="3453" t="s">
        <v>3475</v>
      </c>
      <c r="AI128" s="3453">
        <v>173500</v>
      </c>
      <c r="AJ128" s="3453">
        <v>35000</v>
      </c>
      <c r="AK128" s="3453" t="s">
        <v>4496</v>
      </c>
      <c r="AL128" s="3453">
        <v>179000</v>
      </c>
      <c r="AM128" s="3453">
        <v>8454.32</v>
      </c>
      <c r="AN128" s="3453">
        <v>8722.32</v>
      </c>
      <c r="AO128" s="3453">
        <v>45291</v>
      </c>
      <c r="AP128" s="3453">
        <v>46727</v>
      </c>
      <c r="AQ128" s="3453" t="s">
        <v>3470</v>
      </c>
      <c r="AR128" s="3453" t="s">
        <v>3470</v>
      </c>
      <c r="AS128" s="3453">
        <v>3.17</v>
      </c>
      <c r="AT128" s="3453" t="s">
        <v>4112</v>
      </c>
      <c r="AU128" s="3453" t="s">
        <v>3467</v>
      </c>
      <c r="AV128" s="3453" t="s">
        <v>3470</v>
      </c>
      <c r="AW128" s="3453" t="s">
        <v>3467</v>
      </c>
      <c r="AX128" s="3453" t="s">
        <v>3470</v>
      </c>
      <c r="AY128" s="3453" t="s">
        <v>3470</v>
      </c>
      <c r="AZ128" s="3453" t="s">
        <v>3470</v>
      </c>
    </row>
    <row r="129" spans="1:52" hidden="1">
      <c r="A129" s="3453" t="s">
        <v>4497</v>
      </c>
      <c r="B129" s="3453" t="s">
        <v>3457</v>
      </c>
      <c r="C129" s="3453" t="s">
        <v>4498</v>
      </c>
      <c r="D129" s="3453" t="s">
        <v>3459</v>
      </c>
      <c r="E129" s="3453" t="s">
        <v>3460</v>
      </c>
      <c r="F129" s="3453" t="s">
        <v>3565</v>
      </c>
      <c r="G129" s="3453" t="s">
        <v>4327</v>
      </c>
      <c r="H129" s="3453" t="s">
        <v>3463</v>
      </c>
      <c r="I129" s="3453">
        <v>26609.75</v>
      </c>
      <c r="J129" s="3453">
        <v>74507</v>
      </c>
      <c r="K129" s="3453" t="s">
        <v>3796</v>
      </c>
      <c r="L129" s="3453" t="s">
        <v>3464</v>
      </c>
      <c r="M129" s="3453" t="s">
        <v>3465</v>
      </c>
      <c r="N129" s="3453" t="s">
        <v>4062</v>
      </c>
      <c r="O129" s="3453" t="s">
        <v>3467</v>
      </c>
      <c r="P129" s="3453" t="s">
        <v>3470</v>
      </c>
      <c r="Q129" s="3453" t="s">
        <v>4493</v>
      </c>
      <c r="R129" s="3453" t="s">
        <v>4499</v>
      </c>
      <c r="S129" s="3453" t="s">
        <v>4500</v>
      </c>
      <c r="T129" s="3453" t="s">
        <v>3470</v>
      </c>
      <c r="U129" s="3453" t="s">
        <v>3470</v>
      </c>
      <c r="V129" s="3453" t="s">
        <v>3470</v>
      </c>
      <c r="W129" s="3453">
        <v>0</v>
      </c>
      <c r="X129" s="3453">
        <v>0</v>
      </c>
      <c r="Y129" s="3453">
        <v>0</v>
      </c>
      <c r="Z129" s="3454">
        <v>44145.000497685185</v>
      </c>
      <c r="AA129" s="3454">
        <v>44165.000497685185</v>
      </c>
      <c r="AB129" s="3454">
        <v>44179.000497685185</v>
      </c>
      <c r="AC129" s="3454">
        <v>44179.000497685185</v>
      </c>
      <c r="AD129" s="3453" t="s">
        <v>4501</v>
      </c>
      <c r="AE129" s="3453" t="s">
        <v>3472</v>
      </c>
      <c r="AF129" s="3453" t="s">
        <v>4502</v>
      </c>
      <c r="AG129" s="3453" t="s">
        <v>4503</v>
      </c>
      <c r="AH129" s="3453" t="s">
        <v>4504</v>
      </c>
      <c r="AI129" s="3453">
        <v>338400</v>
      </c>
      <c r="AJ129" s="3453">
        <v>68000</v>
      </c>
      <c r="AK129" s="3453" t="s">
        <v>4505</v>
      </c>
      <c r="AL129" s="3453">
        <v>350244</v>
      </c>
      <c r="AM129" s="3453">
        <v>8478.1</v>
      </c>
      <c r="AN129" s="3453">
        <v>8774.83</v>
      </c>
      <c r="AO129" s="3453">
        <v>45419</v>
      </c>
      <c r="AP129" s="3453">
        <v>47008</v>
      </c>
      <c r="AQ129" s="3453" t="s">
        <v>3470</v>
      </c>
      <c r="AR129" s="3453" t="s">
        <v>3470</v>
      </c>
      <c r="AS129" s="3453">
        <v>3.5</v>
      </c>
      <c r="AT129" s="3453" t="s">
        <v>4112</v>
      </c>
      <c r="AU129" s="3453" t="s">
        <v>3467</v>
      </c>
      <c r="AV129" s="3453" t="s">
        <v>3470</v>
      </c>
      <c r="AW129" s="3453">
        <v>71000</v>
      </c>
      <c r="AX129" s="3453" t="s">
        <v>3470</v>
      </c>
      <c r="AY129" s="3453" t="s">
        <v>3470</v>
      </c>
      <c r="AZ129" s="3453">
        <v>25581</v>
      </c>
    </row>
    <row r="130" spans="1:52" hidden="1">
      <c r="A130" s="3453" t="s">
        <v>4506</v>
      </c>
      <c r="B130" s="3453" t="s">
        <v>3457</v>
      </c>
      <c r="C130" s="3453" t="s">
        <v>4507</v>
      </c>
      <c r="D130" s="3453" t="s">
        <v>3459</v>
      </c>
      <c r="E130" s="3453" t="s">
        <v>3973</v>
      </c>
      <c r="F130" s="3453" t="s">
        <v>4508</v>
      </c>
      <c r="G130" s="3453" t="s">
        <v>4509</v>
      </c>
      <c r="H130" s="3453" t="s">
        <v>3484</v>
      </c>
      <c r="I130" s="3453">
        <v>212724.14</v>
      </c>
      <c r="J130" s="3453">
        <v>519225</v>
      </c>
      <c r="K130" s="3453" t="s">
        <v>4510</v>
      </c>
      <c r="L130" s="3453" t="s">
        <v>3464</v>
      </c>
      <c r="M130" s="3453" t="s">
        <v>4511</v>
      </c>
      <c r="N130" s="3453" t="s">
        <v>4062</v>
      </c>
      <c r="O130" s="3453">
        <v>61.09</v>
      </c>
      <c r="P130" s="3453" t="s">
        <v>4512</v>
      </c>
      <c r="Q130" s="3453" t="s">
        <v>4513</v>
      </c>
      <c r="R130" s="3453" t="s">
        <v>4442</v>
      </c>
      <c r="S130" s="3453" t="s">
        <v>3548</v>
      </c>
      <c r="T130" s="3453" t="s">
        <v>3470</v>
      </c>
      <c r="U130" s="3453" t="s">
        <v>3470</v>
      </c>
      <c r="V130" s="3453">
        <v>0</v>
      </c>
      <c r="W130" s="3453">
        <v>0</v>
      </c>
      <c r="X130" s="3453">
        <v>0</v>
      </c>
      <c r="Y130" s="3453">
        <v>0</v>
      </c>
      <c r="Z130" s="3454">
        <v>44133.000497685185</v>
      </c>
      <c r="AA130" s="3454">
        <v>44153.000497685185</v>
      </c>
      <c r="AB130" s="3454">
        <v>44167.000497685185</v>
      </c>
      <c r="AC130" s="3454">
        <v>44167.000497685185</v>
      </c>
      <c r="AD130" s="3453" t="s">
        <v>4514</v>
      </c>
      <c r="AE130" s="3453" t="s">
        <v>3472</v>
      </c>
      <c r="AF130" s="3453" t="s">
        <v>3652</v>
      </c>
      <c r="AG130" s="3453" t="s">
        <v>3653</v>
      </c>
      <c r="AH130" s="3453" t="s">
        <v>3493</v>
      </c>
      <c r="AI130" s="3453">
        <v>449900</v>
      </c>
      <c r="AJ130" s="3453">
        <v>90000</v>
      </c>
      <c r="AK130" s="3453" t="s">
        <v>4515</v>
      </c>
      <c r="AL130" s="3453">
        <v>449900</v>
      </c>
      <c r="AM130" s="3453">
        <v>1409.96</v>
      </c>
      <c r="AN130" s="3453">
        <v>1409.96</v>
      </c>
      <c r="AO130" s="3453">
        <v>8665</v>
      </c>
      <c r="AP130" s="3453">
        <v>8665</v>
      </c>
      <c r="AQ130" s="3453" t="s">
        <v>3470</v>
      </c>
      <c r="AR130" s="3453" t="s">
        <v>3470</v>
      </c>
      <c r="AS130" s="3453">
        <v>0</v>
      </c>
      <c r="AT130" s="3453" t="s">
        <v>4112</v>
      </c>
      <c r="AU130" s="3453" t="s">
        <v>3467</v>
      </c>
      <c r="AV130" s="3453" t="s">
        <v>3470</v>
      </c>
      <c r="AW130" s="3453" t="s">
        <v>3467</v>
      </c>
      <c r="AX130" s="3453" t="s">
        <v>3470</v>
      </c>
      <c r="AY130" s="3453" t="s">
        <v>3470</v>
      </c>
      <c r="AZ130" s="3453" t="s">
        <v>3470</v>
      </c>
    </row>
    <row r="131" spans="1:52" hidden="1">
      <c r="A131" s="3453" t="s">
        <v>4516</v>
      </c>
      <c r="B131" s="3453" t="s">
        <v>3457</v>
      </c>
      <c r="C131" s="3453" t="s">
        <v>4517</v>
      </c>
      <c r="D131" s="3453" t="s">
        <v>3459</v>
      </c>
      <c r="E131" s="3453" t="s">
        <v>3481</v>
      </c>
      <c r="F131" s="3453" t="s">
        <v>3482</v>
      </c>
      <c r="G131" s="3453" t="s">
        <v>3920</v>
      </c>
      <c r="H131" s="3453" t="s">
        <v>3484</v>
      </c>
      <c r="I131" s="3453">
        <v>37445.06</v>
      </c>
      <c r="J131" s="3453">
        <v>142000</v>
      </c>
      <c r="K131" s="3453" t="s">
        <v>4518</v>
      </c>
      <c r="L131" s="3453" t="s">
        <v>3464</v>
      </c>
      <c r="M131" s="3453" t="s">
        <v>3700</v>
      </c>
      <c r="N131" s="3453" t="s">
        <v>4062</v>
      </c>
      <c r="O131" s="3453">
        <v>70</v>
      </c>
      <c r="P131" s="3453" t="s">
        <v>3470</v>
      </c>
      <c r="Q131" s="3453" t="s">
        <v>4125</v>
      </c>
      <c r="R131" s="3453" t="s">
        <v>4519</v>
      </c>
      <c r="S131" s="3453" t="s">
        <v>4221</v>
      </c>
      <c r="T131" s="3453" t="s">
        <v>3470</v>
      </c>
      <c r="U131" s="3453" t="s">
        <v>3470</v>
      </c>
      <c r="V131" s="3453">
        <v>0</v>
      </c>
      <c r="W131" s="3453">
        <v>0</v>
      </c>
      <c r="X131" s="3453">
        <v>0</v>
      </c>
      <c r="Y131" s="3453">
        <v>0</v>
      </c>
      <c r="Z131" s="3454">
        <v>44123.000497685185</v>
      </c>
      <c r="AA131" s="3454">
        <v>44153.000497685185</v>
      </c>
      <c r="AB131" s="3454">
        <v>44167.000497685185</v>
      </c>
      <c r="AC131" s="3454">
        <v>44167.000497685185</v>
      </c>
      <c r="AD131" s="3453" t="s">
        <v>4520</v>
      </c>
      <c r="AE131" s="3453" t="s">
        <v>3472</v>
      </c>
      <c r="AF131" s="3453" t="s">
        <v>4521</v>
      </c>
      <c r="AG131" s="3453" t="s">
        <v>4522</v>
      </c>
      <c r="AH131" s="3453" t="s">
        <v>3530</v>
      </c>
      <c r="AI131" s="3453">
        <v>300500</v>
      </c>
      <c r="AJ131" s="3453">
        <v>60100</v>
      </c>
      <c r="AK131" s="3453" t="s">
        <v>4515</v>
      </c>
      <c r="AL131" s="3453">
        <v>300500</v>
      </c>
      <c r="AM131" s="3453">
        <v>5350.06</v>
      </c>
      <c r="AN131" s="3453">
        <v>5350.06</v>
      </c>
      <c r="AO131" s="3453">
        <v>21162</v>
      </c>
      <c r="AP131" s="3453">
        <v>21162</v>
      </c>
      <c r="AQ131" s="3453" t="s">
        <v>3470</v>
      </c>
      <c r="AR131" s="3453" t="s">
        <v>3470</v>
      </c>
      <c r="AS131" s="3453">
        <v>0</v>
      </c>
      <c r="AT131" s="3453" t="s">
        <v>4112</v>
      </c>
      <c r="AU131" s="3453" t="s">
        <v>3467</v>
      </c>
      <c r="AV131" s="3453" t="s">
        <v>3470</v>
      </c>
      <c r="AW131" s="3453">
        <v>57500</v>
      </c>
      <c r="AX131" s="3453" t="s">
        <v>3470</v>
      </c>
      <c r="AY131" s="3453" t="s">
        <v>3470</v>
      </c>
      <c r="AZ131" s="3453">
        <v>36338</v>
      </c>
    </row>
    <row r="132" spans="1:52" hidden="1">
      <c r="A132" s="3453" t="s">
        <v>4523</v>
      </c>
      <c r="B132" s="3453" t="s">
        <v>3457</v>
      </c>
      <c r="C132" s="3453" t="s">
        <v>4524</v>
      </c>
      <c r="D132" s="3453" t="s">
        <v>3459</v>
      </c>
      <c r="E132" s="3453" t="s">
        <v>3802</v>
      </c>
      <c r="F132" s="3453" t="s">
        <v>4525</v>
      </c>
      <c r="G132" s="3453" t="s">
        <v>4526</v>
      </c>
      <c r="H132" s="3453" t="s">
        <v>3463</v>
      </c>
      <c r="I132" s="3453">
        <v>36460.699999999997</v>
      </c>
      <c r="J132" s="3453">
        <v>85682.64</v>
      </c>
      <c r="K132" s="3453" t="s">
        <v>4527</v>
      </c>
      <c r="L132" s="3453" t="s">
        <v>3464</v>
      </c>
      <c r="M132" s="3453" t="s">
        <v>3465</v>
      </c>
      <c r="N132" s="3453" t="s">
        <v>4062</v>
      </c>
      <c r="O132" s="3453" t="s">
        <v>3467</v>
      </c>
      <c r="P132" s="3453" t="s">
        <v>4207</v>
      </c>
      <c r="Q132" s="3453" t="s">
        <v>4528</v>
      </c>
      <c r="R132" s="3453" t="s">
        <v>4442</v>
      </c>
      <c r="S132" s="3453" t="s">
        <v>3548</v>
      </c>
      <c r="T132" s="3453" t="s">
        <v>3470</v>
      </c>
      <c r="U132" s="3453" t="s">
        <v>3470</v>
      </c>
      <c r="V132" s="3453">
        <v>0</v>
      </c>
      <c r="W132" s="3453">
        <v>0</v>
      </c>
      <c r="X132" s="3453">
        <v>0</v>
      </c>
      <c r="Y132" s="3453">
        <v>0</v>
      </c>
      <c r="Z132" s="3454">
        <v>44041.000497685185</v>
      </c>
      <c r="AA132" s="3454">
        <v>44062.000497685185</v>
      </c>
      <c r="AB132" s="3454">
        <v>44076.000497685185</v>
      </c>
      <c r="AC132" s="3454">
        <v>44076.000497685185</v>
      </c>
      <c r="AD132" s="3453" t="s">
        <v>4529</v>
      </c>
      <c r="AE132" s="3453" t="s">
        <v>3472</v>
      </c>
      <c r="AF132" s="3453" t="s">
        <v>4164</v>
      </c>
      <c r="AG132" s="3453" t="s">
        <v>3571</v>
      </c>
      <c r="AH132" s="3453" t="s">
        <v>3493</v>
      </c>
      <c r="AI132" s="3453">
        <v>132800</v>
      </c>
      <c r="AJ132" s="3453">
        <v>26600</v>
      </c>
      <c r="AK132" s="3453" t="s">
        <v>4530</v>
      </c>
      <c r="AL132" s="3453">
        <v>132800</v>
      </c>
      <c r="AM132" s="3453">
        <v>2428.19</v>
      </c>
      <c r="AN132" s="3453">
        <v>2428.19</v>
      </c>
      <c r="AO132" s="3453">
        <v>15499</v>
      </c>
      <c r="AP132" s="3453">
        <v>15499</v>
      </c>
      <c r="AQ132" s="3453" t="s">
        <v>3470</v>
      </c>
      <c r="AR132" s="3453" t="s">
        <v>3470</v>
      </c>
      <c r="AS132" s="3453">
        <v>0</v>
      </c>
      <c r="AT132" s="3453" t="s">
        <v>4112</v>
      </c>
      <c r="AU132" s="3453" t="s">
        <v>3467</v>
      </c>
      <c r="AV132" s="3453" t="s">
        <v>3470</v>
      </c>
      <c r="AW132" s="3453" t="s">
        <v>3467</v>
      </c>
      <c r="AX132" s="3453" t="s">
        <v>3470</v>
      </c>
      <c r="AY132" s="3453" t="s">
        <v>3470</v>
      </c>
      <c r="AZ132" s="3453" t="s">
        <v>3470</v>
      </c>
    </row>
    <row r="133" spans="1:52" hidden="1">
      <c r="A133" s="3453" t="s">
        <v>4531</v>
      </c>
      <c r="B133" s="3453" t="s">
        <v>3457</v>
      </c>
      <c r="C133" s="3453" t="s">
        <v>4532</v>
      </c>
      <c r="D133" s="3453" t="s">
        <v>3459</v>
      </c>
      <c r="E133" s="3453" t="s">
        <v>3534</v>
      </c>
      <c r="F133" s="3453" t="s">
        <v>3535</v>
      </c>
      <c r="G133" s="3453" t="s">
        <v>4492</v>
      </c>
      <c r="H133" s="3453" t="s">
        <v>3484</v>
      </c>
      <c r="I133" s="3453">
        <v>73884.72</v>
      </c>
      <c r="J133" s="3453">
        <v>267169.69</v>
      </c>
      <c r="K133" s="3453" t="s">
        <v>4533</v>
      </c>
      <c r="L133" s="3453" t="s">
        <v>3464</v>
      </c>
      <c r="M133" s="3453" t="s">
        <v>4534</v>
      </c>
      <c r="N133" s="3453" t="s">
        <v>4062</v>
      </c>
      <c r="O133" s="3453">
        <v>57.9</v>
      </c>
      <c r="P133" s="3453" t="s">
        <v>3470</v>
      </c>
      <c r="Q133" s="3453" t="s">
        <v>4535</v>
      </c>
      <c r="R133" s="3453" t="s">
        <v>4442</v>
      </c>
      <c r="S133" s="3453" t="s">
        <v>3548</v>
      </c>
      <c r="T133" s="3453" t="s">
        <v>3470</v>
      </c>
      <c r="U133" s="3453" t="s">
        <v>3470</v>
      </c>
      <c r="V133" s="3453">
        <v>0</v>
      </c>
      <c r="W133" s="3453">
        <v>0</v>
      </c>
      <c r="X133" s="3453">
        <v>0</v>
      </c>
      <c r="Y133" s="3453">
        <v>0</v>
      </c>
      <c r="Z133" s="3454">
        <v>44041.000497685185</v>
      </c>
      <c r="AA133" s="3454">
        <v>44062.000497685185</v>
      </c>
      <c r="AB133" s="3454">
        <v>44076.000497685185</v>
      </c>
      <c r="AC133" s="3454">
        <v>44076.000497685185</v>
      </c>
      <c r="AD133" s="3453" t="s">
        <v>4536</v>
      </c>
      <c r="AE133" s="3453" t="s">
        <v>3472</v>
      </c>
      <c r="AF133" s="3453" t="s">
        <v>4495</v>
      </c>
      <c r="AG133" s="3453" t="s">
        <v>3551</v>
      </c>
      <c r="AH133" s="3453" t="s">
        <v>3475</v>
      </c>
      <c r="AI133" s="3453">
        <v>697800</v>
      </c>
      <c r="AJ133" s="3453">
        <v>140000</v>
      </c>
      <c r="AK133" s="3453" t="s">
        <v>4530</v>
      </c>
      <c r="AL133" s="3453">
        <v>697800</v>
      </c>
      <c r="AM133" s="3453">
        <v>6296.3</v>
      </c>
      <c r="AN133" s="3453">
        <v>6296.3</v>
      </c>
      <c r="AO133" s="3453">
        <v>26118</v>
      </c>
      <c r="AP133" s="3453">
        <v>26118</v>
      </c>
      <c r="AQ133" s="3453" t="s">
        <v>3470</v>
      </c>
      <c r="AR133" s="3453" t="s">
        <v>3470</v>
      </c>
      <c r="AS133" s="3453">
        <v>0</v>
      </c>
      <c r="AT133" s="3453" t="s">
        <v>4112</v>
      </c>
      <c r="AU133" s="3453" t="s">
        <v>3467</v>
      </c>
      <c r="AV133" s="3453" t="s">
        <v>3470</v>
      </c>
      <c r="AW133" s="3453" t="s">
        <v>3467</v>
      </c>
      <c r="AX133" s="3453" t="s">
        <v>3470</v>
      </c>
      <c r="AY133" s="3453" t="s">
        <v>3470</v>
      </c>
      <c r="AZ133" s="3453" t="s">
        <v>3470</v>
      </c>
    </row>
    <row r="134" spans="1:52" hidden="1">
      <c r="A134" s="3453" t="s">
        <v>4537</v>
      </c>
      <c r="B134" s="3453" t="s">
        <v>3457</v>
      </c>
      <c r="C134" s="3453" t="s">
        <v>4538</v>
      </c>
      <c r="D134" s="3453" t="s">
        <v>3459</v>
      </c>
      <c r="E134" s="3453" t="s">
        <v>3594</v>
      </c>
      <c r="F134" s="3453" t="s">
        <v>3595</v>
      </c>
      <c r="G134" s="3453" t="s">
        <v>4539</v>
      </c>
      <c r="H134" s="3453" t="s">
        <v>3484</v>
      </c>
      <c r="I134" s="3453">
        <v>122243.7</v>
      </c>
      <c r="J134" s="3453">
        <v>206085.13</v>
      </c>
      <c r="K134" s="3453" t="s">
        <v>4540</v>
      </c>
      <c r="L134" s="3453" t="s">
        <v>3464</v>
      </c>
      <c r="M134" s="3453" t="s">
        <v>4541</v>
      </c>
      <c r="N134" s="3453" t="s">
        <v>4062</v>
      </c>
      <c r="O134" s="3453">
        <v>25.55</v>
      </c>
      <c r="P134" s="3453" t="s">
        <v>3470</v>
      </c>
      <c r="Q134" s="3453" t="s">
        <v>4542</v>
      </c>
      <c r="R134" s="3453" t="s">
        <v>4442</v>
      </c>
      <c r="S134" s="3453" t="s">
        <v>3548</v>
      </c>
      <c r="T134" s="3453" t="s">
        <v>3470</v>
      </c>
      <c r="U134" s="3453" t="s">
        <v>3470</v>
      </c>
      <c r="V134" s="3453">
        <v>0</v>
      </c>
      <c r="W134" s="3453">
        <v>0</v>
      </c>
      <c r="X134" s="3453">
        <v>0</v>
      </c>
      <c r="Y134" s="3453">
        <v>0</v>
      </c>
      <c r="Z134" s="3454">
        <v>44036.000497685185</v>
      </c>
      <c r="AA134" s="3454">
        <v>44056.000497685185</v>
      </c>
      <c r="AB134" s="3454">
        <v>44070.000497685185</v>
      </c>
      <c r="AC134" s="3454">
        <v>44070.000497685185</v>
      </c>
      <c r="AD134" s="3453" t="s">
        <v>4543</v>
      </c>
      <c r="AE134" s="3453" t="s">
        <v>3472</v>
      </c>
      <c r="AF134" s="3453" t="s">
        <v>4544</v>
      </c>
      <c r="AG134" s="3453" t="s">
        <v>4545</v>
      </c>
      <c r="AH134" s="3453" t="s">
        <v>4546</v>
      </c>
      <c r="AI134" s="3453">
        <v>311800</v>
      </c>
      <c r="AJ134" s="3453">
        <v>62400</v>
      </c>
      <c r="AK134" s="3453" t="s">
        <v>4547</v>
      </c>
      <c r="AL134" s="3453">
        <v>311800</v>
      </c>
      <c r="AM134" s="3453">
        <v>1700.43</v>
      </c>
      <c r="AN134" s="3453">
        <v>1700.43</v>
      </c>
      <c r="AO134" s="3453">
        <v>15130</v>
      </c>
      <c r="AP134" s="3453">
        <v>15130</v>
      </c>
      <c r="AQ134" s="3453" t="s">
        <v>3470</v>
      </c>
      <c r="AR134" s="3453" t="s">
        <v>3470</v>
      </c>
      <c r="AS134" s="3453">
        <v>0</v>
      </c>
      <c r="AT134" s="3453" t="s">
        <v>4112</v>
      </c>
      <c r="AU134" s="3453" t="s">
        <v>3467</v>
      </c>
      <c r="AV134" s="3453" t="s">
        <v>3470</v>
      </c>
      <c r="AW134" s="3453" t="s">
        <v>3467</v>
      </c>
      <c r="AX134" s="3453" t="s">
        <v>3470</v>
      </c>
      <c r="AY134" s="3453" t="s">
        <v>3470</v>
      </c>
      <c r="AZ134" s="3453" t="s">
        <v>3470</v>
      </c>
    </row>
    <row r="135" spans="1:52" hidden="1">
      <c r="A135" s="3453" t="s">
        <v>4548</v>
      </c>
      <c r="B135" s="3453" t="s">
        <v>3457</v>
      </c>
      <c r="C135" s="3453" t="s">
        <v>4549</v>
      </c>
      <c r="D135" s="3453" t="s">
        <v>3459</v>
      </c>
      <c r="E135" s="3453" t="s">
        <v>3594</v>
      </c>
      <c r="F135" s="3453" t="s">
        <v>3595</v>
      </c>
      <c r="G135" s="3453" t="s">
        <v>4539</v>
      </c>
      <c r="H135" s="3453" t="s">
        <v>3484</v>
      </c>
      <c r="I135" s="3453">
        <v>83940.05</v>
      </c>
      <c r="J135" s="3453">
        <v>146004.07999999999</v>
      </c>
      <c r="K135" s="3453" t="s">
        <v>4550</v>
      </c>
      <c r="L135" s="3453" t="s">
        <v>3464</v>
      </c>
      <c r="M135" s="3453" t="s">
        <v>4551</v>
      </c>
      <c r="N135" s="3453" t="s">
        <v>4062</v>
      </c>
      <c r="O135" s="3453">
        <v>22.26</v>
      </c>
      <c r="P135" s="3453" t="s">
        <v>4207</v>
      </c>
      <c r="Q135" s="3453" t="s">
        <v>4552</v>
      </c>
      <c r="R135" s="3453" t="s">
        <v>4442</v>
      </c>
      <c r="S135" s="3453" t="s">
        <v>3548</v>
      </c>
      <c r="T135" s="3453" t="s">
        <v>3470</v>
      </c>
      <c r="U135" s="3453" t="s">
        <v>3470</v>
      </c>
      <c r="V135" s="3453">
        <v>0</v>
      </c>
      <c r="W135" s="3453">
        <v>0</v>
      </c>
      <c r="X135" s="3453">
        <v>0</v>
      </c>
      <c r="Y135" s="3453">
        <v>0</v>
      </c>
      <c r="Z135" s="3454">
        <v>44036.000497685185</v>
      </c>
      <c r="AA135" s="3454">
        <v>44056.000497685185</v>
      </c>
      <c r="AB135" s="3454">
        <v>44070.000497685185</v>
      </c>
      <c r="AC135" s="3454">
        <v>44070.000497685185</v>
      </c>
      <c r="AD135" s="3453" t="s">
        <v>4553</v>
      </c>
      <c r="AE135" s="3453" t="s">
        <v>3472</v>
      </c>
      <c r="AF135" s="3453" t="s">
        <v>4554</v>
      </c>
      <c r="AG135" s="3453" t="s">
        <v>4555</v>
      </c>
      <c r="AH135" s="3453" t="s">
        <v>4365</v>
      </c>
      <c r="AI135" s="3453">
        <v>243400</v>
      </c>
      <c r="AJ135" s="3453">
        <v>48700</v>
      </c>
      <c r="AK135" s="3453" t="s">
        <v>4547</v>
      </c>
      <c r="AL135" s="3453">
        <v>243400</v>
      </c>
      <c r="AM135" s="3453">
        <v>1933.13</v>
      </c>
      <c r="AN135" s="3453">
        <v>1933.13</v>
      </c>
      <c r="AO135" s="3453">
        <v>16671</v>
      </c>
      <c r="AP135" s="3453">
        <v>16671</v>
      </c>
      <c r="AQ135" s="3453" t="s">
        <v>3470</v>
      </c>
      <c r="AR135" s="3453" t="s">
        <v>3470</v>
      </c>
      <c r="AS135" s="3453">
        <v>0</v>
      </c>
      <c r="AT135" s="3453" t="s">
        <v>4112</v>
      </c>
      <c r="AU135" s="3453" t="s">
        <v>3467</v>
      </c>
      <c r="AV135" s="3453" t="s">
        <v>3470</v>
      </c>
      <c r="AW135" s="3453" t="s">
        <v>3467</v>
      </c>
      <c r="AX135" s="3453" t="s">
        <v>3470</v>
      </c>
      <c r="AY135" s="3453" t="s">
        <v>3470</v>
      </c>
      <c r="AZ135" s="3453" t="s">
        <v>3470</v>
      </c>
    </row>
    <row r="136" spans="1:52" hidden="1">
      <c r="A136" s="3453" t="s">
        <v>4556</v>
      </c>
      <c r="B136" s="3453" t="s">
        <v>3457</v>
      </c>
      <c r="C136" s="3453" t="s">
        <v>4557</v>
      </c>
      <c r="D136" s="3453" t="s">
        <v>3459</v>
      </c>
      <c r="E136" s="3453" t="s">
        <v>3594</v>
      </c>
      <c r="F136" s="3453" t="s">
        <v>3595</v>
      </c>
      <c r="G136" s="3453" t="s">
        <v>4539</v>
      </c>
      <c r="H136" s="3453" t="s">
        <v>3484</v>
      </c>
      <c r="I136" s="3453">
        <v>99454.31</v>
      </c>
      <c r="J136" s="3453">
        <v>153846.89000000001</v>
      </c>
      <c r="K136" s="3453" t="s">
        <v>4558</v>
      </c>
      <c r="L136" s="3453" t="s">
        <v>3464</v>
      </c>
      <c r="M136" s="3453" t="s">
        <v>3598</v>
      </c>
      <c r="N136" s="3453" t="s">
        <v>4062</v>
      </c>
      <c r="O136" s="3453" t="s">
        <v>3467</v>
      </c>
      <c r="P136" s="3453" t="s">
        <v>4207</v>
      </c>
      <c r="Q136" s="3453" t="s">
        <v>4559</v>
      </c>
      <c r="R136" s="3453" t="s">
        <v>4442</v>
      </c>
      <c r="S136" s="3453" t="s">
        <v>3548</v>
      </c>
      <c r="T136" s="3453" t="s">
        <v>3470</v>
      </c>
      <c r="U136" s="3453" t="s">
        <v>3470</v>
      </c>
      <c r="V136" s="3453">
        <v>0</v>
      </c>
      <c r="W136" s="3453">
        <v>0</v>
      </c>
      <c r="X136" s="3453">
        <v>0</v>
      </c>
      <c r="Y136" s="3453">
        <v>0</v>
      </c>
      <c r="Z136" s="3454">
        <v>44036.000497685185</v>
      </c>
      <c r="AA136" s="3454">
        <v>44056.000497685185</v>
      </c>
      <c r="AB136" s="3454">
        <v>44070.000497685185</v>
      </c>
      <c r="AC136" s="3454">
        <v>44070.000497685185</v>
      </c>
      <c r="AD136" s="3453" t="s">
        <v>4560</v>
      </c>
      <c r="AE136" s="3453" t="s">
        <v>3472</v>
      </c>
      <c r="AF136" s="3453" t="s">
        <v>4561</v>
      </c>
      <c r="AG136" s="3453" t="s">
        <v>4562</v>
      </c>
      <c r="AH136" s="3453" t="s">
        <v>3530</v>
      </c>
      <c r="AI136" s="3453">
        <v>302400</v>
      </c>
      <c r="AJ136" s="3453">
        <v>60500</v>
      </c>
      <c r="AK136" s="3453" t="s">
        <v>4547</v>
      </c>
      <c r="AL136" s="3453">
        <v>326000</v>
      </c>
      <c r="AM136" s="3453">
        <v>2027.06</v>
      </c>
      <c r="AN136" s="3453">
        <v>2185.2600000000002</v>
      </c>
      <c r="AO136" s="3453">
        <v>19656</v>
      </c>
      <c r="AP136" s="3453">
        <v>21190</v>
      </c>
      <c r="AQ136" s="3453" t="s">
        <v>3470</v>
      </c>
      <c r="AR136" s="3453" t="s">
        <v>3470</v>
      </c>
      <c r="AS136" s="3453">
        <v>7.8</v>
      </c>
      <c r="AT136" s="3453" t="s">
        <v>3907</v>
      </c>
      <c r="AU136" s="3453" t="s">
        <v>3467</v>
      </c>
      <c r="AV136" s="3453" t="s">
        <v>3470</v>
      </c>
      <c r="AW136" s="3453" t="s">
        <v>3467</v>
      </c>
      <c r="AX136" s="3453" t="s">
        <v>3470</v>
      </c>
      <c r="AY136" s="3453" t="s">
        <v>3470</v>
      </c>
      <c r="AZ136" s="3453" t="s">
        <v>3470</v>
      </c>
    </row>
    <row r="137" spans="1:52" hidden="1">
      <c r="A137" s="3453" t="s">
        <v>4563</v>
      </c>
      <c r="B137" s="3453" t="s">
        <v>3457</v>
      </c>
      <c r="C137" s="3453" t="s">
        <v>4564</v>
      </c>
      <c r="D137" s="3453" t="s">
        <v>3459</v>
      </c>
      <c r="E137" s="3453" t="s">
        <v>3973</v>
      </c>
      <c r="F137" s="3453" t="s">
        <v>4350</v>
      </c>
      <c r="G137" s="3453" t="s">
        <v>4565</v>
      </c>
      <c r="H137" s="3453" t="s">
        <v>3463</v>
      </c>
      <c r="I137" s="3453">
        <v>42031.040000000001</v>
      </c>
      <c r="J137" s="3453">
        <v>84062</v>
      </c>
      <c r="K137" s="3453" t="s">
        <v>3638</v>
      </c>
      <c r="L137" s="3453" t="s">
        <v>3464</v>
      </c>
      <c r="M137" s="3453" t="s">
        <v>3465</v>
      </c>
      <c r="N137" s="3453" t="s">
        <v>4062</v>
      </c>
      <c r="O137" s="3453" t="s">
        <v>3467</v>
      </c>
      <c r="P137" s="3453" t="s">
        <v>4207</v>
      </c>
      <c r="Q137" s="3453" t="s">
        <v>4392</v>
      </c>
      <c r="R137" s="3453" t="s">
        <v>4442</v>
      </c>
      <c r="S137" s="3453" t="s">
        <v>3548</v>
      </c>
      <c r="T137" s="3453" t="s">
        <v>3470</v>
      </c>
      <c r="U137" s="3453" t="s">
        <v>3470</v>
      </c>
      <c r="V137" s="3453">
        <v>0</v>
      </c>
      <c r="W137" s="3453">
        <v>0</v>
      </c>
      <c r="X137" s="3453">
        <v>0</v>
      </c>
      <c r="Y137" s="3453">
        <v>0</v>
      </c>
      <c r="Z137" s="3454">
        <v>44025.000497685185</v>
      </c>
      <c r="AA137" s="3454">
        <v>44046.000497685185</v>
      </c>
      <c r="AB137" s="3454">
        <v>44060.000497685185</v>
      </c>
      <c r="AC137" s="3454">
        <v>44060.000497685185</v>
      </c>
      <c r="AD137" s="3453" t="s">
        <v>4566</v>
      </c>
      <c r="AE137" s="3453" t="s">
        <v>3472</v>
      </c>
      <c r="AF137" s="3453" t="s">
        <v>4567</v>
      </c>
      <c r="AG137" s="3453" t="s">
        <v>4568</v>
      </c>
      <c r="AH137" s="3453" t="s">
        <v>3493</v>
      </c>
      <c r="AI137" s="3453">
        <v>197100</v>
      </c>
      <c r="AJ137" s="3453">
        <v>39500</v>
      </c>
      <c r="AK137" s="3453" t="s">
        <v>4569</v>
      </c>
      <c r="AL137" s="3453">
        <v>197100</v>
      </c>
      <c r="AM137" s="3453">
        <v>3126.26</v>
      </c>
      <c r="AN137" s="3453">
        <v>3126.26</v>
      </c>
      <c r="AO137" s="3453">
        <v>23447</v>
      </c>
      <c r="AP137" s="3453">
        <v>23447</v>
      </c>
      <c r="AQ137" s="3453" t="s">
        <v>3470</v>
      </c>
      <c r="AR137" s="3453" t="s">
        <v>3470</v>
      </c>
      <c r="AS137" s="3453">
        <v>0</v>
      </c>
      <c r="AT137" s="3453" t="s">
        <v>4112</v>
      </c>
      <c r="AU137" s="3453" t="s">
        <v>3467</v>
      </c>
      <c r="AV137" s="3453" t="s">
        <v>3470</v>
      </c>
      <c r="AW137" s="3453" t="s">
        <v>3467</v>
      </c>
      <c r="AX137" s="3453" t="s">
        <v>3470</v>
      </c>
      <c r="AY137" s="3453" t="s">
        <v>3470</v>
      </c>
      <c r="AZ137" s="3453" t="s">
        <v>3470</v>
      </c>
    </row>
    <row r="138" spans="1:52" hidden="1">
      <c r="A138" s="3453" t="s">
        <v>4570</v>
      </c>
      <c r="B138" s="3453" t="s">
        <v>3457</v>
      </c>
      <c r="C138" s="3453" t="s">
        <v>4571</v>
      </c>
      <c r="D138" s="3453" t="s">
        <v>3459</v>
      </c>
      <c r="E138" s="3453" t="s">
        <v>3556</v>
      </c>
      <c r="F138" s="3453" t="s">
        <v>4572</v>
      </c>
      <c r="G138" s="3453" t="s">
        <v>4573</v>
      </c>
      <c r="H138" s="3453" t="s">
        <v>3484</v>
      </c>
      <c r="I138" s="3453">
        <v>154004.04</v>
      </c>
      <c r="J138" s="3453">
        <v>209367</v>
      </c>
      <c r="K138" s="3453" t="s">
        <v>4574</v>
      </c>
      <c r="L138" s="3453" t="s">
        <v>4173</v>
      </c>
      <c r="M138" s="3453" t="s">
        <v>4575</v>
      </c>
      <c r="N138" s="3453" t="s">
        <v>4062</v>
      </c>
      <c r="O138" s="3453" t="s">
        <v>3467</v>
      </c>
      <c r="P138" s="3453" t="s">
        <v>4207</v>
      </c>
      <c r="Q138" s="3453" t="s">
        <v>4576</v>
      </c>
      <c r="R138" s="3453" t="s">
        <v>4175</v>
      </c>
      <c r="S138" s="3453" t="s">
        <v>4175</v>
      </c>
      <c r="T138" s="3453" t="s">
        <v>4176</v>
      </c>
      <c r="U138" s="3453" t="s">
        <v>3470</v>
      </c>
      <c r="V138" s="3453">
        <v>0</v>
      </c>
      <c r="W138" s="3453">
        <v>0</v>
      </c>
      <c r="X138" s="3453">
        <v>206000</v>
      </c>
      <c r="Y138" s="3453">
        <v>206000</v>
      </c>
      <c r="Z138" s="3454">
        <v>44014.000497685185</v>
      </c>
      <c r="AA138" s="3454">
        <v>44036.000497685185</v>
      </c>
      <c r="AB138" s="3454">
        <v>44036.000497685185</v>
      </c>
      <c r="AC138" s="3454">
        <v>44036.000497685185</v>
      </c>
      <c r="AD138" s="3453" t="s">
        <v>4577</v>
      </c>
      <c r="AE138" s="3453" t="s">
        <v>3472</v>
      </c>
      <c r="AF138" s="3453" t="s">
        <v>4578</v>
      </c>
      <c r="AG138" s="3453" t="s">
        <v>4579</v>
      </c>
      <c r="AH138" s="3453" t="s">
        <v>3493</v>
      </c>
      <c r="AI138" s="3453" t="s">
        <v>3470</v>
      </c>
      <c r="AJ138" s="3453">
        <v>54000</v>
      </c>
      <c r="AK138" s="3453" t="s">
        <v>633</v>
      </c>
      <c r="AL138" s="3453">
        <v>269450</v>
      </c>
      <c r="AM138" s="3453" t="s">
        <v>3470</v>
      </c>
      <c r="AN138" s="3453">
        <v>1166.42</v>
      </c>
      <c r="AO138" s="3453" t="s">
        <v>3470</v>
      </c>
      <c r="AP138" s="3453">
        <v>12870</v>
      </c>
      <c r="AQ138" s="3453" t="s">
        <v>3470</v>
      </c>
      <c r="AR138" s="3453" t="s">
        <v>3470</v>
      </c>
      <c r="AS138" s="3453">
        <v>0</v>
      </c>
      <c r="AT138" s="3453" t="s">
        <v>4112</v>
      </c>
      <c r="AU138" s="3453" t="s">
        <v>3467</v>
      </c>
      <c r="AV138" s="3453" t="s">
        <v>3470</v>
      </c>
      <c r="AW138" s="3453">
        <v>29500</v>
      </c>
      <c r="AX138" s="3453" t="s">
        <v>3470</v>
      </c>
      <c r="AY138" s="3453" t="s">
        <v>3470</v>
      </c>
      <c r="AZ138" s="3453" t="s">
        <v>3470</v>
      </c>
    </row>
    <row r="139" spans="1:52" hidden="1">
      <c r="A139" s="3453" t="s">
        <v>4580</v>
      </c>
      <c r="B139" s="3453" t="s">
        <v>3457</v>
      </c>
      <c r="C139" s="3453" t="s">
        <v>4581</v>
      </c>
      <c r="D139" s="3453" t="s">
        <v>3459</v>
      </c>
      <c r="E139" s="3453" t="s">
        <v>3519</v>
      </c>
      <c r="F139" s="3453" t="s">
        <v>4059</v>
      </c>
      <c r="G139" s="3453" t="s">
        <v>4582</v>
      </c>
      <c r="H139" s="3453" t="s">
        <v>3484</v>
      </c>
      <c r="I139" s="3453">
        <v>85128.1</v>
      </c>
      <c r="J139" s="3453">
        <v>201473.8</v>
      </c>
      <c r="K139" s="3453" t="s">
        <v>4583</v>
      </c>
      <c r="L139" s="3453" t="s">
        <v>3464</v>
      </c>
      <c r="M139" s="3453" t="s">
        <v>3629</v>
      </c>
      <c r="N139" s="3453" t="s">
        <v>4062</v>
      </c>
      <c r="O139" s="3453" t="s">
        <v>3467</v>
      </c>
      <c r="P139" s="3453" t="s">
        <v>4207</v>
      </c>
      <c r="Q139" s="3453" t="s">
        <v>4584</v>
      </c>
      <c r="R139" s="3453" t="s">
        <v>4442</v>
      </c>
      <c r="S139" s="3453" t="s">
        <v>3548</v>
      </c>
      <c r="T139" s="3453" t="s">
        <v>3470</v>
      </c>
      <c r="U139" s="3453" t="s">
        <v>3470</v>
      </c>
      <c r="V139" s="3453">
        <v>0</v>
      </c>
      <c r="W139" s="3453">
        <v>0</v>
      </c>
      <c r="X139" s="3453">
        <v>0</v>
      </c>
      <c r="Y139" s="3453">
        <v>0</v>
      </c>
      <c r="Z139" s="3454">
        <v>44012.000497685185</v>
      </c>
      <c r="AA139" s="3454">
        <v>44032.000497685185</v>
      </c>
      <c r="AB139" s="3454">
        <v>44046.000497685185</v>
      </c>
      <c r="AC139" s="3454">
        <v>44046.000497685185</v>
      </c>
      <c r="AD139" s="3453" t="s">
        <v>4585</v>
      </c>
      <c r="AE139" s="3453" t="s">
        <v>3472</v>
      </c>
      <c r="AF139" s="3453" t="s">
        <v>3550</v>
      </c>
      <c r="AG139" s="3453" t="s">
        <v>3551</v>
      </c>
      <c r="AH139" s="3453" t="s">
        <v>3475</v>
      </c>
      <c r="AI139" s="3453">
        <v>640000</v>
      </c>
      <c r="AJ139" s="3453">
        <v>128000</v>
      </c>
      <c r="AK139" s="3453" t="s">
        <v>4586</v>
      </c>
      <c r="AL139" s="3453">
        <v>790000</v>
      </c>
      <c r="AM139" s="3453">
        <v>5012.05</v>
      </c>
      <c r="AN139" s="3453">
        <v>6186.75</v>
      </c>
      <c r="AO139" s="3453">
        <v>31766</v>
      </c>
      <c r="AP139" s="3453">
        <v>39211</v>
      </c>
      <c r="AQ139" s="3453" t="s">
        <v>3470</v>
      </c>
      <c r="AR139" s="3453" t="s">
        <v>3470</v>
      </c>
      <c r="AS139" s="3453">
        <v>23.44</v>
      </c>
      <c r="AT139" s="3453" t="s">
        <v>4112</v>
      </c>
      <c r="AU139" s="3453" t="s">
        <v>3467</v>
      </c>
      <c r="AV139" s="3453" t="s">
        <v>3470</v>
      </c>
      <c r="AW139" s="3453" t="s">
        <v>3467</v>
      </c>
      <c r="AX139" s="3453" t="s">
        <v>3470</v>
      </c>
      <c r="AY139" s="3453" t="s">
        <v>3470</v>
      </c>
      <c r="AZ139" s="3453" t="s">
        <v>3470</v>
      </c>
    </row>
    <row r="140" spans="1:52">
      <c r="A140" s="3453" t="s">
        <v>4587</v>
      </c>
      <c r="B140" s="3453" t="s">
        <v>3457</v>
      </c>
      <c r="C140" s="3453" t="s">
        <v>4588</v>
      </c>
      <c r="D140" s="3453" t="s">
        <v>3459</v>
      </c>
      <c r="E140" s="3453" t="s">
        <v>3655</v>
      </c>
      <c r="F140" s="3453" t="s">
        <v>3817</v>
      </c>
      <c r="G140" s="3453" t="s">
        <v>4589</v>
      </c>
      <c r="H140" s="3453" t="s">
        <v>3484</v>
      </c>
      <c r="I140" s="3453">
        <v>41058.97</v>
      </c>
      <c r="J140" s="3453">
        <v>103031</v>
      </c>
      <c r="K140" s="3453" t="s">
        <v>4590</v>
      </c>
      <c r="L140" s="3453" t="s">
        <v>3464</v>
      </c>
      <c r="M140" s="3453" t="s">
        <v>4591</v>
      </c>
      <c r="N140" s="3453" t="s">
        <v>4062</v>
      </c>
      <c r="O140" s="3453">
        <v>5.73</v>
      </c>
      <c r="P140" s="3453" t="s">
        <v>4207</v>
      </c>
      <c r="Q140" s="3453" t="s">
        <v>4592</v>
      </c>
      <c r="R140" s="3453" t="s">
        <v>4442</v>
      </c>
      <c r="S140" s="3453" t="s">
        <v>3548</v>
      </c>
      <c r="T140" s="3453" t="s">
        <v>3470</v>
      </c>
      <c r="U140" s="3453" t="s">
        <v>3470</v>
      </c>
      <c r="V140" s="3453">
        <v>0</v>
      </c>
      <c r="W140" s="3453">
        <v>0</v>
      </c>
      <c r="X140" s="3453">
        <v>0</v>
      </c>
      <c r="Y140" s="3453">
        <v>0</v>
      </c>
      <c r="Z140" s="3454">
        <v>44000.000497685185</v>
      </c>
      <c r="AA140" s="3454">
        <v>44020.000497685185</v>
      </c>
      <c r="AB140" s="3454">
        <v>44034.000497685185</v>
      </c>
      <c r="AC140" s="3454">
        <v>44034.000497685185</v>
      </c>
      <c r="AD140" s="3453" t="s">
        <v>4593</v>
      </c>
      <c r="AE140" s="3453" t="s">
        <v>3472</v>
      </c>
      <c r="AF140" s="3453" t="s">
        <v>4594</v>
      </c>
      <c r="AG140" s="3453" t="s">
        <v>4595</v>
      </c>
      <c r="AH140" s="3453" t="s">
        <v>4596</v>
      </c>
      <c r="AI140" s="3453">
        <v>379500</v>
      </c>
      <c r="AJ140" s="3453">
        <v>76000</v>
      </c>
      <c r="AK140" s="3453" t="s">
        <v>4597</v>
      </c>
      <c r="AL140" s="3453">
        <v>480000</v>
      </c>
      <c r="AM140" s="3453">
        <v>6161.87</v>
      </c>
      <c r="AN140" s="3453">
        <v>7793.67</v>
      </c>
      <c r="AO140" s="3453">
        <v>36834</v>
      </c>
      <c r="AP140" s="3453">
        <v>46588</v>
      </c>
      <c r="AQ140" s="3453" t="s">
        <v>3470</v>
      </c>
      <c r="AR140" s="3453" t="s">
        <v>3470</v>
      </c>
      <c r="AS140" s="3453">
        <v>26.48</v>
      </c>
      <c r="AT140" s="3453" t="s">
        <v>4112</v>
      </c>
      <c r="AU140" s="3453" t="s">
        <v>3467</v>
      </c>
      <c r="AV140" s="3453" t="s">
        <v>3470</v>
      </c>
      <c r="AW140" s="3453" t="s">
        <v>3467</v>
      </c>
      <c r="AX140" s="3453" t="s">
        <v>3470</v>
      </c>
      <c r="AY140" s="3453" t="s">
        <v>3470</v>
      </c>
      <c r="AZ140" s="3453" t="s">
        <v>3470</v>
      </c>
    </row>
    <row r="141" spans="1:52">
      <c r="A141" s="3453" t="s">
        <v>4598</v>
      </c>
      <c r="B141" s="3453" t="s">
        <v>3457</v>
      </c>
      <c r="C141" s="3453" t="s">
        <v>4599</v>
      </c>
      <c r="D141" s="3453" t="s">
        <v>3459</v>
      </c>
      <c r="E141" s="3453" t="s">
        <v>3655</v>
      </c>
      <c r="F141" s="3453" t="s">
        <v>3817</v>
      </c>
      <c r="G141" s="3453" t="s">
        <v>4600</v>
      </c>
      <c r="H141" s="3453" t="s">
        <v>3484</v>
      </c>
      <c r="I141" s="3453">
        <v>44670.31</v>
      </c>
      <c r="J141" s="3453">
        <v>119857</v>
      </c>
      <c r="K141" s="3453" t="s">
        <v>4601</v>
      </c>
      <c r="L141" s="3453" t="s">
        <v>3464</v>
      </c>
      <c r="M141" s="3453" t="s">
        <v>4591</v>
      </c>
      <c r="N141" s="3453" t="s">
        <v>4062</v>
      </c>
      <c r="O141" s="3453">
        <v>39.799999999999997</v>
      </c>
      <c r="P141" s="3453" t="s">
        <v>4602</v>
      </c>
      <c r="Q141" s="3453" t="s">
        <v>4603</v>
      </c>
      <c r="R141" s="3453" t="s">
        <v>4442</v>
      </c>
      <c r="S141" s="3453" t="s">
        <v>3548</v>
      </c>
      <c r="T141" s="3453" t="s">
        <v>3470</v>
      </c>
      <c r="U141" s="3453" t="s">
        <v>3470</v>
      </c>
      <c r="V141" s="3453">
        <v>0</v>
      </c>
      <c r="W141" s="3453">
        <v>0</v>
      </c>
      <c r="X141" s="3453">
        <v>0</v>
      </c>
      <c r="Y141" s="3453">
        <v>0</v>
      </c>
      <c r="Z141" s="3454">
        <v>44000.000497685185</v>
      </c>
      <c r="AA141" s="3454">
        <v>44020.000497685185</v>
      </c>
      <c r="AB141" s="3454">
        <v>44034.000497685185</v>
      </c>
      <c r="AC141" s="3454">
        <v>44034.000497685185</v>
      </c>
      <c r="AD141" s="3453" t="s">
        <v>4604</v>
      </c>
      <c r="AE141" s="3453" t="s">
        <v>3472</v>
      </c>
      <c r="AF141" s="3453" t="s">
        <v>4605</v>
      </c>
      <c r="AG141" s="3453" t="s">
        <v>4606</v>
      </c>
      <c r="AH141" s="3453" t="s">
        <v>3493</v>
      </c>
      <c r="AI141" s="3453">
        <v>250300</v>
      </c>
      <c r="AJ141" s="3453">
        <v>50100</v>
      </c>
      <c r="AK141" s="3453" t="s">
        <v>4597</v>
      </c>
      <c r="AL141" s="3453">
        <v>296000</v>
      </c>
      <c r="AM141" s="3453">
        <v>3735.52</v>
      </c>
      <c r="AN141" s="3453">
        <v>4417.55</v>
      </c>
      <c r="AO141" s="3453">
        <v>20883</v>
      </c>
      <c r="AP141" s="3453">
        <v>24696</v>
      </c>
      <c r="AQ141" s="3453" t="s">
        <v>3470</v>
      </c>
      <c r="AR141" s="3453" t="s">
        <v>3470</v>
      </c>
      <c r="AS141" s="3453">
        <v>18.260000000000002</v>
      </c>
      <c r="AT141" s="3453" t="s">
        <v>4112</v>
      </c>
      <c r="AU141" s="3453" t="s">
        <v>3467</v>
      </c>
      <c r="AV141" s="3453" t="s">
        <v>3470</v>
      </c>
      <c r="AW141" s="3453" t="s">
        <v>3467</v>
      </c>
      <c r="AX141" s="3453" t="s">
        <v>3470</v>
      </c>
      <c r="AY141" s="3453" t="s">
        <v>3470</v>
      </c>
      <c r="AZ141" s="3453" t="s">
        <v>3470</v>
      </c>
    </row>
    <row r="142" spans="1:52" hidden="1">
      <c r="A142" s="3453" t="s">
        <v>4607</v>
      </c>
      <c r="B142" s="3453" t="s">
        <v>3457</v>
      </c>
      <c r="C142" s="3453" t="s">
        <v>4608</v>
      </c>
      <c r="D142" s="3453" t="s">
        <v>3459</v>
      </c>
      <c r="E142" s="3453" t="s">
        <v>3508</v>
      </c>
      <c r="F142" s="3453" t="s">
        <v>3910</v>
      </c>
      <c r="G142" s="3453" t="s">
        <v>3911</v>
      </c>
      <c r="H142" s="3453" t="s">
        <v>3484</v>
      </c>
      <c r="I142" s="3453">
        <v>37814.6</v>
      </c>
      <c r="J142" s="3453">
        <v>77172</v>
      </c>
      <c r="K142" s="3453" t="s">
        <v>4609</v>
      </c>
      <c r="L142" s="3453" t="s">
        <v>3464</v>
      </c>
      <c r="M142" s="3453" t="s">
        <v>3629</v>
      </c>
      <c r="N142" s="3453" t="s">
        <v>4062</v>
      </c>
      <c r="O142" s="3453" t="s">
        <v>3467</v>
      </c>
      <c r="P142" s="3453" t="s">
        <v>4207</v>
      </c>
      <c r="Q142" s="3453" t="s">
        <v>4610</v>
      </c>
      <c r="R142" s="3453" t="s">
        <v>4611</v>
      </c>
      <c r="S142" s="3453" t="s">
        <v>3548</v>
      </c>
      <c r="T142" s="3453" t="s">
        <v>3602</v>
      </c>
      <c r="U142" s="3453" t="s">
        <v>3603</v>
      </c>
      <c r="V142" s="3453">
        <v>50000</v>
      </c>
      <c r="W142" s="3453">
        <v>50000</v>
      </c>
      <c r="X142" s="3453">
        <v>0</v>
      </c>
      <c r="Y142" s="3453">
        <v>0</v>
      </c>
      <c r="Z142" s="3454">
        <v>43992.000497685185</v>
      </c>
      <c r="AA142" s="3454">
        <v>44012.000497685185</v>
      </c>
      <c r="AB142" s="3454">
        <v>44026.000497685185</v>
      </c>
      <c r="AC142" s="3454">
        <v>44026.000497685185</v>
      </c>
      <c r="AD142" s="3453" t="s">
        <v>4612</v>
      </c>
      <c r="AE142" s="3453" t="s">
        <v>3472</v>
      </c>
      <c r="AF142" s="3453" t="s">
        <v>4613</v>
      </c>
      <c r="AG142" s="3453" t="s">
        <v>4614</v>
      </c>
      <c r="AH142" s="3453" t="s">
        <v>3530</v>
      </c>
      <c r="AI142" s="3453">
        <v>113100</v>
      </c>
      <c r="AJ142" s="3453">
        <v>22650</v>
      </c>
      <c r="AK142" s="3453" t="s">
        <v>4615</v>
      </c>
      <c r="AL142" s="3453">
        <v>124000</v>
      </c>
      <c r="AM142" s="3453">
        <v>1993.94</v>
      </c>
      <c r="AN142" s="3453">
        <v>2186.1</v>
      </c>
      <c r="AO142" s="3453">
        <v>14656</v>
      </c>
      <c r="AP142" s="3453">
        <v>16068</v>
      </c>
      <c r="AQ142" s="3453">
        <v>41624</v>
      </c>
      <c r="AR142" s="3453">
        <v>45635</v>
      </c>
      <c r="AS142" s="3453">
        <v>9.64</v>
      </c>
      <c r="AT142" s="3453" t="s">
        <v>3907</v>
      </c>
      <c r="AU142" s="3453" t="s">
        <v>3467</v>
      </c>
      <c r="AV142" s="3453" t="s">
        <v>3470</v>
      </c>
      <c r="AW142" s="3453" t="s">
        <v>3467</v>
      </c>
      <c r="AX142" s="3453" t="s">
        <v>3470</v>
      </c>
      <c r="AY142" s="3453" t="s">
        <v>3470</v>
      </c>
      <c r="AZ142" s="3453" t="s">
        <v>3470</v>
      </c>
    </row>
    <row r="143" spans="1:52" hidden="1">
      <c r="A143" s="3453" t="s">
        <v>4616</v>
      </c>
      <c r="B143" s="3453" t="s">
        <v>3457</v>
      </c>
      <c r="C143" s="3453" t="s">
        <v>4617</v>
      </c>
      <c r="D143" s="3453" t="s">
        <v>3459</v>
      </c>
      <c r="E143" s="3453" t="s">
        <v>3556</v>
      </c>
      <c r="F143" s="3453" t="s">
        <v>4572</v>
      </c>
      <c r="G143" s="3453" t="s">
        <v>4573</v>
      </c>
      <c r="H143" s="3453" t="s">
        <v>3463</v>
      </c>
      <c r="I143" s="3453">
        <v>20038.78</v>
      </c>
      <c r="J143" s="3453">
        <v>40077.56</v>
      </c>
      <c r="K143" s="3453" t="s">
        <v>3638</v>
      </c>
      <c r="L143" s="3453" t="s">
        <v>3464</v>
      </c>
      <c r="M143" s="3453" t="s">
        <v>3465</v>
      </c>
      <c r="N143" s="3453" t="s">
        <v>4062</v>
      </c>
      <c r="O143" s="3453" t="s">
        <v>3467</v>
      </c>
      <c r="P143" s="3453" t="s">
        <v>4207</v>
      </c>
      <c r="Q143" s="3453" t="s">
        <v>4392</v>
      </c>
      <c r="R143" s="3453" t="s">
        <v>4442</v>
      </c>
      <c r="S143" s="3453" t="s">
        <v>3548</v>
      </c>
      <c r="T143" s="3453" t="s">
        <v>3470</v>
      </c>
      <c r="U143" s="3453" t="s">
        <v>3470</v>
      </c>
      <c r="V143" s="3453">
        <v>0</v>
      </c>
      <c r="W143" s="3453">
        <v>0</v>
      </c>
      <c r="X143" s="3453">
        <v>0</v>
      </c>
      <c r="Y143" s="3453">
        <v>0</v>
      </c>
      <c r="Z143" s="3454">
        <v>43992.000497685185</v>
      </c>
      <c r="AA143" s="3454">
        <v>44012.000497685185</v>
      </c>
      <c r="AB143" s="3454">
        <v>44026.000497685185</v>
      </c>
      <c r="AC143" s="3454">
        <v>44026.000497685185</v>
      </c>
      <c r="AD143" s="3453" t="s">
        <v>4618</v>
      </c>
      <c r="AE143" s="3453" t="s">
        <v>3472</v>
      </c>
      <c r="AF143" s="3453" t="s">
        <v>4619</v>
      </c>
      <c r="AG143" s="3453" t="s">
        <v>4620</v>
      </c>
      <c r="AH143" s="3453" t="s">
        <v>3530</v>
      </c>
      <c r="AI143" s="3453">
        <v>116500</v>
      </c>
      <c r="AJ143" s="3453">
        <v>24000</v>
      </c>
      <c r="AK143" s="3453" t="s">
        <v>4615</v>
      </c>
      <c r="AL143" s="3453">
        <v>126000</v>
      </c>
      <c r="AM143" s="3453">
        <v>3875.82</v>
      </c>
      <c r="AN143" s="3453">
        <v>4191.87</v>
      </c>
      <c r="AO143" s="3453">
        <v>29069</v>
      </c>
      <c r="AP143" s="3453">
        <v>31439</v>
      </c>
      <c r="AQ143" s="3453" t="s">
        <v>3470</v>
      </c>
      <c r="AR143" s="3453" t="s">
        <v>3470</v>
      </c>
      <c r="AS143" s="3453">
        <v>8.15</v>
      </c>
      <c r="AT143" s="3453" t="s">
        <v>3767</v>
      </c>
      <c r="AU143" s="3453" t="s">
        <v>3467</v>
      </c>
      <c r="AV143" s="3453" t="s">
        <v>3470</v>
      </c>
      <c r="AW143" s="3453" t="s">
        <v>3467</v>
      </c>
      <c r="AX143" s="3453" t="s">
        <v>3470</v>
      </c>
      <c r="AY143" s="3453" t="s">
        <v>3470</v>
      </c>
      <c r="AZ143" s="3453" t="s">
        <v>3470</v>
      </c>
    </row>
    <row r="144" spans="1:52" hidden="1">
      <c r="A144" s="3453" t="s">
        <v>4621</v>
      </c>
      <c r="B144" s="3453" t="s">
        <v>3457</v>
      </c>
      <c r="C144" s="3453" t="s">
        <v>4622</v>
      </c>
      <c r="D144" s="3453" t="s">
        <v>3459</v>
      </c>
      <c r="E144" s="3453" t="s">
        <v>3497</v>
      </c>
      <c r="F144" s="3453" t="s">
        <v>4283</v>
      </c>
      <c r="G144" s="3453" t="s">
        <v>4284</v>
      </c>
      <c r="H144" s="3453" t="s">
        <v>3463</v>
      </c>
      <c r="I144" s="3453">
        <v>47054</v>
      </c>
      <c r="J144" s="3453">
        <v>112930</v>
      </c>
      <c r="K144" s="3453" t="s">
        <v>4623</v>
      </c>
      <c r="L144" s="3453" t="s">
        <v>3464</v>
      </c>
      <c r="M144" s="3453" t="s">
        <v>3465</v>
      </c>
      <c r="N144" s="3453" t="s">
        <v>4062</v>
      </c>
      <c r="O144" s="3453" t="s">
        <v>3467</v>
      </c>
      <c r="P144" s="3453" t="s">
        <v>4207</v>
      </c>
      <c r="Q144" s="3453" t="s">
        <v>4528</v>
      </c>
      <c r="R144" s="3453" t="s">
        <v>4442</v>
      </c>
      <c r="S144" s="3453" t="s">
        <v>3548</v>
      </c>
      <c r="T144" s="3453" t="s">
        <v>3470</v>
      </c>
      <c r="U144" s="3453" t="s">
        <v>3470</v>
      </c>
      <c r="V144" s="3453">
        <v>0</v>
      </c>
      <c r="W144" s="3453">
        <v>0</v>
      </c>
      <c r="X144" s="3453">
        <v>0</v>
      </c>
      <c r="Y144" s="3453">
        <v>0</v>
      </c>
      <c r="Z144" s="3454">
        <v>43992.000497685185</v>
      </c>
      <c r="AA144" s="3454">
        <v>44012.000497685185</v>
      </c>
      <c r="AB144" s="3454">
        <v>44026.000497685185</v>
      </c>
      <c r="AC144" s="3454">
        <v>44026.000497685185</v>
      </c>
      <c r="AD144" s="3453" t="s">
        <v>4624</v>
      </c>
      <c r="AE144" s="3453" t="s">
        <v>3472</v>
      </c>
      <c r="AF144" s="3453" t="s">
        <v>3550</v>
      </c>
      <c r="AG144" s="3453" t="s">
        <v>3551</v>
      </c>
      <c r="AH144" s="3453" t="s">
        <v>3475</v>
      </c>
      <c r="AI144" s="3453">
        <v>283000</v>
      </c>
      <c r="AJ144" s="3453">
        <v>56600</v>
      </c>
      <c r="AK144" s="3453" t="s">
        <v>4615</v>
      </c>
      <c r="AL144" s="3453">
        <v>400000</v>
      </c>
      <c r="AM144" s="3453">
        <v>4009.58</v>
      </c>
      <c r="AN144" s="3453">
        <v>5667.25</v>
      </c>
      <c r="AO144" s="3453">
        <v>25060</v>
      </c>
      <c r="AP144" s="3453">
        <v>35420</v>
      </c>
      <c r="AQ144" s="3453" t="s">
        <v>3470</v>
      </c>
      <c r="AR144" s="3453" t="s">
        <v>3470</v>
      </c>
      <c r="AS144" s="3453">
        <v>41.34</v>
      </c>
      <c r="AT144" s="3453" t="s">
        <v>3767</v>
      </c>
      <c r="AU144" s="3453" t="s">
        <v>3467</v>
      </c>
      <c r="AV144" s="3453" t="s">
        <v>3470</v>
      </c>
      <c r="AW144" s="3453" t="s">
        <v>3467</v>
      </c>
      <c r="AX144" s="3453" t="s">
        <v>3470</v>
      </c>
      <c r="AY144" s="3453" t="s">
        <v>3470</v>
      </c>
      <c r="AZ144" s="3453" t="s">
        <v>3470</v>
      </c>
    </row>
    <row r="145" spans="1:52" hidden="1">
      <c r="A145" s="3453" t="s">
        <v>4625</v>
      </c>
      <c r="B145" s="3453" t="s">
        <v>3457</v>
      </c>
      <c r="C145" s="3453" t="s">
        <v>4626</v>
      </c>
      <c r="D145" s="3453" t="s">
        <v>3459</v>
      </c>
      <c r="E145" s="3453" t="s">
        <v>3556</v>
      </c>
      <c r="F145" s="3453" t="s">
        <v>3557</v>
      </c>
      <c r="G145" s="3453" t="s">
        <v>3558</v>
      </c>
      <c r="H145" s="3453" t="s">
        <v>3463</v>
      </c>
      <c r="I145" s="3453">
        <v>29746.01</v>
      </c>
      <c r="J145" s="3453">
        <v>42688.53</v>
      </c>
      <c r="K145" s="3453" t="s">
        <v>4627</v>
      </c>
      <c r="L145" s="3453" t="s">
        <v>3464</v>
      </c>
      <c r="M145" s="3453" t="s">
        <v>3465</v>
      </c>
      <c r="N145" s="3453" t="s">
        <v>4062</v>
      </c>
      <c r="O145" s="3453" t="s">
        <v>3467</v>
      </c>
      <c r="P145" s="3453" t="s">
        <v>4207</v>
      </c>
      <c r="Q145" s="3453" t="s">
        <v>4322</v>
      </c>
      <c r="R145" s="3453" t="s">
        <v>4442</v>
      </c>
      <c r="S145" s="3453" t="s">
        <v>3548</v>
      </c>
      <c r="T145" s="3453" t="s">
        <v>3470</v>
      </c>
      <c r="U145" s="3453" t="s">
        <v>3470</v>
      </c>
      <c r="V145" s="3453">
        <v>0</v>
      </c>
      <c r="W145" s="3453">
        <v>0</v>
      </c>
      <c r="X145" s="3453">
        <v>0</v>
      </c>
      <c r="Y145" s="3453">
        <v>0</v>
      </c>
      <c r="Z145" s="3454">
        <v>43949.000497685185</v>
      </c>
      <c r="AA145" s="3454">
        <v>43969.000497685185</v>
      </c>
      <c r="AB145" s="3454">
        <v>43992.000497685185</v>
      </c>
      <c r="AC145" s="3454">
        <v>43992.000497685185</v>
      </c>
      <c r="AD145" s="3453" t="s">
        <v>4628</v>
      </c>
      <c r="AE145" s="3453" t="s">
        <v>3472</v>
      </c>
      <c r="AF145" s="3453" t="s">
        <v>4629</v>
      </c>
      <c r="AG145" s="3453" t="s">
        <v>4630</v>
      </c>
      <c r="AH145" s="3453" t="s">
        <v>3475</v>
      </c>
      <c r="AI145" s="3453">
        <v>125000</v>
      </c>
      <c r="AJ145" s="3453">
        <v>25000</v>
      </c>
      <c r="AK145" s="3453" t="s">
        <v>4631</v>
      </c>
      <c r="AL145" s="3453">
        <v>125000</v>
      </c>
      <c r="AM145" s="3453">
        <v>2801.5</v>
      </c>
      <c r="AN145" s="3453">
        <v>2801.5</v>
      </c>
      <c r="AO145" s="3453">
        <v>29282</v>
      </c>
      <c r="AP145" s="3453">
        <v>29282</v>
      </c>
      <c r="AQ145" s="3453" t="s">
        <v>3470</v>
      </c>
      <c r="AR145" s="3453" t="s">
        <v>3470</v>
      </c>
      <c r="AS145" s="3453">
        <v>0</v>
      </c>
      <c r="AT145" s="3453" t="s">
        <v>3767</v>
      </c>
      <c r="AU145" s="3453" t="s">
        <v>3467</v>
      </c>
      <c r="AV145" s="3453" t="s">
        <v>3470</v>
      </c>
      <c r="AW145" s="3453" t="s">
        <v>3467</v>
      </c>
      <c r="AX145" s="3453" t="s">
        <v>3470</v>
      </c>
      <c r="AY145" s="3453" t="s">
        <v>3470</v>
      </c>
      <c r="AZ145" s="3453" t="s">
        <v>3470</v>
      </c>
    </row>
    <row r="146" spans="1:52">
      <c r="A146" s="3453" t="s">
        <v>4632</v>
      </c>
      <c r="B146" s="3453" t="s">
        <v>3457</v>
      </c>
      <c r="C146" s="3453" t="s">
        <v>4633</v>
      </c>
      <c r="D146" s="3453" t="s">
        <v>3459</v>
      </c>
      <c r="E146" s="3453" t="s">
        <v>3655</v>
      </c>
      <c r="F146" s="3453" t="s">
        <v>4634</v>
      </c>
      <c r="G146" s="3453" t="s">
        <v>4635</v>
      </c>
      <c r="H146" s="3453" t="s">
        <v>3463</v>
      </c>
      <c r="I146" s="3453">
        <v>17831.97</v>
      </c>
      <c r="J146" s="3453">
        <v>55141</v>
      </c>
      <c r="K146" s="3453" t="s">
        <v>3796</v>
      </c>
      <c r="L146" s="3453" t="s">
        <v>3464</v>
      </c>
      <c r="M146" s="3453" t="s">
        <v>3465</v>
      </c>
      <c r="N146" s="3453" t="s">
        <v>4062</v>
      </c>
      <c r="O146" s="3453" t="s">
        <v>3467</v>
      </c>
      <c r="P146" s="3453" t="s">
        <v>3470</v>
      </c>
      <c r="Q146" s="3453" t="s">
        <v>4493</v>
      </c>
      <c r="R146" s="3453" t="s">
        <v>4442</v>
      </c>
      <c r="S146" s="3453" t="s">
        <v>3548</v>
      </c>
      <c r="T146" s="3453" t="s">
        <v>3470</v>
      </c>
      <c r="U146" s="3453" t="s">
        <v>3470</v>
      </c>
      <c r="V146" s="3453">
        <v>0</v>
      </c>
      <c r="W146" s="3453">
        <v>0</v>
      </c>
      <c r="X146" s="3453">
        <v>0</v>
      </c>
      <c r="Y146" s="3453">
        <v>0</v>
      </c>
      <c r="Z146" s="3454">
        <v>43936.000497685185</v>
      </c>
      <c r="AA146" s="3454">
        <v>43957.000497685185</v>
      </c>
      <c r="AB146" s="3454">
        <v>43970.000497685185</v>
      </c>
      <c r="AC146" s="3454">
        <v>43970.000497685185</v>
      </c>
      <c r="AD146" s="3453" t="s">
        <v>4636</v>
      </c>
      <c r="AE146" s="3453" t="s">
        <v>3472</v>
      </c>
      <c r="AF146" s="3453" t="s">
        <v>4637</v>
      </c>
      <c r="AG146" s="3453" t="s">
        <v>4453</v>
      </c>
      <c r="AH146" s="3453" t="s">
        <v>3530</v>
      </c>
      <c r="AI146" s="3453">
        <v>295600</v>
      </c>
      <c r="AJ146" s="3453">
        <v>59200</v>
      </c>
      <c r="AK146" s="3453" t="s">
        <v>4638</v>
      </c>
      <c r="AL146" s="3453">
        <v>420000</v>
      </c>
      <c r="AM146" s="3453">
        <v>11051.31</v>
      </c>
      <c r="AN146" s="3453">
        <v>15702.13</v>
      </c>
      <c r="AO146" s="3453">
        <v>53608</v>
      </c>
      <c r="AP146" s="3453">
        <v>76168</v>
      </c>
      <c r="AQ146" s="3453" t="s">
        <v>3470</v>
      </c>
      <c r="AR146" s="3453" t="s">
        <v>3470</v>
      </c>
      <c r="AS146" s="3453">
        <v>42.08</v>
      </c>
      <c r="AT146" s="3453" t="s">
        <v>3767</v>
      </c>
      <c r="AU146" s="3453" t="s">
        <v>3467</v>
      </c>
      <c r="AV146" s="3453" t="s">
        <v>3470</v>
      </c>
      <c r="AW146" s="3453" t="s">
        <v>3467</v>
      </c>
      <c r="AX146" s="3453" t="s">
        <v>3470</v>
      </c>
      <c r="AY146" s="3453" t="s">
        <v>3470</v>
      </c>
      <c r="AZ146" s="3453" t="s">
        <v>3470</v>
      </c>
    </row>
    <row r="147" spans="1:52">
      <c r="A147" s="3453" t="s">
        <v>4639</v>
      </c>
      <c r="B147" s="3453" t="s">
        <v>3457</v>
      </c>
      <c r="C147" s="3453" t="s">
        <v>4640</v>
      </c>
      <c r="D147" s="3453" t="s">
        <v>3459</v>
      </c>
      <c r="E147" s="3453" t="s">
        <v>3655</v>
      </c>
      <c r="F147" s="3453" t="s">
        <v>4634</v>
      </c>
      <c r="G147" s="3453" t="s">
        <v>4635</v>
      </c>
      <c r="H147" s="3453" t="s">
        <v>3463</v>
      </c>
      <c r="I147" s="3453">
        <v>29750.73</v>
      </c>
      <c r="J147" s="3453">
        <v>88484</v>
      </c>
      <c r="K147" s="3453" t="s">
        <v>3796</v>
      </c>
      <c r="L147" s="3453" t="s">
        <v>3464</v>
      </c>
      <c r="M147" s="3453" t="s">
        <v>3465</v>
      </c>
      <c r="N147" s="3453" t="s">
        <v>4062</v>
      </c>
      <c r="O147" s="3453" t="s">
        <v>3467</v>
      </c>
      <c r="P147" s="3453" t="s">
        <v>3470</v>
      </c>
      <c r="Q147" s="3453" t="s">
        <v>4493</v>
      </c>
      <c r="R147" s="3453" t="s">
        <v>4442</v>
      </c>
      <c r="S147" s="3453" t="s">
        <v>3548</v>
      </c>
      <c r="T147" s="3453" t="s">
        <v>3470</v>
      </c>
      <c r="U147" s="3453" t="s">
        <v>3470</v>
      </c>
      <c r="V147" s="3453">
        <v>0</v>
      </c>
      <c r="W147" s="3453">
        <v>0</v>
      </c>
      <c r="X147" s="3453">
        <v>0</v>
      </c>
      <c r="Y147" s="3453">
        <v>0</v>
      </c>
      <c r="Z147" s="3454">
        <v>43936.000497685185</v>
      </c>
      <c r="AA147" s="3454">
        <v>43957.000497685185</v>
      </c>
      <c r="AB147" s="3454">
        <v>43970.000497685185</v>
      </c>
      <c r="AC147" s="3454">
        <v>43970.000497685185</v>
      </c>
      <c r="AD147" s="3453" t="s">
        <v>4641</v>
      </c>
      <c r="AE147" s="3453" t="s">
        <v>3472</v>
      </c>
      <c r="AF147" s="3453" t="s">
        <v>4642</v>
      </c>
      <c r="AG147" s="3453" t="s">
        <v>4453</v>
      </c>
      <c r="AH147" s="3453" t="s">
        <v>3530</v>
      </c>
      <c r="AI147" s="3453">
        <v>474400</v>
      </c>
      <c r="AJ147" s="3453">
        <v>95000</v>
      </c>
      <c r="AK147" s="3453" t="s">
        <v>4638</v>
      </c>
      <c r="AL147" s="3453">
        <v>654000</v>
      </c>
      <c r="AM147" s="3453">
        <v>10630.55</v>
      </c>
      <c r="AN147" s="3453">
        <v>14655.1</v>
      </c>
      <c r="AO147" s="3453">
        <v>53614</v>
      </c>
      <c r="AP147" s="3453">
        <v>73912</v>
      </c>
      <c r="AQ147" s="3453" t="s">
        <v>3470</v>
      </c>
      <c r="AR147" s="3453" t="s">
        <v>3470</v>
      </c>
      <c r="AS147" s="3453">
        <v>37.86</v>
      </c>
      <c r="AT147" s="3453" t="s">
        <v>3767</v>
      </c>
      <c r="AU147" s="3453" t="s">
        <v>3467</v>
      </c>
      <c r="AV147" s="3453" t="s">
        <v>3470</v>
      </c>
      <c r="AW147" s="3453" t="s">
        <v>3467</v>
      </c>
      <c r="AX147" s="3453" t="s">
        <v>3470</v>
      </c>
      <c r="AY147" s="3453" t="s">
        <v>3470</v>
      </c>
      <c r="AZ147" s="3453" t="s">
        <v>3470</v>
      </c>
    </row>
    <row r="148" spans="1:52" hidden="1">
      <c r="A148" s="3453" t="s">
        <v>4643</v>
      </c>
      <c r="B148" s="3453" t="s">
        <v>3457</v>
      </c>
      <c r="C148" s="3453" t="s">
        <v>4644</v>
      </c>
      <c r="D148" s="3453" t="s">
        <v>3459</v>
      </c>
      <c r="E148" s="3453" t="s">
        <v>3497</v>
      </c>
      <c r="F148" s="3453" t="s">
        <v>3498</v>
      </c>
      <c r="G148" s="3453" t="s">
        <v>3880</v>
      </c>
      <c r="H148" s="3453" t="s">
        <v>3463</v>
      </c>
      <c r="I148" s="3453">
        <v>87651.29</v>
      </c>
      <c r="J148" s="3453">
        <v>140242</v>
      </c>
      <c r="K148" s="3453" t="s">
        <v>4253</v>
      </c>
      <c r="L148" s="3453" t="s">
        <v>3464</v>
      </c>
      <c r="M148" s="3453" t="s">
        <v>3465</v>
      </c>
      <c r="N148" s="3453" t="s">
        <v>4062</v>
      </c>
      <c r="O148" s="3453" t="s">
        <v>3467</v>
      </c>
      <c r="P148" s="3453" t="s">
        <v>4207</v>
      </c>
      <c r="Q148" s="3453" t="s">
        <v>4322</v>
      </c>
      <c r="R148" s="3453" t="s">
        <v>4499</v>
      </c>
      <c r="S148" s="3453" t="s">
        <v>3501</v>
      </c>
      <c r="T148" s="3453" t="s">
        <v>4176</v>
      </c>
      <c r="U148" s="3453" t="s">
        <v>3470</v>
      </c>
      <c r="V148" s="3453">
        <v>0</v>
      </c>
      <c r="W148" s="3453">
        <v>0</v>
      </c>
      <c r="X148" s="3453">
        <v>31882</v>
      </c>
      <c r="Y148" s="3453">
        <v>31882</v>
      </c>
      <c r="Z148" s="3454">
        <v>43934.000497685185</v>
      </c>
      <c r="AA148" s="3454">
        <v>43957.000497685185</v>
      </c>
      <c r="AB148" s="3454">
        <v>43970.000497685185</v>
      </c>
      <c r="AC148" s="3454">
        <v>43970.000497685185</v>
      </c>
      <c r="AD148" s="3453" t="s">
        <v>4645</v>
      </c>
      <c r="AE148" s="3453" t="s">
        <v>3472</v>
      </c>
      <c r="AF148" s="3453" t="s">
        <v>4646</v>
      </c>
      <c r="AG148" s="3453" t="s">
        <v>3504</v>
      </c>
      <c r="AH148" s="3453" t="s">
        <v>3475</v>
      </c>
      <c r="AI148" s="3453">
        <v>201600</v>
      </c>
      <c r="AJ148" s="3453">
        <v>41000</v>
      </c>
      <c r="AK148" s="3453" t="s">
        <v>4638</v>
      </c>
      <c r="AL148" s="3453">
        <v>265000</v>
      </c>
      <c r="AM148" s="3453">
        <v>1533.35</v>
      </c>
      <c r="AN148" s="3453">
        <v>2015.56</v>
      </c>
      <c r="AO148" s="3453">
        <v>14375</v>
      </c>
      <c r="AP148" s="3453">
        <v>18896</v>
      </c>
      <c r="AQ148" s="3453" t="s">
        <v>3470</v>
      </c>
      <c r="AR148" s="3453" t="s">
        <v>3470</v>
      </c>
      <c r="AS148" s="3453">
        <v>31.45</v>
      </c>
      <c r="AT148" s="3453" t="s">
        <v>3767</v>
      </c>
      <c r="AU148" s="3453" t="s">
        <v>3467</v>
      </c>
      <c r="AV148" s="3453" t="s">
        <v>3470</v>
      </c>
      <c r="AW148" s="3453">
        <v>28000</v>
      </c>
      <c r="AX148" s="3453" t="s">
        <v>3470</v>
      </c>
      <c r="AY148" s="3453" t="s">
        <v>3470</v>
      </c>
      <c r="AZ148" s="3453">
        <v>13625</v>
      </c>
    </row>
    <row r="149" spans="1:52" hidden="1">
      <c r="A149" s="3453" t="s">
        <v>4647</v>
      </c>
      <c r="B149" s="3453" t="s">
        <v>3457</v>
      </c>
      <c r="C149" s="3453" t="s">
        <v>4648</v>
      </c>
      <c r="D149" s="3453" t="s">
        <v>3459</v>
      </c>
      <c r="E149" s="3453" t="s">
        <v>3802</v>
      </c>
      <c r="F149" s="3453" t="s">
        <v>3803</v>
      </c>
      <c r="G149" s="3453" t="s">
        <v>4649</v>
      </c>
      <c r="H149" s="3453" t="s">
        <v>3484</v>
      </c>
      <c r="I149" s="3453">
        <v>35468.480000000003</v>
      </c>
      <c r="J149" s="3453">
        <v>51985.91</v>
      </c>
      <c r="K149" s="3453" t="s">
        <v>4650</v>
      </c>
      <c r="L149" s="3453" t="s">
        <v>4173</v>
      </c>
      <c r="M149" s="3453" t="s">
        <v>3612</v>
      </c>
      <c r="N149" s="3453" t="s">
        <v>4062</v>
      </c>
      <c r="O149" s="3453" t="s">
        <v>3467</v>
      </c>
      <c r="P149" s="3453" t="s">
        <v>3470</v>
      </c>
      <c r="Q149" s="3453" t="s">
        <v>3470</v>
      </c>
      <c r="R149" s="3453" t="s">
        <v>3470</v>
      </c>
      <c r="S149" s="3453" t="s">
        <v>3470</v>
      </c>
      <c r="T149" s="3453" t="s">
        <v>3470</v>
      </c>
      <c r="U149" s="3453" t="s">
        <v>4651</v>
      </c>
      <c r="V149" s="3453">
        <v>47909.61</v>
      </c>
      <c r="W149" s="3453">
        <v>47909.61</v>
      </c>
      <c r="X149" s="3453">
        <v>0</v>
      </c>
      <c r="Y149" s="3453">
        <v>0</v>
      </c>
      <c r="Z149" s="3454">
        <v>43921.000497685185</v>
      </c>
      <c r="AA149" s="3454">
        <v>43941.000497685185</v>
      </c>
      <c r="AB149" s="3454">
        <v>43941.000497685185</v>
      </c>
      <c r="AC149" s="3454">
        <v>43941.000497685185</v>
      </c>
      <c r="AD149" s="3453" t="s">
        <v>4652</v>
      </c>
      <c r="AE149" s="3453" t="s">
        <v>3472</v>
      </c>
      <c r="AF149" s="3453" t="s">
        <v>4653</v>
      </c>
      <c r="AG149" s="3453" t="s">
        <v>3470</v>
      </c>
      <c r="AH149" s="3453" t="s">
        <v>3470</v>
      </c>
      <c r="AI149" s="3453" t="s">
        <v>3470</v>
      </c>
      <c r="AJ149" s="3453">
        <v>500</v>
      </c>
      <c r="AK149" s="3453" t="s">
        <v>4654</v>
      </c>
      <c r="AL149" s="3453" t="s">
        <v>3470</v>
      </c>
      <c r="AM149" s="3453" t="s">
        <v>3470</v>
      </c>
      <c r="AN149" s="3453" t="s">
        <v>3470</v>
      </c>
      <c r="AO149" s="3453" t="s">
        <v>3470</v>
      </c>
      <c r="AP149" s="3453" t="s">
        <v>3470</v>
      </c>
      <c r="AQ149" s="3453" t="s">
        <v>3470</v>
      </c>
      <c r="AR149" s="3453" t="s">
        <v>3470</v>
      </c>
      <c r="AS149" s="3453">
        <v>0</v>
      </c>
      <c r="AT149" s="3453" t="s">
        <v>4655</v>
      </c>
      <c r="AU149" s="3453" t="s">
        <v>3467</v>
      </c>
      <c r="AV149" s="3453" t="s">
        <v>3470</v>
      </c>
      <c r="AW149" s="3453" t="s">
        <v>3467</v>
      </c>
      <c r="AX149" s="3453" t="s">
        <v>3470</v>
      </c>
      <c r="AY149" s="3453" t="s">
        <v>3470</v>
      </c>
      <c r="AZ149" s="3453" t="s">
        <v>3470</v>
      </c>
    </row>
    <row r="150" spans="1:52" hidden="1">
      <c r="A150" s="3453" t="s">
        <v>4656</v>
      </c>
      <c r="B150" s="3453" t="s">
        <v>3457</v>
      </c>
      <c r="C150" s="3453" t="s">
        <v>4657</v>
      </c>
      <c r="D150" s="3453" t="s">
        <v>3459</v>
      </c>
      <c r="E150" s="3453" t="s">
        <v>3460</v>
      </c>
      <c r="F150" s="3453" t="s">
        <v>3565</v>
      </c>
      <c r="G150" s="3453" t="s">
        <v>4327</v>
      </c>
      <c r="H150" s="3453" t="s">
        <v>3484</v>
      </c>
      <c r="I150" s="3453">
        <v>20188.580000000002</v>
      </c>
      <c r="J150" s="3453">
        <v>48528</v>
      </c>
      <c r="K150" s="3453" t="s">
        <v>4658</v>
      </c>
      <c r="L150" s="3453" t="s">
        <v>3464</v>
      </c>
      <c r="M150" s="3453" t="s">
        <v>3612</v>
      </c>
      <c r="N150" s="3453" t="s">
        <v>4062</v>
      </c>
      <c r="O150" s="3453" t="s">
        <v>3467</v>
      </c>
      <c r="P150" s="3453" t="s">
        <v>4207</v>
      </c>
      <c r="Q150" s="3453" t="s">
        <v>4659</v>
      </c>
      <c r="R150" s="3453" t="s">
        <v>4660</v>
      </c>
      <c r="S150" s="3453" t="s">
        <v>3837</v>
      </c>
      <c r="T150" s="3453" t="s">
        <v>3470</v>
      </c>
      <c r="U150" s="3453" t="s">
        <v>3470</v>
      </c>
      <c r="V150" s="3453">
        <v>0</v>
      </c>
      <c r="W150" s="3453">
        <v>0</v>
      </c>
      <c r="X150" s="3453">
        <v>0</v>
      </c>
      <c r="Y150" s="3453">
        <v>0</v>
      </c>
      <c r="Z150" s="3454">
        <v>43920.000497685185</v>
      </c>
      <c r="AA150" s="3454">
        <v>43950.000497685185</v>
      </c>
      <c r="AB150" s="3454">
        <v>43966.000497685185</v>
      </c>
      <c r="AC150" s="3454">
        <v>43966.000497685185</v>
      </c>
      <c r="AD150" s="3453" t="s">
        <v>4661</v>
      </c>
      <c r="AE150" s="3453" t="s">
        <v>3472</v>
      </c>
      <c r="AF150" s="3453" t="s">
        <v>4662</v>
      </c>
      <c r="AG150" s="3453" t="s">
        <v>4663</v>
      </c>
      <c r="AH150" s="3453" t="s">
        <v>4664</v>
      </c>
      <c r="AI150" s="3453">
        <v>205500</v>
      </c>
      <c r="AJ150" s="3453">
        <v>41100</v>
      </c>
      <c r="AK150" s="3453" t="s">
        <v>4665</v>
      </c>
      <c r="AL150" s="3453">
        <v>205500</v>
      </c>
      <c r="AM150" s="3453">
        <v>6786.01</v>
      </c>
      <c r="AN150" s="3453">
        <v>6786.01</v>
      </c>
      <c r="AO150" s="3453">
        <v>42347</v>
      </c>
      <c r="AP150" s="3453">
        <v>42347</v>
      </c>
      <c r="AQ150" s="3453" t="s">
        <v>3470</v>
      </c>
      <c r="AR150" s="3453" t="s">
        <v>3470</v>
      </c>
      <c r="AS150" s="3453">
        <v>0</v>
      </c>
      <c r="AT150" s="3453" t="s">
        <v>4112</v>
      </c>
      <c r="AU150" s="3453" t="s">
        <v>3467</v>
      </c>
      <c r="AV150" s="3453" t="s">
        <v>3470</v>
      </c>
      <c r="AW150" s="3453">
        <v>69422</v>
      </c>
      <c r="AX150" s="3453" t="s">
        <v>3470</v>
      </c>
      <c r="AY150" s="3453" t="s">
        <v>3470</v>
      </c>
      <c r="AZ150" s="3453">
        <v>27075</v>
      </c>
    </row>
    <row r="151" spans="1:52" hidden="1">
      <c r="A151" s="3453" t="s">
        <v>4666</v>
      </c>
      <c r="B151" s="3453" t="s">
        <v>3457</v>
      </c>
      <c r="C151" s="3453" t="s">
        <v>4667</v>
      </c>
      <c r="D151" s="3453" t="s">
        <v>3459</v>
      </c>
      <c r="E151" s="3453" t="s">
        <v>3519</v>
      </c>
      <c r="F151" s="3453" t="s">
        <v>4668</v>
      </c>
      <c r="G151" s="3453" t="s">
        <v>4669</v>
      </c>
      <c r="H151" s="3453" t="s">
        <v>3484</v>
      </c>
      <c r="I151" s="3453">
        <v>76997.05</v>
      </c>
      <c r="J151" s="3453">
        <v>79371.899999999994</v>
      </c>
      <c r="K151" s="3453" t="s">
        <v>4670</v>
      </c>
      <c r="L151" s="3453" t="s">
        <v>3464</v>
      </c>
      <c r="M151" s="3453" t="s">
        <v>4671</v>
      </c>
      <c r="N151" s="3453" t="s">
        <v>4062</v>
      </c>
      <c r="O151" s="3453" t="s">
        <v>3467</v>
      </c>
      <c r="P151" s="3453" t="s">
        <v>4207</v>
      </c>
      <c r="Q151" s="3453" t="s">
        <v>4672</v>
      </c>
      <c r="R151" s="3453" t="s">
        <v>4442</v>
      </c>
      <c r="S151" s="3453" t="s">
        <v>3548</v>
      </c>
      <c r="T151" s="3453" t="s">
        <v>3470</v>
      </c>
      <c r="U151" s="3453" t="s">
        <v>3470</v>
      </c>
      <c r="V151" s="3453">
        <v>0</v>
      </c>
      <c r="W151" s="3453">
        <v>0</v>
      </c>
      <c r="X151" s="3453">
        <v>0</v>
      </c>
      <c r="Y151" s="3453">
        <v>0</v>
      </c>
      <c r="Z151" s="3454">
        <v>43920.000497685185</v>
      </c>
      <c r="AA151" s="3454">
        <v>43950.000497685185</v>
      </c>
      <c r="AB151" s="3454">
        <v>43966.000497685185</v>
      </c>
      <c r="AC151" s="3454">
        <v>43966.000497685185</v>
      </c>
      <c r="AD151" s="3453" t="s">
        <v>4673</v>
      </c>
      <c r="AE151" s="3453" t="s">
        <v>3472</v>
      </c>
      <c r="AF151" s="3453" t="s">
        <v>4674</v>
      </c>
      <c r="AG151" s="3453" t="s">
        <v>4562</v>
      </c>
      <c r="AH151" s="3453" t="s">
        <v>3530</v>
      </c>
      <c r="AI151" s="3453">
        <v>98500</v>
      </c>
      <c r="AJ151" s="3453">
        <v>19800</v>
      </c>
      <c r="AK151" s="3453" t="s">
        <v>4665</v>
      </c>
      <c r="AL151" s="3453">
        <v>130000</v>
      </c>
      <c r="AM151" s="3453">
        <v>852.85</v>
      </c>
      <c r="AN151" s="3453">
        <v>1125.58</v>
      </c>
      <c r="AO151" s="3453">
        <v>12410</v>
      </c>
      <c r="AP151" s="3453">
        <v>16379</v>
      </c>
      <c r="AQ151" s="3453" t="s">
        <v>3470</v>
      </c>
      <c r="AR151" s="3453" t="s">
        <v>3470</v>
      </c>
      <c r="AS151" s="3453">
        <v>31.98</v>
      </c>
      <c r="AT151" s="3453" t="s">
        <v>4112</v>
      </c>
      <c r="AU151" s="3453" t="s">
        <v>3467</v>
      </c>
      <c r="AV151" s="3453" t="s">
        <v>3470</v>
      </c>
      <c r="AW151" s="3453" t="s">
        <v>3467</v>
      </c>
      <c r="AX151" s="3453" t="s">
        <v>3470</v>
      </c>
      <c r="AY151" s="3453" t="s">
        <v>3470</v>
      </c>
      <c r="AZ151" s="3453" t="s">
        <v>3470</v>
      </c>
    </row>
    <row r="152" spans="1:52">
      <c r="A152" s="3453"/>
      <c r="B152" s="3453"/>
      <c r="C152" s="3453"/>
      <c r="D152" s="3453"/>
      <c r="E152" s="3453"/>
      <c r="F152" s="3453"/>
      <c r="G152" s="3453"/>
      <c r="H152" s="3453"/>
      <c r="I152" s="3453"/>
      <c r="J152" s="3453"/>
      <c r="K152" s="3453"/>
      <c r="L152" s="3453"/>
      <c r="M152" s="3453"/>
      <c r="N152" s="3453"/>
      <c r="O152" s="3453"/>
      <c r="P152" s="3453"/>
      <c r="Q152" s="3453"/>
      <c r="R152" s="3453"/>
      <c r="S152" s="3453"/>
      <c r="T152" s="3453"/>
      <c r="U152" s="3453"/>
      <c r="V152" s="3453"/>
      <c r="W152" s="3453"/>
      <c r="X152" s="3453"/>
      <c r="Y152" s="3453"/>
      <c r="Z152" s="3453"/>
      <c r="AA152" s="3453"/>
      <c r="AB152" s="3453"/>
      <c r="AC152" s="3453"/>
      <c r="AD152" s="3453"/>
      <c r="AE152" s="3453"/>
      <c r="AF152" s="3453"/>
      <c r="AG152" s="3453"/>
      <c r="AH152" s="3453"/>
      <c r="AI152" s="3453"/>
      <c r="AJ152" s="3453"/>
      <c r="AK152" s="3453"/>
      <c r="AL152" s="3453"/>
      <c r="AM152" s="3453"/>
      <c r="AN152" s="3453"/>
      <c r="AO152" s="3453"/>
      <c r="AP152" s="3453"/>
      <c r="AQ152" s="3453"/>
      <c r="AR152" s="3453"/>
      <c r="AS152" s="3453"/>
      <c r="AT152" s="3453"/>
      <c r="AU152" s="3453"/>
      <c r="AV152" s="3453"/>
      <c r="AW152" s="3453"/>
      <c r="AX152" s="3453"/>
      <c r="AY152" s="3453"/>
      <c r="AZ152" s="3453"/>
    </row>
  </sheetData>
  <autoFilter ref="A1:BA151">
    <filterColumn colId="4">
      <filters>
        <filter val="丰台区"/>
      </filters>
    </filterColumn>
  </autoFilter>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房地产</v>
      </c>
      <c r="B4" s="854">
        <f>项目基本情况!C17</f>
        <v>62411.33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t="e">
        <f ca="1">结果表!D122</f>
        <v>#REF!</v>
      </c>
      <c r="E8" s="3479"/>
      <c r="F8" s="3479"/>
      <c r="G8" s="3479"/>
      <c r="H8" s="3479"/>
      <c r="I8" s="3479"/>
    </row>
    <row r="9" spans="1:9" ht="15">
      <c r="A9" s="3478" t="s">
        <v>927</v>
      </c>
      <c r="B9" s="3478"/>
      <c r="C9" s="3478"/>
      <c r="D9" s="3478" t="e">
        <f ca="1">结果表!D123</f>
        <v>#REF!</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8" t="str">
        <f>IF(项目基本情况!B8="抵押","3.抵押双方在办理抵押登记手续时，应使用本公司出具的正式《房地产评估报告》，特提醒报告使用者注意。","——")</f>
        <v>——</v>
      </c>
      <c r="B13" s="3489"/>
      <c r="C13" s="3489"/>
      <c r="D13" s="3489"/>
    </row>
    <row r="14" spans="1:4" ht="15.75" customHeight="1">
      <c r="A14" s="3488" t="str">
        <f>IF(项目基本情况!B8="抵押","4.本次评估估价师所知悉的法定优先受偿款情况说明如下：","——")</f>
        <v>——</v>
      </c>
      <c r="B14" s="3489"/>
      <c r="C14" s="3489"/>
      <c r="D14" s="3489"/>
    </row>
    <row r="15" spans="1:4" ht="42" customHeight="1">
      <c r="A15" s="3488" t="str">
        <f>IF(项目基本情况!B8="抵押","（1）"&amp;CONCATENATE(项目基本情况!L20,项目基本情况!L21,项目基本情况!L22),"——")</f>
        <v>——</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2023-03-17T05:47:20Z</dcterms:modified>
</cp:coreProperties>
</file>