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比较法-办公租金" sheetId="8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Sheet1" sheetId="80" r:id="rId47"/>
    <sheet name="案例" sheetId="81" r:id="rId48"/>
  </sheets>
  <externalReferences>
    <externalReference r:id="rId49"/>
  </externalReferences>
  <definedNames>
    <definedName name="_xlnm._FilterDatabase" localSheetId="23" hidden="1">'比较法-办公'!$A$1:$L$50</definedName>
    <definedName name="_xlnm._FilterDatabase" localSheetId="25"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5">'比较法-办公租金'!$A$1:$K$55,'比较法-办公租金'!$A$58:$M$132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A6" i="1" l="1"/>
  <c r="G1" i="67"/>
  <c r="R48" i="83"/>
  <c r="D3" i="4"/>
  <c r="B2" i="1"/>
  <c r="C7" i="83"/>
  <c r="E7" i="83"/>
  <c r="C59" i="83"/>
  <c r="D59" i="83"/>
  <c r="E59" i="83"/>
  <c r="F59" i="83"/>
  <c r="G59" i="83"/>
  <c r="H59" i="83"/>
  <c r="I59" i="83"/>
  <c r="J59" i="83"/>
  <c r="K59" i="83"/>
  <c r="L59" i="83"/>
  <c r="M59" i="83"/>
  <c r="N59" i="83"/>
  <c r="O59" i="83"/>
  <c r="F7" i="83"/>
  <c r="AA7" i="83"/>
  <c r="F8" i="83"/>
  <c r="AA8" i="83"/>
  <c r="C64" i="83"/>
  <c r="F9" i="83"/>
  <c r="AA9" i="83"/>
  <c r="F10" i="83"/>
  <c r="AA10" i="83"/>
  <c r="F11" i="83"/>
  <c r="AA11" i="83"/>
  <c r="B71" i="83"/>
  <c r="F12" i="83"/>
  <c r="AA12" i="83"/>
  <c r="B73" i="83"/>
  <c r="F13" i="83"/>
  <c r="AA13" i="83"/>
  <c r="B75" i="83"/>
  <c r="F14" i="83"/>
  <c r="AA14" i="83"/>
  <c r="D78" i="83"/>
  <c r="E78" i="83"/>
  <c r="F15" i="83"/>
  <c r="AA15" i="83"/>
  <c r="D80" i="83"/>
  <c r="E80" i="83"/>
  <c r="F17" i="83"/>
  <c r="AA17" i="83"/>
  <c r="D82" i="83"/>
  <c r="E82" i="83"/>
  <c r="F19" i="83"/>
  <c r="AA19" i="83"/>
  <c r="F21" i="83"/>
  <c r="AA21" i="83"/>
  <c r="D86" i="83"/>
  <c r="E86" i="83"/>
  <c r="F23" i="83"/>
  <c r="AA23" i="83"/>
  <c r="F25" i="83"/>
  <c r="AA25" i="83"/>
  <c r="B89" i="83"/>
  <c r="D90" i="83"/>
  <c r="E90" i="83"/>
  <c r="F27" i="83"/>
  <c r="AA27" i="83"/>
  <c r="B91" i="83"/>
  <c r="F28" i="83"/>
  <c r="AA28" i="83"/>
  <c r="B93" i="83"/>
  <c r="F29" i="83"/>
  <c r="AA29" i="83"/>
  <c r="B95" i="83"/>
  <c r="F30" i="83"/>
  <c r="AA30" i="83"/>
  <c r="B97" i="83"/>
  <c r="F31" i="83"/>
  <c r="AA31" i="83"/>
  <c r="B99" i="83"/>
  <c r="F32" i="83"/>
  <c r="AA32" i="83"/>
  <c r="F33" i="83"/>
  <c r="AA33" i="8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4" i="83"/>
  <c r="F34" i="83"/>
  <c r="AA34" i="83"/>
  <c r="F35" i="83"/>
  <c r="AA35" i="83"/>
  <c r="F36" i="83"/>
  <c r="AA36" i="83"/>
  <c r="D112" i="83"/>
  <c r="E112" i="83"/>
  <c r="F112" i="83"/>
  <c r="N6" i="1"/>
  <c r="C37" i="83"/>
  <c r="F37" i="83"/>
  <c r="AA37" i="83"/>
  <c r="F38" i="83"/>
  <c r="AA38" i="83"/>
  <c r="F39" i="83"/>
  <c r="AA39" i="83"/>
  <c r="F40" i="83"/>
  <c r="AA40" i="83"/>
  <c r="F41" i="83"/>
  <c r="AA41" i="83"/>
  <c r="F42" i="83"/>
  <c r="AA42" i="83"/>
  <c r="F43" i="83"/>
  <c r="AA43" i="83"/>
  <c r="D126" i="83"/>
  <c r="F44" i="83"/>
  <c r="AA44" i="83"/>
  <c r="B127" i="83"/>
  <c r="F45" i="83"/>
  <c r="AA45" i="83"/>
  <c r="B129" i="83"/>
  <c r="F46" i="83"/>
  <c r="AA46" i="83"/>
  <c r="B131" i="83"/>
  <c r="F47" i="83"/>
  <c r="AA47" i="83"/>
  <c r="R49" i="83"/>
  <c r="T48" i="83"/>
  <c r="G7" i="83"/>
  <c r="H7" i="83"/>
  <c r="AB7" i="83"/>
  <c r="H8" i="83"/>
  <c r="AB8" i="83"/>
  <c r="H9" i="83"/>
  <c r="AB9" i="83"/>
  <c r="H10" i="83"/>
  <c r="AB10" i="83"/>
  <c r="H11" i="83"/>
  <c r="AB11" i="83"/>
  <c r="H12" i="83"/>
  <c r="AB12" i="83"/>
  <c r="H13" i="83"/>
  <c r="AB13" i="83"/>
  <c r="H14" i="83"/>
  <c r="AB14" i="83"/>
  <c r="H15" i="83"/>
  <c r="AB15" i="83"/>
  <c r="H17" i="83"/>
  <c r="AB17" i="83"/>
  <c r="H19" i="83"/>
  <c r="AB19" i="83"/>
  <c r="H21" i="83"/>
  <c r="AB21" i="83"/>
  <c r="H23" i="83"/>
  <c r="AB23" i="83"/>
  <c r="H25" i="83"/>
  <c r="AB25" i="83"/>
  <c r="H27" i="83"/>
  <c r="AB27" i="83"/>
  <c r="H28" i="83"/>
  <c r="AB28" i="83"/>
  <c r="H29" i="83"/>
  <c r="AB29" i="83"/>
  <c r="H30" i="83"/>
  <c r="AB30" i="83"/>
  <c r="H31" i="83"/>
  <c r="AB31" i="83"/>
  <c r="H32" i="83"/>
  <c r="AB32" i="83"/>
  <c r="H33" i="83"/>
  <c r="AB33" i="83"/>
  <c r="H34" i="83"/>
  <c r="AB34" i="83"/>
  <c r="H35" i="83"/>
  <c r="AB35" i="83"/>
  <c r="H36" i="83"/>
  <c r="AB36" i="83"/>
  <c r="H37" i="83"/>
  <c r="AB37" i="83"/>
  <c r="H38" i="83"/>
  <c r="AB38" i="83"/>
  <c r="H39" i="83"/>
  <c r="AB39" i="83"/>
  <c r="H40" i="83"/>
  <c r="AB40" i="83"/>
  <c r="H41" i="83"/>
  <c r="AB41" i="83"/>
  <c r="H42" i="83"/>
  <c r="AB42" i="83"/>
  <c r="H43" i="83"/>
  <c r="AB43" i="83"/>
  <c r="H44" i="83"/>
  <c r="AB44" i="83"/>
  <c r="H45" i="83"/>
  <c r="AB45" i="83"/>
  <c r="H46" i="83"/>
  <c r="AB46" i="83"/>
  <c r="H47" i="83"/>
  <c r="AB47" i="83"/>
  <c r="T49" i="83"/>
  <c r="V48" i="83"/>
  <c r="I7" i="83"/>
  <c r="J7" i="83"/>
  <c r="AC7" i="83"/>
  <c r="J8" i="83"/>
  <c r="AC8" i="83"/>
  <c r="J9" i="83"/>
  <c r="AC9" i="83"/>
  <c r="J10" i="83"/>
  <c r="AC10" i="83"/>
  <c r="J11" i="83"/>
  <c r="AC11" i="83"/>
  <c r="J12" i="83"/>
  <c r="AC12" i="83"/>
  <c r="J13" i="83"/>
  <c r="AC13" i="83"/>
  <c r="J14" i="83"/>
  <c r="AC14" i="83"/>
  <c r="J15" i="83"/>
  <c r="AC15" i="83"/>
  <c r="J17" i="83"/>
  <c r="AC17" i="83"/>
  <c r="J19" i="83"/>
  <c r="AC19" i="83"/>
  <c r="J21" i="83"/>
  <c r="AC21" i="83"/>
  <c r="J23" i="83"/>
  <c r="AC23" i="83"/>
  <c r="J25" i="83"/>
  <c r="AC25" i="83"/>
  <c r="J27" i="83"/>
  <c r="AC27" i="83"/>
  <c r="J28" i="83"/>
  <c r="AC28" i="83"/>
  <c r="J29" i="83"/>
  <c r="AC29" i="83"/>
  <c r="J30" i="83"/>
  <c r="AC30" i="83"/>
  <c r="J31" i="83"/>
  <c r="AC31" i="83"/>
  <c r="J32" i="83"/>
  <c r="AC32" i="83"/>
  <c r="J33" i="83"/>
  <c r="AC33" i="83"/>
  <c r="J34" i="83"/>
  <c r="AC34" i="83"/>
  <c r="J35" i="83"/>
  <c r="AC35" i="83"/>
  <c r="J36" i="83"/>
  <c r="AC36" i="83"/>
  <c r="J37" i="83"/>
  <c r="AC37" i="83"/>
  <c r="J38" i="83"/>
  <c r="AC38" i="83"/>
  <c r="J39" i="83"/>
  <c r="AC39" i="83"/>
  <c r="J40" i="83"/>
  <c r="AC40" i="83"/>
  <c r="J41" i="83"/>
  <c r="AC41" i="83"/>
  <c r="J42" i="83"/>
  <c r="AC42" i="83"/>
  <c r="J43" i="83"/>
  <c r="AC43" i="83"/>
  <c r="J44" i="83"/>
  <c r="AC44" i="83"/>
  <c r="J45" i="83"/>
  <c r="AC45" i="83"/>
  <c r="J46" i="83"/>
  <c r="AC46" i="83"/>
  <c r="J47" i="83"/>
  <c r="AC47" i="83"/>
  <c r="V49" i="83"/>
  <c r="R50" i="83"/>
  <c r="C50" i="83"/>
  <c r="U6" i="1"/>
  <c r="F6" i="67"/>
  <c r="F8" i="67"/>
  <c r="F19" i="6"/>
  <c r="E19" i="6"/>
  <c r="K6" i="1"/>
  <c r="F7" i="67"/>
  <c r="F9" i="67"/>
  <c r="C6" i="67"/>
  <c r="C1" i="73"/>
  <c r="L1" i="73"/>
  <c r="F4" i="73"/>
  <c r="I1" i="73"/>
  <c r="B39" i="1"/>
  <c r="F11" i="67"/>
  <c r="C10" i="67"/>
  <c r="C5" i="67"/>
  <c r="M47" i="67"/>
  <c r="F31" i="67"/>
  <c r="C42" i="1"/>
  <c r="C31" i="67"/>
  <c r="F43" i="67"/>
  <c r="BQ5" i="3"/>
  <c r="BS5" i="3"/>
  <c r="F28" i="6"/>
  <c r="BR5" i="3"/>
  <c r="BT5" i="3"/>
  <c r="G28" i="6"/>
  <c r="E28" i="6"/>
  <c r="E20" i="6"/>
  <c r="E21" i="6"/>
  <c r="E22" i="6"/>
  <c r="E23" i="6"/>
  <c r="E24" i="6"/>
  <c r="E25" i="6"/>
  <c r="E26" i="6"/>
  <c r="BA5" i="3"/>
  <c r="E27" i="6"/>
  <c r="K19" i="6"/>
  <c r="S6" i="1"/>
  <c r="C14" i="67"/>
  <c r="F15" i="67"/>
  <c r="C15" i="67"/>
  <c r="F16" i="67"/>
  <c r="C16" i="67"/>
  <c r="F17" i="67"/>
  <c r="C17" i="67"/>
  <c r="F18" i="67"/>
  <c r="C18" i="67"/>
  <c r="C19" i="67"/>
  <c r="F20" i="67"/>
  <c r="C20" i="67"/>
  <c r="J1" i="73"/>
  <c r="F13" i="73"/>
  <c r="D5" i="73"/>
  <c r="B22" i="1"/>
  <c r="E1" i="73"/>
  <c r="K1" i="73"/>
  <c r="G1" i="73"/>
  <c r="B40" i="1"/>
  <c r="F24" i="67"/>
  <c r="F23" i="67"/>
  <c r="C23" i="67"/>
  <c r="F26" i="67"/>
  <c r="C26" i="67"/>
  <c r="F21" i="67"/>
  <c r="C24" i="67"/>
  <c r="C27" i="67"/>
  <c r="B43" i="1"/>
  <c r="B41" i="1"/>
  <c r="F28" i="67"/>
  <c r="C28" i="67"/>
  <c r="C29" i="67"/>
  <c r="F36" i="67"/>
  <c r="C36" i="67"/>
  <c r="Y6" i="1"/>
  <c r="F13" i="67"/>
  <c r="C13" i="67"/>
  <c r="F37" i="67"/>
  <c r="C37" i="67"/>
  <c r="F38" i="67"/>
  <c r="C38" i="67"/>
  <c r="C30" i="67"/>
  <c r="C39" i="67"/>
  <c r="A7" i="1"/>
  <c r="K7" i="1"/>
  <c r="A8" i="1"/>
  <c r="K8" i="1"/>
  <c r="A9" i="1"/>
  <c r="K9" i="1"/>
  <c r="A10" i="1"/>
  <c r="K10" i="1"/>
  <c r="A11" i="1"/>
  <c r="K11" i="1"/>
  <c r="A12" i="1"/>
  <c r="K12" i="1"/>
  <c r="A13" i="1"/>
  <c r="K13" i="1"/>
  <c r="K14" i="1"/>
  <c r="BM5" i="3"/>
  <c r="BO5" i="3"/>
  <c r="F29" i="6"/>
  <c r="BN5" i="3"/>
  <c r="BP5" i="3"/>
  <c r="G29" i="6"/>
  <c r="E29" i="6"/>
  <c r="K15" i="1"/>
  <c r="K16" i="1"/>
  <c r="W18" i="1"/>
  <c r="D33" i="43"/>
  <c r="E126" i="83"/>
  <c r="F126" i="83"/>
  <c r="G126" i="83"/>
  <c r="D124" i="83"/>
  <c r="E124" i="83"/>
  <c r="D120" i="83"/>
  <c r="E120" i="83"/>
  <c r="F120" i="83"/>
  <c r="G120" i="83"/>
  <c r="H120" i="83"/>
  <c r="I120" i="83"/>
  <c r="J120" i="83"/>
  <c r="K120" i="83"/>
  <c r="L120" i="83"/>
  <c r="M120" i="83"/>
  <c r="D118" i="83"/>
  <c r="E118" i="83"/>
  <c r="F118" i="83"/>
  <c r="G118" i="83"/>
  <c r="D116" i="83"/>
  <c r="E116" i="83"/>
  <c r="F116" i="83"/>
  <c r="G116" i="83"/>
  <c r="H116" i="83"/>
  <c r="I116" i="83"/>
  <c r="J116" i="83"/>
  <c r="K116" i="83"/>
  <c r="L116" i="83"/>
  <c r="M116" i="83"/>
  <c r="D114" i="83"/>
  <c r="E114" i="83"/>
  <c r="F114" i="83"/>
  <c r="G114" i="83"/>
  <c r="H114" i="83"/>
  <c r="I114" i="83"/>
  <c r="J114" i="83"/>
  <c r="K114" i="83"/>
  <c r="L114" i="83"/>
  <c r="M114" i="83"/>
  <c r="G112" i="83"/>
  <c r="H112" i="83"/>
  <c r="I112" i="83"/>
  <c r="J112" i="83"/>
  <c r="K112" i="83"/>
  <c r="L112" i="83"/>
  <c r="M112" i="83"/>
  <c r="G110" i="83"/>
  <c r="F110" i="83"/>
  <c r="E110" i="83"/>
  <c r="D110" i="83"/>
  <c r="C110" i="83"/>
  <c r="D109" i="83"/>
  <c r="E109" i="83"/>
  <c r="F109" i="83"/>
  <c r="G109" i="83"/>
  <c r="H109" i="83"/>
  <c r="I109" i="83"/>
  <c r="J109" i="83"/>
  <c r="K109" i="83"/>
  <c r="L109" i="83"/>
  <c r="M109" i="83"/>
  <c r="D107" i="83"/>
  <c r="E107" i="83"/>
  <c r="F107" i="83"/>
  <c r="G107" i="83"/>
  <c r="H107" i="83"/>
  <c r="I107" i="83"/>
  <c r="J107" i="83"/>
  <c r="K107" i="83"/>
  <c r="L107" i="83"/>
  <c r="M107" i="83"/>
  <c r="M103" i="83"/>
  <c r="L103" i="83"/>
  <c r="K103" i="83"/>
  <c r="J103" i="83"/>
  <c r="I103" i="83"/>
  <c r="H103" i="83"/>
  <c r="G103" i="83"/>
  <c r="F103" i="83"/>
  <c r="E103" i="83"/>
  <c r="D103" i="83"/>
  <c r="C103" i="83"/>
  <c r="D102" i="83"/>
  <c r="E102" i="83"/>
  <c r="F102" i="83"/>
  <c r="G102" i="83"/>
  <c r="H102" i="83"/>
  <c r="I102" i="83"/>
  <c r="J102" i="83"/>
  <c r="K102" i="83"/>
  <c r="L102" i="83"/>
  <c r="M102" i="83"/>
  <c r="D92" i="83"/>
  <c r="E92" i="83"/>
  <c r="F92" i="83"/>
  <c r="G92" i="83"/>
  <c r="H92" i="83"/>
  <c r="I92" i="83"/>
  <c r="J92" i="83"/>
  <c r="K92" i="83"/>
  <c r="L92" i="83"/>
  <c r="M92" i="83"/>
  <c r="F90" i="83"/>
  <c r="G90" i="83"/>
  <c r="H90" i="83"/>
  <c r="I90" i="83"/>
  <c r="J90" i="83"/>
  <c r="K90" i="83"/>
  <c r="L90" i="83"/>
  <c r="M90" i="83"/>
  <c r="D88" i="83"/>
  <c r="E88" i="83"/>
  <c r="F88" i="83"/>
  <c r="G88" i="83"/>
  <c r="H88" i="83"/>
  <c r="I88" i="83"/>
  <c r="J88" i="83"/>
  <c r="K88" i="83"/>
  <c r="L88" i="83"/>
  <c r="M88" i="83"/>
  <c r="D84" i="83"/>
  <c r="E84" i="83"/>
  <c r="F84" i="83"/>
  <c r="G84" i="83"/>
  <c r="D70" i="83"/>
  <c r="E70" i="83"/>
  <c r="F70" i="83"/>
  <c r="G70" i="83"/>
  <c r="H70" i="83"/>
  <c r="I70" i="83"/>
  <c r="J70" i="83"/>
  <c r="K70" i="83"/>
  <c r="L70" i="83"/>
  <c r="M70" i="83"/>
  <c r="M68" i="83"/>
  <c r="L68" i="83"/>
  <c r="K68" i="83"/>
  <c r="J68" i="83"/>
  <c r="I68" i="83"/>
  <c r="H68" i="83"/>
  <c r="G68" i="83"/>
  <c r="F68" i="83"/>
  <c r="E68" i="83"/>
  <c r="D68" i="83"/>
  <c r="C68" i="83"/>
  <c r="D67" i="83"/>
  <c r="E67" i="83"/>
  <c r="F67" i="83"/>
  <c r="G67" i="83"/>
  <c r="I55" i="83"/>
  <c r="J55" i="83"/>
  <c r="G55" i="83"/>
  <c r="H55" i="83"/>
  <c r="E55" i="83"/>
  <c r="F55" i="83"/>
  <c r="P50" i="83"/>
  <c r="P49" i="83"/>
  <c r="K49" i="83"/>
  <c r="P48" i="83"/>
  <c r="Q47" i="83"/>
  <c r="Z47" i="83"/>
  <c r="Q46" i="83"/>
  <c r="Z46" i="83"/>
  <c r="Q45" i="83"/>
  <c r="Z45" i="83"/>
  <c r="Q44" i="83"/>
  <c r="Z44" i="83"/>
  <c r="Q43" i="83"/>
  <c r="Z43" i="83"/>
  <c r="Q42" i="83"/>
  <c r="Z42" i="83"/>
  <c r="Q41" i="83"/>
  <c r="Z41" i="83"/>
  <c r="Q40" i="83"/>
  <c r="Z40" i="83"/>
  <c r="Q39" i="83"/>
  <c r="Z39" i="83"/>
  <c r="Q38" i="83"/>
  <c r="Z38" i="83"/>
  <c r="Q37" i="83"/>
  <c r="Z37" i="83"/>
  <c r="Q36" i="83"/>
  <c r="Z36" i="83"/>
  <c r="Q35" i="83"/>
  <c r="Z35" i="83"/>
  <c r="Q34" i="83"/>
  <c r="Z34" i="83"/>
  <c r="U33" i="83"/>
  <c r="Q33" i="83"/>
  <c r="Z33" i="83"/>
  <c r="W33" i="83"/>
  <c r="Q32" i="83"/>
  <c r="Z32" i="83"/>
  <c r="W32" i="83"/>
  <c r="U32" i="83"/>
  <c r="S32" i="83"/>
  <c r="Q31" i="83"/>
  <c r="Z31" i="83"/>
  <c r="U31" i="83"/>
  <c r="S31" i="83"/>
  <c r="Q30" i="83"/>
  <c r="Z30" i="83"/>
  <c r="W30" i="83"/>
  <c r="S30" i="83"/>
  <c r="Q29" i="83"/>
  <c r="Z29" i="83"/>
  <c r="Q28" i="83"/>
  <c r="Z28" i="83"/>
  <c r="W28" i="83"/>
  <c r="U28" i="83"/>
  <c r="S28" i="83"/>
  <c r="Q27" i="83"/>
  <c r="Z27" i="83"/>
  <c r="Q25" i="83"/>
  <c r="Z25" i="83"/>
  <c r="Q23" i="83"/>
  <c r="Z23" i="83"/>
  <c r="C23" i="83"/>
  <c r="Q21" i="83"/>
  <c r="Z21" i="83"/>
  <c r="C21" i="83"/>
  <c r="Q19" i="83"/>
  <c r="Z19" i="83"/>
  <c r="C19" i="83"/>
  <c r="Q17" i="83"/>
  <c r="Z17" i="83"/>
  <c r="C17" i="83"/>
  <c r="Q15" i="83"/>
  <c r="Z15" i="83"/>
  <c r="C15" i="83"/>
  <c r="Q14" i="83"/>
  <c r="Z14" i="83"/>
  <c r="Q13" i="83"/>
  <c r="Z13" i="83"/>
  <c r="Q12" i="83"/>
  <c r="Z12" i="83"/>
  <c r="Q11" i="83"/>
  <c r="Z11" i="83"/>
  <c r="Q10" i="83"/>
  <c r="Z10" i="83"/>
  <c r="Q9" i="83"/>
  <c r="Z9" i="83"/>
  <c r="U8" i="83"/>
  <c r="S8" i="83"/>
  <c r="D2" i="83"/>
  <c r="F78" i="83"/>
  <c r="G78" i="83"/>
  <c r="F82" i="83"/>
  <c r="G82" i="83"/>
  <c r="F86" i="83"/>
  <c r="G86" i="83"/>
  <c r="F80" i="83"/>
  <c r="G80" i="83"/>
  <c r="W8" i="83"/>
  <c r="W29" i="83"/>
  <c r="W10" i="83"/>
  <c r="U10" i="83"/>
  <c r="S10" i="83"/>
  <c r="U9" i="83"/>
  <c r="S12" i="83"/>
  <c r="U13" i="83"/>
  <c r="W14" i="83"/>
  <c r="W15" i="83"/>
  <c r="W17" i="83"/>
  <c r="W19" i="83"/>
  <c r="W21" i="83"/>
  <c r="W23" i="83"/>
  <c r="S27" i="83"/>
  <c r="U29" i="83"/>
  <c r="W9" i="83"/>
  <c r="S11" i="83"/>
  <c r="U12" i="83"/>
  <c r="W13" i="83"/>
  <c r="S25" i="83"/>
  <c r="U27" i="83"/>
  <c r="S35" i="83"/>
  <c r="U11" i="83"/>
  <c r="W12" i="83"/>
  <c r="S14" i="83"/>
  <c r="S15" i="83"/>
  <c r="S19" i="83"/>
  <c r="S21" i="83"/>
  <c r="S23" i="83"/>
  <c r="U25" i="83"/>
  <c r="W27" i="83"/>
  <c r="F124" i="83"/>
  <c r="G124" i="83"/>
  <c r="H124" i="83"/>
  <c r="I124" i="83"/>
  <c r="J124" i="83"/>
  <c r="K124" i="83"/>
  <c r="L124" i="83"/>
  <c r="M124" i="83"/>
  <c r="S9" i="83"/>
  <c r="W11" i="83"/>
  <c r="S13" i="83"/>
  <c r="U14" i="83"/>
  <c r="U15" i="83"/>
  <c r="U17" i="83"/>
  <c r="U21" i="83"/>
  <c r="U23" i="83"/>
  <c r="W25" i="83"/>
  <c r="S29" i="83"/>
  <c r="U30" i="83"/>
  <c r="W31" i="83"/>
  <c r="S33" i="83"/>
  <c r="S36" i="83"/>
  <c r="U38" i="83"/>
  <c r="W39" i="83"/>
  <c r="S41" i="83"/>
  <c r="U42" i="83"/>
  <c r="S45" i="83"/>
  <c r="U46" i="83"/>
  <c r="W47" i="83"/>
  <c r="U36" i="83"/>
  <c r="W38" i="83"/>
  <c r="S40" i="83"/>
  <c r="U41" i="83"/>
  <c r="W42" i="83"/>
  <c r="S44" i="83"/>
  <c r="U45" i="83"/>
  <c r="W46" i="83"/>
  <c r="U35" i="83"/>
  <c r="W36" i="83"/>
  <c r="S39" i="83"/>
  <c r="U40" i="83"/>
  <c r="W41" i="83"/>
  <c r="U44" i="83"/>
  <c r="W45" i="83"/>
  <c r="S47" i="83"/>
  <c r="W35" i="83"/>
  <c r="S38" i="83"/>
  <c r="U39" i="83"/>
  <c r="W40" i="83"/>
  <c r="S42" i="83"/>
  <c r="W44" i="83"/>
  <c r="S46" i="83"/>
  <c r="U47" i="83"/>
  <c r="U19" i="83"/>
  <c r="S17" i="83"/>
  <c r="U43" i="83"/>
  <c r="W43" i="83"/>
  <c r="S43" i="83"/>
  <c r="I10" i="34"/>
  <c r="G10" i="34"/>
  <c r="E10" i="34"/>
  <c r="C10" i="34"/>
  <c r="D67" i="34"/>
  <c r="E67" i="34"/>
  <c r="F67" i="34"/>
  <c r="G67" i="34"/>
  <c r="J49" i="67"/>
  <c r="C37" i="34"/>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Q7" i="79"/>
  <c r="AQ8" i="79"/>
  <c r="AQ9" i="79"/>
  <c r="AQ10" i="79"/>
  <c r="AQ11" i="79"/>
  <c r="AQ12" i="79"/>
  <c r="AQ13" i="79"/>
  <c r="AQ14" i="79"/>
  <c r="AQ15" i="79"/>
  <c r="AQ16" i="79"/>
  <c r="AQ17" i="79"/>
  <c r="AQ18" i="79"/>
  <c r="AQ19" i="79"/>
  <c r="AQ20" i="79"/>
  <c r="AQ21" i="79"/>
  <c r="AQ22" i="79"/>
  <c r="AQ23" i="79"/>
  <c r="AQ24"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S37" i="83"/>
  <c r="U37" i="83"/>
  <c r="W37" i="83"/>
  <c r="AB33" i="79"/>
  <c r="AA33" i="79"/>
  <c r="Z33" i="79"/>
  <c r="N33" i="79"/>
  <c r="M33" i="79"/>
  <c r="P33" i="79"/>
  <c r="L33" i="79"/>
  <c r="I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R8" i="79"/>
  <c r="AD33" i="79"/>
  <c r="AR34" i="79"/>
  <c r="AR35" i="79"/>
  <c r="AR36" i="79"/>
  <c r="AD35" i="79"/>
  <c r="C60" i="78"/>
  <c r="D60" i="78"/>
  <c r="D53" i="78"/>
  <c r="D52" i="78"/>
  <c r="B51" i="78"/>
  <c r="B56" i="78"/>
  <c r="B55" i="78"/>
  <c r="D55" i="78"/>
  <c r="D51" i="78"/>
  <c r="C51" i="78"/>
  <c r="C56" i="78"/>
  <c r="C58" i="78"/>
  <c r="B62" i="78"/>
  <c r="B54" i="78"/>
  <c r="D54" i="78"/>
  <c r="D56" i="78"/>
  <c r="D58" i="78"/>
  <c r="D62" i="78"/>
  <c r="C62" i="78"/>
  <c r="G14" i="73"/>
  <c r="F14" i="73"/>
  <c r="E14"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5" i="73"/>
  <c r="F15" i="73"/>
  <c r="E15" i="73"/>
  <c r="G16" i="73"/>
  <c r="F16" i="73"/>
  <c r="E16" i="73"/>
  <c r="AB38" i="79"/>
  <c r="AA38" i="79"/>
  <c r="Z38" i="79"/>
  <c r="N38" i="79"/>
  <c r="M38" i="79"/>
  <c r="L38" i="79"/>
  <c r="I38" i="79"/>
  <c r="AR39" i="79"/>
  <c r="AC10" i="79"/>
  <c r="AB10" i="79"/>
  <c r="AA10" i="79"/>
  <c r="AD10" i="79"/>
  <c r="Z10" i="79"/>
  <c r="Y10" i="79"/>
  <c r="O10" i="79"/>
  <c r="N10" i="79"/>
  <c r="M10" i="79"/>
  <c r="P10" i="79"/>
  <c r="L10" i="79"/>
  <c r="K10" i="79"/>
  <c r="I10" i="79"/>
  <c r="AR11" i="79"/>
  <c r="P38" i="79"/>
  <c r="I13" i="79"/>
  <c r="I41" i="79"/>
  <c r="I40" i="79"/>
  <c r="N40" i="79"/>
  <c r="M40" i="79"/>
  <c r="P40" i="79"/>
  <c r="L40" i="79"/>
  <c r="N41" i="79"/>
  <c r="M41" i="79"/>
  <c r="L41" i="79"/>
  <c r="O12" i="79"/>
  <c r="N12" i="79"/>
  <c r="M12" i="79"/>
  <c r="P12" i="79"/>
  <c r="L12" i="79"/>
  <c r="K12" i="79"/>
  <c r="O13" i="79"/>
  <c r="N13" i="79"/>
  <c r="M13" i="79"/>
  <c r="P13" i="79"/>
  <c r="L13" i="79"/>
  <c r="K13" i="79"/>
  <c r="P41" i="79"/>
  <c r="G17" i="73"/>
  <c r="F17" i="73"/>
  <c r="E17"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A20" i="79"/>
  <c r="AD20" i="79"/>
  <c r="AC20" i="79"/>
  <c r="AB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c r="W22" i="79"/>
  <c r="AK22" i="79"/>
  <c r="AH22" i="79"/>
  <c r="S34" i="79"/>
  <c r="AG34" i="79"/>
  <c r="S35" i="79"/>
  <c r="AG35" i="79"/>
  <c r="S33" i="79"/>
  <c r="AG33" i="79"/>
  <c r="AA31" i="79"/>
  <c r="AD31" i="79"/>
  <c r="T40" i="79"/>
  <c r="U46" i="79"/>
  <c r="AI46" i="79"/>
  <c r="AD47" i="79"/>
  <c r="S48" i="79"/>
  <c r="AG48" i="79"/>
  <c r="U50" i="79"/>
  <c r="AI50" i="79"/>
  <c r="AD51" i="79"/>
  <c r="AD36" i="79"/>
  <c r="AR40" i="79"/>
  <c r="AR41" i="79"/>
  <c r="AR42" i="79"/>
  <c r="AR43" i="79"/>
  <c r="AR44" i="79"/>
  <c r="AR45" i="79"/>
  <c r="AR46" i="79"/>
  <c r="AR47" i="79"/>
  <c r="AR48" i="79"/>
  <c r="AR49" i="79"/>
  <c r="AR50" i="79"/>
  <c r="AR51" i="79"/>
  <c r="AR52" i="79"/>
  <c r="AD38" i="79"/>
  <c r="AD37" i="79"/>
  <c r="Z3" i="79"/>
  <c r="AR18" i="79"/>
  <c r="AR19" i="79"/>
  <c r="AR20" i="79"/>
  <c r="AR21" i="79"/>
  <c r="AR22" i="79"/>
  <c r="AR23" i="79"/>
  <c r="AR24" i="79"/>
  <c r="T35" i="79"/>
  <c r="T33" i="79"/>
  <c r="T34" i="79"/>
  <c r="U34" i="79"/>
  <c r="AI34" i="79"/>
  <c r="U33" i="79"/>
  <c r="AI33" i="79"/>
  <c r="U35" i="79"/>
  <c r="AI35"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3" i="79"/>
  <c r="AK33" i="79"/>
  <c r="AH33" i="79"/>
  <c r="W15" i="79"/>
  <c r="AK15" i="79"/>
  <c r="AH15" i="79"/>
  <c r="W13" i="79"/>
  <c r="AK13" i="79"/>
  <c r="AH13" i="79"/>
  <c r="W48" i="79"/>
  <c r="AK48" i="79"/>
  <c r="AH48" i="79"/>
  <c r="W49" i="79"/>
  <c r="AK49" i="79"/>
  <c r="AH49" i="79"/>
  <c r="W43" i="79"/>
  <c r="AK43" i="79"/>
  <c r="AH43" i="79"/>
  <c r="W38" i="79"/>
  <c r="AK38" i="79"/>
  <c r="AH38" i="79"/>
  <c r="W35" i="79"/>
  <c r="AK35" i="79"/>
  <c r="AH35" i="79"/>
  <c r="W40" i="79"/>
  <c r="AK40" i="79"/>
  <c r="AH40"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AH34" i="79"/>
  <c r="W34" i="79"/>
  <c r="AK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D7" i="77"/>
  <c r="C26" i="77"/>
  <c r="C29" i="77"/>
  <c r="C32" i="77"/>
  <c r="C38" i="77"/>
  <c r="C39" i="77"/>
  <c r="E11" i="77"/>
  <c r="E7" i="77"/>
  <c r="C27" i="77"/>
  <c r="R14" i="77"/>
  <c r="R24" i="77"/>
  <c r="D29" i="77"/>
  <c r="E23" i="77"/>
  <c r="D26" i="77"/>
  <c r="D32"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c r="O24" i="71"/>
  <c r="C24" i="71"/>
  <c r="Q25" i="71"/>
  <c r="F24" i="71"/>
  <c r="F23" i="71"/>
  <c r="F22" i="71"/>
  <c r="P25" i="71"/>
  <c r="O25" i="71"/>
  <c r="N25" i="71"/>
  <c r="B24" i="71"/>
  <c r="B23" i="71"/>
  <c r="A2" i="53"/>
  <c r="K59" i="67"/>
  <c r="P61" i="67"/>
  <c r="K59" i="15"/>
  <c r="P74" i="15"/>
  <c r="D115" i="39"/>
  <c r="E115" i="39"/>
  <c r="F115" i="39"/>
  <c r="G115" i="39"/>
  <c r="H115" i="39"/>
  <c r="I115" i="39"/>
  <c r="J115" i="39"/>
  <c r="K115" i="39"/>
  <c r="L115" i="39"/>
  <c r="M115" i="39"/>
  <c r="C115" i="39"/>
  <c r="A21" i="62"/>
  <c r="B67" i="72"/>
  <c r="A20" i="62"/>
  <c r="A22" i="51"/>
  <c r="A21" i="51"/>
  <c r="A20" i="51"/>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B71" i="71"/>
  <c r="B70" i="71"/>
  <c r="Q70" i="71"/>
  <c r="P70" i="71"/>
  <c r="O70" i="71"/>
  <c r="N70" i="71"/>
  <c r="Q69" i="71"/>
  <c r="P69" i="71"/>
  <c r="O69" i="71"/>
  <c r="N69" i="71"/>
  <c r="D69" i="71"/>
  <c r="F68" i="71"/>
  <c r="F67" i="71"/>
  <c r="E68" i="71"/>
  <c r="P68" i="71"/>
  <c r="C68" i="71"/>
  <c r="B68" i="71"/>
  <c r="B67"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D62" i="71"/>
  <c r="N61" i="71"/>
  <c r="B62" i="71"/>
  <c r="D61" i="71"/>
  <c r="Q60" i="71"/>
  <c r="P60" i="71"/>
  <c r="O60" i="71"/>
  <c r="N60" i="71"/>
  <c r="Q59" i="71"/>
  <c r="P59" i="71"/>
  <c r="O59" i="71"/>
  <c r="N59" i="71"/>
  <c r="Q58" i="71"/>
  <c r="P58" i="71"/>
  <c r="O58" i="71"/>
  <c r="O57" i="71"/>
  <c r="C58" i="71"/>
  <c r="C59" i="71"/>
  <c r="N58" i="71"/>
  <c r="Q57" i="71"/>
  <c r="F58" i="71"/>
  <c r="F59" i="71"/>
  <c r="F60" i="71"/>
  <c r="V60" i="71"/>
  <c r="P57" i="71"/>
  <c r="E58" i="71"/>
  <c r="E59" i="71"/>
  <c r="E60" i="71"/>
  <c r="U60"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O49" i="71"/>
  <c r="C50" i="71"/>
  <c r="C51" i="71"/>
  <c r="N50" i="71"/>
  <c r="Q49" i="71"/>
  <c r="F50" i="71"/>
  <c r="F51" i="71"/>
  <c r="F52" i="71"/>
  <c r="V52" i="71"/>
  <c r="P49" i="71"/>
  <c r="E50" i="71"/>
  <c r="E51" i="71"/>
  <c r="E52" i="71"/>
  <c r="U52"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O41" i="71"/>
  <c r="C42" i="71"/>
  <c r="C43" i="71"/>
  <c r="N42" i="71"/>
  <c r="Q41" i="71"/>
  <c r="F42" i="71"/>
  <c r="F43" i="71"/>
  <c r="F44" i="71"/>
  <c r="V44" i="71"/>
  <c r="P41" i="71"/>
  <c r="E42" i="71"/>
  <c r="E43" i="71"/>
  <c r="E44" i="71"/>
  <c r="U44" i="71"/>
  <c r="D42" i="71"/>
  <c r="N41" i="71"/>
  <c r="B42" i="71"/>
  <c r="B43" i="71"/>
  <c r="B44" i="71"/>
  <c r="S44" i="71"/>
  <c r="D41" i="71"/>
  <c r="Q40" i="71"/>
  <c r="P40" i="71"/>
  <c r="O40" i="71"/>
  <c r="N40" i="71"/>
  <c r="Q39" i="71"/>
  <c r="AB39" i="71"/>
  <c r="P39" i="71"/>
  <c r="O39" i="71"/>
  <c r="N39" i="71"/>
  <c r="X39" i="71"/>
  <c r="Q38" i="71"/>
  <c r="P38" i="71"/>
  <c r="O38" i="71"/>
  <c r="N38" i="71"/>
  <c r="Q37" i="71"/>
  <c r="Q35" i="71"/>
  <c r="Q36" i="71"/>
  <c r="AB35" i="71"/>
  <c r="P37" i="71"/>
  <c r="O37" i="71"/>
  <c r="N37" i="71"/>
  <c r="B38" i="71"/>
  <c r="D37" i="71"/>
  <c r="P36" i="71"/>
  <c r="O36" i="71"/>
  <c r="N36" i="71"/>
  <c r="P35" i="71"/>
  <c r="O35" i="71"/>
  <c r="O28" i="71"/>
  <c r="O29" i="71"/>
  <c r="O30" i="71"/>
  <c r="O31" i="71"/>
  <c r="O32" i="71"/>
  <c r="O33" i="71"/>
  <c r="O34" i="71"/>
  <c r="Y27" i="71"/>
  <c r="Z27" i="71"/>
  <c r="N35" i="71"/>
  <c r="Q34" i="71"/>
  <c r="AB34" i="71"/>
  <c r="P34" i="71"/>
  <c r="AA34" i="71"/>
  <c r="N34" i="71"/>
  <c r="X34" i="71"/>
  <c r="Q33" i="71"/>
  <c r="F34" i="71"/>
  <c r="P33" i="71"/>
  <c r="E34" i="71"/>
  <c r="N33" i="71"/>
  <c r="N31" i="71"/>
  <c r="N32" i="71"/>
  <c r="X31" i="71"/>
  <c r="D33" i="71"/>
  <c r="Q32" i="71"/>
  <c r="P32" i="71"/>
  <c r="Q31" i="71"/>
  <c r="P31" i="71"/>
  <c r="Q30" i="71"/>
  <c r="P30" i="71"/>
  <c r="N30" i="71"/>
  <c r="Q29" i="71"/>
  <c r="F30" i="71"/>
  <c r="F31" i="71"/>
  <c r="F32" i="71"/>
  <c r="V32" i="71"/>
  <c r="P29" i="71"/>
  <c r="N29" i="71"/>
  <c r="D29" i="71"/>
  <c r="N28" i="71"/>
  <c r="B28" i="71"/>
  <c r="B27" i="71"/>
  <c r="B26" i="71"/>
  <c r="B30" i="71"/>
  <c r="B31" i="71"/>
  <c r="B32" i="71"/>
  <c r="S32" i="71"/>
  <c r="E30" i="71"/>
  <c r="E31" i="71"/>
  <c r="E32" i="71"/>
  <c r="U32" i="71"/>
  <c r="B39" i="71"/>
  <c r="B40" i="71"/>
  <c r="S40" i="71"/>
  <c r="C30" i="71"/>
  <c r="D30" i="71"/>
  <c r="C34" i="71"/>
  <c r="D34" i="71"/>
  <c r="C38" i="71"/>
  <c r="D38" i="71"/>
  <c r="D50" i="71"/>
  <c r="P28" i="71"/>
  <c r="E28" i="71"/>
  <c r="U68" i="71"/>
  <c r="Q28" i="71"/>
  <c r="F28" i="71"/>
  <c r="F27" i="71"/>
  <c r="F26" i="71"/>
  <c r="D58" i="71"/>
  <c r="T68" i="71"/>
  <c r="O68" i="71"/>
  <c r="D68" i="71"/>
  <c r="C67" i="71"/>
  <c r="D67" i="71"/>
  <c r="E71" i="71"/>
  <c r="E70" i="71"/>
  <c r="D72" i="71"/>
  <c r="C75" i="71"/>
  <c r="D76" i="71"/>
  <c r="E79" i="71"/>
  <c r="E78" i="71"/>
  <c r="D80" i="71"/>
  <c r="C87" i="71"/>
  <c r="C86" i="71"/>
  <c r="D86" i="71"/>
  <c r="AA3" i="71"/>
  <c r="D75" i="71"/>
  <c r="C74" i="71"/>
  <c r="D74"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S25" i="40"/>
  <c r="S18" i="36"/>
  <c r="H25" i="40"/>
  <c r="AB25" i="40"/>
  <c r="J25" i="40"/>
  <c r="H29" i="39"/>
  <c r="AB29" i="39"/>
  <c r="J29" i="39"/>
  <c r="AC29" i="39"/>
  <c r="J18" i="36"/>
  <c r="AC18" i="36"/>
  <c r="H18" i="35"/>
  <c r="AB18" i="35"/>
  <c r="J18" i="35"/>
  <c r="W18" i="35"/>
  <c r="H21" i="37"/>
  <c r="AB21" i="37"/>
  <c r="F21" i="37"/>
  <c r="AA21" i="37"/>
  <c r="H21" i="34"/>
  <c r="AB21" i="34"/>
  <c r="H21" i="33"/>
  <c r="U21" i="33"/>
  <c r="F21" i="33"/>
  <c r="AA21" i="33"/>
  <c r="E83" i="21"/>
  <c r="F83" i="21"/>
  <c r="H1" i="69"/>
  <c r="AC25" i="40"/>
  <c r="W25" i="40"/>
  <c r="U29" i="39"/>
  <c r="W18" i="36"/>
  <c r="U21" i="37"/>
  <c r="J21" i="37"/>
  <c r="W21" i="37"/>
  <c r="J21" i="34"/>
  <c r="W21" i="34"/>
  <c r="J21" i="33"/>
  <c r="W21" i="33"/>
  <c r="H21" i="21"/>
  <c r="U21" i="21"/>
  <c r="F38" i="69"/>
  <c r="E37" i="69"/>
  <c r="F36" i="69"/>
  <c r="F35" i="69"/>
  <c r="F21" i="69"/>
  <c r="F40" i="69"/>
  <c r="F20" i="69"/>
  <c r="F39" i="69"/>
  <c r="E10" i="69"/>
  <c r="E9" i="69"/>
  <c r="AC21" i="37"/>
  <c r="G83" i="21"/>
  <c r="J21" i="21"/>
  <c r="W21" i="21"/>
  <c r="C40" i="69"/>
  <c r="F38" i="68"/>
  <c r="E37" i="68"/>
  <c r="F36" i="68"/>
  <c r="F35" i="68"/>
  <c r="F21" i="68"/>
  <c r="F40" i="68"/>
  <c r="F20" i="68"/>
  <c r="F39" i="68"/>
  <c r="E10" i="68"/>
  <c r="E9" i="68"/>
  <c r="AC21" i="21"/>
  <c r="C40" i="68"/>
  <c r="Q72" i="67"/>
  <c r="Q59" i="67"/>
  <c r="Q58" i="67"/>
  <c r="Q51" i="67"/>
  <c r="J50" i="67"/>
  <c r="D46" i="67"/>
  <c r="F33" i="67"/>
  <c r="F61" i="67"/>
  <c r="D24" i="67"/>
  <c r="M19" i="67"/>
  <c r="S2" i="4"/>
  <c r="C51" i="10"/>
  <c r="A13" i="51"/>
  <c r="B11" i="72"/>
  <c r="S1" i="4"/>
  <c r="A4" i="51"/>
  <c r="B6" i="72"/>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B7" i="1"/>
  <c r="E7"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AX109" i="3"/>
  <c r="AW109" i="3"/>
  <c r="AV109" i="3"/>
  <c r="AC109" i="3"/>
  <c r="H109" i="3"/>
  <c r="AX108" i="3"/>
  <c r="AW108" i="3"/>
  <c r="AV108" i="3"/>
  <c r="AC108" i="3"/>
  <c r="H108" i="3"/>
  <c r="AX107" i="3"/>
  <c r="AW107" i="3"/>
  <c r="AV107" i="3"/>
  <c r="AC107" i="3"/>
  <c r="H107" i="3"/>
  <c r="G107" i="3"/>
  <c r="AX106" i="3"/>
  <c r="AW106" i="3"/>
  <c r="AV106" i="3"/>
  <c r="AC106" i="3"/>
  <c r="H106" i="3"/>
  <c r="G106" i="3"/>
  <c r="AX105" i="3"/>
  <c r="AW105" i="3"/>
  <c r="AV105" i="3"/>
  <c r="AC105" i="3"/>
  <c r="H105" i="3"/>
  <c r="AX104" i="3"/>
  <c r="AW104" i="3"/>
  <c r="AV104" i="3"/>
  <c r="AC104" i="3"/>
  <c r="H104" i="3"/>
  <c r="AX103" i="3"/>
  <c r="AW103" i="3"/>
  <c r="AV103" i="3"/>
  <c r="AC103" i="3"/>
  <c r="H103" i="3"/>
  <c r="AX102" i="3"/>
  <c r="AW102" i="3"/>
  <c r="AV102" i="3"/>
  <c r="AC102" i="3"/>
  <c r="H102" i="3"/>
  <c r="AX101" i="3"/>
  <c r="AW101" i="3"/>
  <c r="AV101" i="3"/>
  <c r="AC101" i="3"/>
  <c r="H101" i="3"/>
  <c r="AX100" i="3"/>
  <c r="AW100" i="3"/>
  <c r="AV100" i="3"/>
  <c r="AC100" i="3"/>
  <c r="H100" i="3"/>
  <c r="AX99" i="3"/>
  <c r="AW99" i="3"/>
  <c r="AV99" i="3"/>
  <c r="AC99" i="3"/>
  <c r="H99" i="3"/>
  <c r="G99" i="3"/>
  <c r="AX98" i="3"/>
  <c r="AW98" i="3"/>
  <c r="AV98" i="3"/>
  <c r="AC98" i="3"/>
  <c r="H98" i="3"/>
  <c r="AX97" i="3"/>
  <c r="AW97" i="3"/>
  <c r="AV97" i="3"/>
  <c r="AC97" i="3"/>
  <c r="H97" i="3"/>
  <c r="AX96" i="3"/>
  <c r="AW96" i="3"/>
  <c r="AV96" i="3"/>
  <c r="AC96" i="3"/>
  <c r="H96" i="3"/>
  <c r="AX95" i="3"/>
  <c r="AW95" i="3"/>
  <c r="AV95" i="3"/>
  <c r="AC95" i="3"/>
  <c r="H95" i="3"/>
  <c r="G95" i="3"/>
  <c r="AX94" i="3"/>
  <c r="AW94" i="3"/>
  <c r="AV94" i="3"/>
  <c r="AC94" i="3"/>
  <c r="H94" i="3"/>
  <c r="AX93" i="3"/>
  <c r="AW93" i="3"/>
  <c r="AV93" i="3"/>
  <c r="AC93" i="3"/>
  <c r="H93" i="3"/>
  <c r="G93" i="3"/>
  <c r="AX92" i="3"/>
  <c r="AW92" i="3"/>
  <c r="AV92" i="3"/>
  <c r="AC92" i="3"/>
  <c r="H92" i="3"/>
  <c r="G92" i="3"/>
  <c r="AX91" i="3"/>
  <c r="AW91" i="3"/>
  <c r="AV91" i="3"/>
  <c r="AC91" i="3"/>
  <c r="H91" i="3"/>
  <c r="AX90" i="3"/>
  <c r="AW90" i="3"/>
  <c r="AV90" i="3"/>
  <c r="AC90" i="3"/>
  <c r="H90" i="3"/>
  <c r="AX89" i="3"/>
  <c r="AW89" i="3"/>
  <c r="AV89" i="3"/>
  <c r="AC89" i="3"/>
  <c r="H89" i="3"/>
  <c r="G89" i="3"/>
  <c r="AX88" i="3"/>
  <c r="AW88" i="3"/>
  <c r="AV88" i="3"/>
  <c r="AC88" i="3"/>
  <c r="H88" i="3"/>
  <c r="AX87" i="3"/>
  <c r="AW87" i="3"/>
  <c r="AV87" i="3"/>
  <c r="AC87" i="3"/>
  <c r="H87" i="3"/>
  <c r="G87" i="3"/>
  <c r="AX86" i="3"/>
  <c r="AW86" i="3"/>
  <c r="AV86" i="3"/>
  <c r="AC86" i="3"/>
  <c r="H86" i="3"/>
  <c r="AX85" i="3"/>
  <c r="AW85" i="3"/>
  <c r="AV85" i="3"/>
  <c r="AC85" i="3"/>
  <c r="H85" i="3"/>
  <c r="AX84" i="3"/>
  <c r="AW84" i="3"/>
  <c r="AV84" i="3"/>
  <c r="AC84" i="3"/>
  <c r="H84" i="3"/>
  <c r="G84" i="3"/>
  <c r="AX83" i="3"/>
  <c r="AW83" i="3"/>
  <c r="AV83" i="3"/>
  <c r="AC83" i="3"/>
  <c r="H83" i="3"/>
  <c r="AX82" i="3"/>
  <c r="AW82" i="3"/>
  <c r="AV82" i="3"/>
  <c r="AC82" i="3"/>
  <c r="H82" i="3"/>
  <c r="AX81" i="3"/>
  <c r="AW81" i="3"/>
  <c r="AV81" i="3"/>
  <c r="AC81" i="3"/>
  <c r="H81" i="3"/>
  <c r="AX80" i="3"/>
  <c r="AW80" i="3"/>
  <c r="AV80" i="3"/>
  <c r="AC80" i="3"/>
  <c r="H80" i="3"/>
  <c r="G80" i="3"/>
  <c r="AX79" i="3"/>
  <c r="AW79" i="3"/>
  <c r="AV79" i="3"/>
  <c r="AC79" i="3"/>
  <c r="H79" i="3"/>
  <c r="G79" i="3"/>
  <c r="AX78" i="3"/>
  <c r="AW78" i="3"/>
  <c r="AV78" i="3"/>
  <c r="AC78" i="3"/>
  <c r="H78" i="3"/>
  <c r="G78" i="3"/>
  <c r="AX77" i="3"/>
  <c r="AW77" i="3"/>
  <c r="AV77" i="3"/>
  <c r="AC77" i="3"/>
  <c r="H77" i="3"/>
  <c r="AX76" i="3"/>
  <c r="AW76" i="3"/>
  <c r="AV76" i="3"/>
  <c r="AC76" i="3"/>
  <c r="H76" i="3"/>
  <c r="AX75" i="3"/>
  <c r="AW75" i="3"/>
  <c r="AV75" i="3"/>
  <c r="AC75" i="3"/>
  <c r="H75" i="3"/>
  <c r="AX74" i="3"/>
  <c r="AW74" i="3"/>
  <c r="AV74" i="3"/>
  <c r="AC74" i="3"/>
  <c r="H74" i="3"/>
  <c r="G74" i="3"/>
  <c r="AX73" i="3"/>
  <c r="AW73" i="3"/>
  <c r="AV73" i="3"/>
  <c r="AC73" i="3"/>
  <c r="H73" i="3"/>
  <c r="G73" i="3"/>
  <c r="AX72" i="3"/>
  <c r="AW72" i="3"/>
  <c r="AV72" i="3"/>
  <c r="AC72" i="3"/>
  <c r="H72" i="3"/>
  <c r="AX71" i="3"/>
  <c r="AW71" i="3"/>
  <c r="AV71" i="3"/>
  <c r="AC71" i="3"/>
  <c r="H71" i="3"/>
  <c r="G71" i="3"/>
  <c r="AX70" i="3"/>
  <c r="AW70" i="3"/>
  <c r="AV70" i="3"/>
  <c r="AC70" i="3"/>
  <c r="H70" i="3"/>
  <c r="AX69" i="3"/>
  <c r="AW69" i="3"/>
  <c r="AV69" i="3"/>
  <c r="AC69" i="3"/>
  <c r="H69" i="3"/>
  <c r="G69" i="3"/>
  <c r="AX68" i="3"/>
  <c r="AW68" i="3"/>
  <c r="AV68" i="3"/>
  <c r="AC68" i="3"/>
  <c r="H68" i="3"/>
  <c r="G68" i="3"/>
  <c r="AX67" i="3"/>
  <c r="AW67" i="3"/>
  <c r="AV67" i="3"/>
  <c r="AC67" i="3"/>
  <c r="H67" i="3"/>
  <c r="AX66" i="3"/>
  <c r="AW66" i="3"/>
  <c r="AV66" i="3"/>
  <c r="AC66" i="3"/>
  <c r="H66" i="3"/>
  <c r="G66" i="3"/>
  <c r="AX65" i="3"/>
  <c r="AW65" i="3"/>
  <c r="AV65" i="3"/>
  <c r="AC65" i="3"/>
  <c r="H65" i="3"/>
  <c r="AX64" i="3"/>
  <c r="AW64" i="3"/>
  <c r="AV64" i="3"/>
  <c r="AC64" i="3"/>
  <c r="H64" i="3"/>
  <c r="AX63" i="3"/>
  <c r="AW63" i="3"/>
  <c r="AV63" i="3"/>
  <c r="AC63" i="3"/>
  <c r="H63" i="3"/>
  <c r="G63" i="3"/>
  <c r="AX62" i="3"/>
  <c r="AW62" i="3"/>
  <c r="AV62" i="3"/>
  <c r="AC62" i="3"/>
  <c r="H62" i="3"/>
  <c r="G62" i="3"/>
  <c r="AX61" i="3"/>
  <c r="AW61" i="3"/>
  <c r="AV61" i="3"/>
  <c r="AC61" i="3"/>
  <c r="H61" i="3"/>
  <c r="AX60" i="3"/>
  <c r="AW60" i="3"/>
  <c r="AV60" i="3"/>
  <c r="AC60" i="3"/>
  <c r="H60" i="3"/>
  <c r="AX59" i="3"/>
  <c r="AW59" i="3"/>
  <c r="AV59" i="3"/>
  <c r="AC59" i="3"/>
  <c r="H59" i="3"/>
  <c r="G59" i="3"/>
  <c r="AX58" i="3"/>
  <c r="AW58" i="3"/>
  <c r="AV58" i="3"/>
  <c r="AC58" i="3"/>
  <c r="H58" i="3"/>
  <c r="AX57" i="3"/>
  <c r="AW57" i="3"/>
  <c r="AV57" i="3"/>
  <c r="AC57" i="3"/>
  <c r="H57" i="3"/>
  <c r="AX56" i="3"/>
  <c r="AW56" i="3"/>
  <c r="AV56" i="3"/>
  <c r="AC56" i="3"/>
  <c r="H56" i="3"/>
  <c r="AX55" i="3"/>
  <c r="AW55" i="3"/>
  <c r="AV55" i="3"/>
  <c r="AC55" i="3"/>
  <c r="H55" i="3"/>
  <c r="G55" i="3"/>
  <c r="AX54" i="3"/>
  <c r="AW54" i="3"/>
  <c r="AV54" i="3"/>
  <c r="AC54" i="3"/>
  <c r="H54" i="3"/>
  <c r="G54" i="3"/>
  <c r="AX53" i="3"/>
  <c r="AW53" i="3"/>
  <c r="AV53" i="3"/>
  <c r="AC53" i="3"/>
  <c r="H53" i="3"/>
  <c r="AX52" i="3"/>
  <c r="AW52" i="3"/>
  <c r="AV52" i="3"/>
  <c r="AC52" i="3"/>
  <c r="H52" i="3"/>
  <c r="G52" i="3"/>
  <c r="AX51" i="3"/>
  <c r="AW51" i="3"/>
  <c r="AV51" i="3"/>
  <c r="AC51" i="3"/>
  <c r="H51" i="3"/>
  <c r="AX50" i="3"/>
  <c r="AW50" i="3"/>
  <c r="AV50" i="3"/>
  <c r="AC50" i="3"/>
  <c r="H50" i="3"/>
  <c r="G50" i="3"/>
  <c r="AX49" i="3"/>
  <c r="AW49" i="3"/>
  <c r="AV49" i="3"/>
  <c r="AC49" i="3"/>
  <c r="H49" i="3"/>
  <c r="G49" i="3"/>
  <c r="AX48" i="3"/>
  <c r="AW48" i="3"/>
  <c r="AV48" i="3"/>
  <c r="AC48" i="3"/>
  <c r="H48" i="3"/>
  <c r="G48" i="3"/>
  <c r="AX47" i="3"/>
  <c r="AW47" i="3"/>
  <c r="AV47" i="3"/>
  <c r="AC47" i="3"/>
  <c r="H47" i="3"/>
  <c r="AX46" i="3"/>
  <c r="AW46" i="3"/>
  <c r="AV46" i="3"/>
  <c r="AC46" i="3"/>
  <c r="H46" i="3"/>
  <c r="AX45" i="3"/>
  <c r="AW45" i="3"/>
  <c r="AV45" i="3"/>
  <c r="AC45" i="3"/>
  <c r="H45" i="3"/>
  <c r="AX44" i="3"/>
  <c r="AW44" i="3"/>
  <c r="AV44" i="3"/>
  <c r="AC44" i="3"/>
  <c r="H44" i="3"/>
  <c r="AX43" i="3"/>
  <c r="AW43" i="3"/>
  <c r="AV43" i="3"/>
  <c r="AC43" i="3"/>
  <c r="H43" i="3"/>
  <c r="AX42" i="3"/>
  <c r="AW42" i="3"/>
  <c r="AV42" i="3"/>
  <c r="AC42" i="3"/>
  <c r="H42" i="3"/>
  <c r="AX41" i="3"/>
  <c r="AW41" i="3"/>
  <c r="AV41" i="3"/>
  <c r="AC41" i="3"/>
  <c r="H41" i="3"/>
  <c r="AX40" i="3"/>
  <c r="AW40" i="3"/>
  <c r="AV40" i="3"/>
  <c r="AC40" i="3"/>
  <c r="H40" i="3"/>
  <c r="AX39" i="3"/>
  <c r="AW39" i="3"/>
  <c r="AV39" i="3"/>
  <c r="AC39" i="3"/>
  <c r="H39" i="3"/>
  <c r="AX38" i="3"/>
  <c r="AW38" i="3"/>
  <c r="AV38" i="3"/>
  <c r="AC38" i="3"/>
  <c r="H38" i="3"/>
  <c r="AX37" i="3"/>
  <c r="AW37" i="3"/>
  <c r="AV37" i="3"/>
  <c r="AC37" i="3"/>
  <c r="H37" i="3"/>
  <c r="G37" i="3"/>
  <c r="AX36" i="3"/>
  <c r="AW36" i="3"/>
  <c r="AV36" i="3"/>
  <c r="AC36" i="3"/>
  <c r="H36" i="3"/>
  <c r="AX35" i="3"/>
  <c r="AW35" i="3"/>
  <c r="AV35" i="3"/>
  <c r="AC35" i="3"/>
  <c r="H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AX29" i="3"/>
  <c r="AW29" i="3"/>
  <c r="AV29" i="3"/>
  <c r="AC29" i="3"/>
  <c r="H29" i="3"/>
  <c r="AX28" i="3"/>
  <c r="AW28" i="3"/>
  <c r="AV28" i="3"/>
  <c r="AC28" i="3"/>
  <c r="H28" i="3"/>
  <c r="G28" i="3"/>
  <c r="AX27" i="3"/>
  <c r="AW27" i="3"/>
  <c r="AV27" i="3"/>
  <c r="AC27" i="3"/>
  <c r="H27" i="3"/>
  <c r="AX26" i="3"/>
  <c r="AW26" i="3"/>
  <c r="AV26" i="3"/>
  <c r="AC26" i="3"/>
  <c r="H26" i="3"/>
  <c r="AX25" i="3"/>
  <c r="AW25" i="3"/>
  <c r="AV25" i="3"/>
  <c r="AC25" i="3"/>
  <c r="H25" i="3"/>
  <c r="AX24" i="3"/>
  <c r="AW24" i="3"/>
  <c r="AV24" i="3"/>
  <c r="AC24" i="3"/>
  <c r="H24" i="3"/>
  <c r="AX23" i="3"/>
  <c r="AW23" i="3"/>
  <c r="AV23" i="3"/>
  <c r="AC23" i="3"/>
  <c r="H23" i="3"/>
  <c r="AX22" i="3"/>
  <c r="AW22" i="3"/>
  <c r="AV22" i="3"/>
  <c r="AC22" i="3"/>
  <c r="H22" i="3"/>
  <c r="AX21" i="3"/>
  <c r="AW21" i="3"/>
  <c r="AV21" i="3"/>
  <c r="AC21" i="3"/>
  <c r="H21" i="3"/>
  <c r="AX20" i="3"/>
  <c r="AW20" i="3"/>
  <c r="AV20" i="3"/>
  <c r="AC20" i="3"/>
  <c r="H20" i="3"/>
  <c r="AX19" i="3"/>
  <c r="AW19" i="3"/>
  <c r="AV19" i="3"/>
  <c r="AC19" i="3"/>
  <c r="H19" i="3"/>
  <c r="AX18" i="3"/>
  <c r="AW18" i="3"/>
  <c r="AV18" i="3"/>
  <c r="AC18" i="3"/>
  <c r="H18" i="3"/>
  <c r="G18" i="3"/>
  <c r="AX207" i="3"/>
  <c r="AW207" i="3"/>
  <c r="AV207" i="3"/>
  <c r="AC207" i="3"/>
  <c r="H207" i="3"/>
  <c r="AX206" i="3"/>
  <c r="AW206" i="3"/>
  <c r="AV206" i="3"/>
  <c r="AC206" i="3"/>
  <c r="H206" i="3"/>
  <c r="AX205" i="3"/>
  <c r="AW205" i="3"/>
  <c r="AV205" i="3"/>
  <c r="AC205" i="3"/>
  <c r="H205" i="3"/>
  <c r="AX204" i="3"/>
  <c r="AW204" i="3"/>
  <c r="AV204" i="3"/>
  <c r="AC204" i="3"/>
  <c r="H204" i="3"/>
  <c r="AX203" i="3"/>
  <c r="AW203" i="3"/>
  <c r="AV203" i="3"/>
  <c r="AC203" i="3"/>
  <c r="H203" i="3"/>
  <c r="AX202" i="3"/>
  <c r="AW202" i="3"/>
  <c r="AV202" i="3"/>
  <c r="AC202" i="3"/>
  <c r="H202" i="3"/>
  <c r="G202" i="3"/>
  <c r="AX201" i="3"/>
  <c r="AW201" i="3"/>
  <c r="AV201" i="3"/>
  <c r="AC201" i="3"/>
  <c r="H201" i="3"/>
  <c r="AX200" i="3"/>
  <c r="AW200" i="3"/>
  <c r="AV200" i="3"/>
  <c r="AC200" i="3"/>
  <c r="H200" i="3"/>
  <c r="AX199" i="3"/>
  <c r="AW199" i="3"/>
  <c r="AV199" i="3"/>
  <c r="AC199" i="3"/>
  <c r="H199" i="3"/>
  <c r="AX198" i="3"/>
  <c r="AW198" i="3"/>
  <c r="AV198" i="3"/>
  <c r="AC198" i="3"/>
  <c r="H198" i="3"/>
  <c r="AX197" i="3"/>
  <c r="AW197" i="3"/>
  <c r="AV197" i="3"/>
  <c r="AC197" i="3"/>
  <c r="H197" i="3"/>
  <c r="AX196" i="3"/>
  <c r="AW196" i="3"/>
  <c r="AV196" i="3"/>
  <c r="AC196" i="3"/>
  <c r="H196" i="3"/>
  <c r="G196" i="3"/>
  <c r="AX195" i="3"/>
  <c r="AW195" i="3"/>
  <c r="AV195" i="3"/>
  <c r="AC195" i="3"/>
  <c r="H195" i="3"/>
  <c r="G195" i="3"/>
  <c r="AX194" i="3"/>
  <c r="AW194" i="3"/>
  <c r="AV194" i="3"/>
  <c r="AC194" i="3"/>
  <c r="H194" i="3"/>
  <c r="AX193" i="3"/>
  <c r="AW193" i="3"/>
  <c r="AV193" i="3"/>
  <c r="AC193" i="3"/>
  <c r="H193" i="3"/>
  <c r="AX192" i="3"/>
  <c r="AW192" i="3"/>
  <c r="AV192" i="3"/>
  <c r="AC192" i="3"/>
  <c r="H192" i="3"/>
  <c r="AX191" i="3"/>
  <c r="AW191" i="3"/>
  <c r="AV191" i="3"/>
  <c r="AC191" i="3"/>
  <c r="H191" i="3"/>
  <c r="AX190" i="3"/>
  <c r="AW190" i="3"/>
  <c r="AV190" i="3"/>
  <c r="AC190" i="3"/>
  <c r="H190" i="3"/>
  <c r="G190" i="3"/>
  <c r="AX189" i="3"/>
  <c r="AW189" i="3"/>
  <c r="AV189" i="3"/>
  <c r="AC189" i="3"/>
  <c r="H189" i="3"/>
  <c r="AX188" i="3"/>
  <c r="AW188" i="3"/>
  <c r="AV188" i="3"/>
  <c r="AC188" i="3"/>
  <c r="H188" i="3"/>
  <c r="AX187" i="3"/>
  <c r="AW187" i="3"/>
  <c r="AV187" i="3"/>
  <c r="AC187" i="3"/>
  <c r="H187" i="3"/>
  <c r="AX186" i="3"/>
  <c r="AW186" i="3"/>
  <c r="AV186" i="3"/>
  <c r="AC186" i="3"/>
  <c r="H186" i="3"/>
  <c r="AX185" i="3"/>
  <c r="AW185" i="3"/>
  <c r="AV185" i="3"/>
  <c r="AC185" i="3"/>
  <c r="H185" i="3"/>
  <c r="AX184" i="3"/>
  <c r="AW184" i="3"/>
  <c r="AV184" i="3"/>
  <c r="AC184" i="3"/>
  <c r="H184" i="3"/>
  <c r="G184" i="3"/>
  <c r="AX183" i="3"/>
  <c r="AW183" i="3"/>
  <c r="AV183" i="3"/>
  <c r="AC183" i="3"/>
  <c r="H183" i="3"/>
  <c r="AX182" i="3"/>
  <c r="AW182" i="3"/>
  <c r="AV182" i="3"/>
  <c r="AC182" i="3"/>
  <c r="H182" i="3"/>
  <c r="AX181" i="3"/>
  <c r="AW181" i="3"/>
  <c r="AV181" i="3"/>
  <c r="AC181" i="3"/>
  <c r="H181" i="3"/>
  <c r="AX180" i="3"/>
  <c r="AW180" i="3"/>
  <c r="AV180" i="3"/>
  <c r="AC180" i="3"/>
  <c r="H180" i="3"/>
  <c r="AX179" i="3"/>
  <c r="AW179" i="3"/>
  <c r="AV179" i="3"/>
  <c r="AC179" i="3"/>
  <c r="H179" i="3"/>
  <c r="AX178" i="3"/>
  <c r="AW178" i="3"/>
  <c r="AV178" i="3"/>
  <c r="AC178" i="3"/>
  <c r="H178" i="3"/>
  <c r="G178" i="3"/>
  <c r="AX177" i="3"/>
  <c r="AW177" i="3"/>
  <c r="AV177" i="3"/>
  <c r="AC177" i="3"/>
  <c r="H177" i="3"/>
  <c r="AX176" i="3"/>
  <c r="AW176" i="3"/>
  <c r="AV176" i="3"/>
  <c r="AC176" i="3"/>
  <c r="H176" i="3"/>
  <c r="G176" i="3"/>
  <c r="AX175" i="3"/>
  <c r="AW175" i="3"/>
  <c r="AV175" i="3"/>
  <c r="AC175" i="3"/>
  <c r="H175" i="3"/>
  <c r="G175" i="3"/>
  <c r="AX174" i="3"/>
  <c r="AW174" i="3"/>
  <c r="AV174" i="3"/>
  <c r="AC174" i="3"/>
  <c r="H174" i="3"/>
  <c r="AX173" i="3"/>
  <c r="AW173" i="3"/>
  <c r="AV173" i="3"/>
  <c r="AC173" i="3"/>
  <c r="H173" i="3"/>
  <c r="AX172" i="3"/>
  <c r="AW172" i="3"/>
  <c r="AV172" i="3"/>
  <c r="AC172" i="3"/>
  <c r="H172" i="3"/>
  <c r="G172" i="3"/>
  <c r="AX171" i="3"/>
  <c r="AW171" i="3"/>
  <c r="AV171" i="3"/>
  <c r="AC171" i="3"/>
  <c r="H171" i="3"/>
  <c r="G171" i="3"/>
  <c r="AX170" i="3"/>
  <c r="AW170" i="3"/>
  <c r="AV170" i="3"/>
  <c r="AC170" i="3"/>
  <c r="H170" i="3"/>
  <c r="AX169" i="3"/>
  <c r="AW169" i="3"/>
  <c r="AV169" i="3"/>
  <c r="AC169" i="3"/>
  <c r="H169" i="3"/>
  <c r="AX168" i="3"/>
  <c r="AW168" i="3"/>
  <c r="AV168" i="3"/>
  <c r="AC168" i="3"/>
  <c r="H168" i="3"/>
  <c r="AX167" i="3"/>
  <c r="AW167" i="3"/>
  <c r="AV167" i="3"/>
  <c r="AC167" i="3"/>
  <c r="H167" i="3"/>
  <c r="G167" i="3"/>
  <c r="AX166" i="3"/>
  <c r="AW166" i="3"/>
  <c r="AV166" i="3"/>
  <c r="AC166" i="3"/>
  <c r="H166" i="3"/>
  <c r="AX165" i="3"/>
  <c r="AW165" i="3"/>
  <c r="AV165" i="3"/>
  <c r="AC165" i="3"/>
  <c r="H165" i="3"/>
  <c r="AX164" i="3"/>
  <c r="AW164" i="3"/>
  <c r="AV164" i="3"/>
  <c r="AC164" i="3"/>
  <c r="H164" i="3"/>
  <c r="AX163" i="3"/>
  <c r="AW163" i="3"/>
  <c r="AV163" i="3"/>
  <c r="AC163" i="3"/>
  <c r="H163" i="3"/>
  <c r="AX162" i="3"/>
  <c r="AW162" i="3"/>
  <c r="AV162" i="3"/>
  <c r="AC162" i="3"/>
  <c r="H162" i="3"/>
  <c r="AX161" i="3"/>
  <c r="AW161" i="3"/>
  <c r="AV161" i="3"/>
  <c r="AC161" i="3"/>
  <c r="H161" i="3"/>
  <c r="AX160" i="3"/>
  <c r="AW160" i="3"/>
  <c r="AV160" i="3"/>
  <c r="AC160" i="3"/>
  <c r="H160" i="3"/>
  <c r="G160" i="3"/>
  <c r="AX159" i="3"/>
  <c r="AW159" i="3"/>
  <c r="AV159" i="3"/>
  <c r="AC159" i="3"/>
  <c r="H159" i="3"/>
  <c r="AX158" i="3"/>
  <c r="AW158" i="3"/>
  <c r="AV158" i="3"/>
  <c r="AC158" i="3"/>
  <c r="H158" i="3"/>
  <c r="G158" i="3"/>
  <c r="AX157" i="3"/>
  <c r="AW157" i="3"/>
  <c r="AV157" i="3"/>
  <c r="AC157" i="3"/>
  <c r="H157" i="3"/>
  <c r="AX156" i="3"/>
  <c r="AW156" i="3"/>
  <c r="AV156" i="3"/>
  <c r="AC156" i="3"/>
  <c r="H156" i="3"/>
  <c r="AX155" i="3"/>
  <c r="AW155" i="3"/>
  <c r="AV155" i="3"/>
  <c r="AC155" i="3"/>
  <c r="H155" i="3"/>
  <c r="G155" i="3"/>
  <c r="AX154" i="3"/>
  <c r="AW154" i="3"/>
  <c r="AV154" i="3"/>
  <c r="AC154" i="3"/>
  <c r="H154" i="3"/>
  <c r="AX153" i="3"/>
  <c r="AW153" i="3"/>
  <c r="AV153" i="3"/>
  <c r="AC153" i="3"/>
  <c r="H153" i="3"/>
  <c r="AX152" i="3"/>
  <c r="AW152" i="3"/>
  <c r="AV152" i="3"/>
  <c r="AC152" i="3"/>
  <c r="H152" i="3"/>
  <c r="AX151" i="3"/>
  <c r="AW151" i="3"/>
  <c r="AV151" i="3"/>
  <c r="AC151" i="3"/>
  <c r="H151" i="3"/>
  <c r="AX150" i="3"/>
  <c r="AW150" i="3"/>
  <c r="AV150" i="3"/>
  <c r="AC150" i="3"/>
  <c r="H150" i="3"/>
  <c r="AX149" i="3"/>
  <c r="AW149" i="3"/>
  <c r="AV149" i="3"/>
  <c r="AC149" i="3"/>
  <c r="H149" i="3"/>
  <c r="AX148" i="3"/>
  <c r="AW148" i="3"/>
  <c r="AV148" i="3"/>
  <c r="AC148" i="3"/>
  <c r="H148" i="3"/>
  <c r="AX147" i="3"/>
  <c r="AW147" i="3"/>
  <c r="AV147" i="3"/>
  <c r="AC147" i="3"/>
  <c r="H147" i="3"/>
  <c r="G147" i="3"/>
  <c r="AX146" i="3"/>
  <c r="AW146" i="3"/>
  <c r="AV146" i="3"/>
  <c r="AC146" i="3"/>
  <c r="H146" i="3"/>
  <c r="AX145" i="3"/>
  <c r="AW145" i="3"/>
  <c r="AV145" i="3"/>
  <c r="AC145" i="3"/>
  <c r="H145" i="3"/>
  <c r="AX144" i="3"/>
  <c r="AW144" i="3"/>
  <c r="AV144" i="3"/>
  <c r="AC144" i="3"/>
  <c r="H144" i="3"/>
  <c r="G144" i="3"/>
  <c r="AX143" i="3"/>
  <c r="AW143" i="3"/>
  <c r="AV143" i="3"/>
  <c r="AC143" i="3"/>
  <c r="H143" i="3"/>
  <c r="AX142" i="3"/>
  <c r="AW142" i="3"/>
  <c r="AV142" i="3"/>
  <c r="AC142" i="3"/>
  <c r="H142" i="3"/>
  <c r="AX141" i="3"/>
  <c r="AW141" i="3"/>
  <c r="AV141" i="3"/>
  <c r="AC141" i="3"/>
  <c r="H141" i="3"/>
  <c r="AX140" i="3"/>
  <c r="AW140" i="3"/>
  <c r="AV140" i="3"/>
  <c r="AC140" i="3"/>
  <c r="H140" i="3"/>
  <c r="AX139" i="3"/>
  <c r="AW139" i="3"/>
  <c r="AV139" i="3"/>
  <c r="AC139" i="3"/>
  <c r="H139" i="3"/>
  <c r="AX138" i="3"/>
  <c r="AW138" i="3"/>
  <c r="AV138" i="3"/>
  <c r="AC138" i="3"/>
  <c r="H138" i="3"/>
  <c r="G138" i="3"/>
  <c r="AX137" i="3"/>
  <c r="AW137" i="3"/>
  <c r="AV137" i="3"/>
  <c r="AC137" i="3"/>
  <c r="H137" i="3"/>
  <c r="AX136" i="3"/>
  <c r="AW136" i="3"/>
  <c r="AV136" i="3"/>
  <c r="AC136" i="3"/>
  <c r="H136" i="3"/>
  <c r="AX135" i="3"/>
  <c r="AW135" i="3"/>
  <c r="AV135" i="3"/>
  <c r="AC135" i="3"/>
  <c r="H135" i="3"/>
  <c r="AX134" i="3"/>
  <c r="AW134" i="3"/>
  <c r="AV134" i="3"/>
  <c r="AC134" i="3"/>
  <c r="H134" i="3"/>
  <c r="AX133" i="3"/>
  <c r="AW133" i="3"/>
  <c r="AV133" i="3"/>
  <c r="AC133" i="3"/>
  <c r="H133" i="3"/>
  <c r="AX132" i="3"/>
  <c r="AW132" i="3"/>
  <c r="AV132" i="3"/>
  <c r="AC132" i="3"/>
  <c r="H132" i="3"/>
  <c r="AX131" i="3"/>
  <c r="AW131" i="3"/>
  <c r="AV131" i="3"/>
  <c r="AC131" i="3"/>
  <c r="H131" i="3"/>
  <c r="AX130" i="3"/>
  <c r="AW130" i="3"/>
  <c r="AV130" i="3"/>
  <c r="AC130" i="3"/>
  <c r="H130" i="3"/>
  <c r="AX129" i="3"/>
  <c r="AW129" i="3"/>
  <c r="AV129" i="3"/>
  <c r="AC129" i="3"/>
  <c r="H129" i="3"/>
  <c r="AX128" i="3"/>
  <c r="AW128" i="3"/>
  <c r="AV128" i="3"/>
  <c r="AC128" i="3"/>
  <c r="H128" i="3"/>
  <c r="AX127" i="3"/>
  <c r="AW127" i="3"/>
  <c r="AV127" i="3"/>
  <c r="AC127" i="3"/>
  <c r="H127" i="3"/>
  <c r="AX126" i="3"/>
  <c r="AW126" i="3"/>
  <c r="AV126" i="3"/>
  <c r="AC126" i="3"/>
  <c r="H126" i="3"/>
  <c r="AX125" i="3"/>
  <c r="AW125" i="3"/>
  <c r="AV125" i="3"/>
  <c r="AC125" i="3"/>
  <c r="H125" i="3"/>
  <c r="AX124" i="3"/>
  <c r="AW124" i="3"/>
  <c r="AV124" i="3"/>
  <c r="AC124" i="3"/>
  <c r="H124" i="3"/>
  <c r="AX123" i="3"/>
  <c r="AW123" i="3"/>
  <c r="AV123" i="3"/>
  <c r="AC123" i="3"/>
  <c r="H123" i="3"/>
  <c r="AX122" i="3"/>
  <c r="AW122" i="3"/>
  <c r="AV122" i="3"/>
  <c r="AC122" i="3"/>
  <c r="H122" i="3"/>
  <c r="AX121" i="3"/>
  <c r="AW121" i="3"/>
  <c r="AV121" i="3"/>
  <c r="AC121" i="3"/>
  <c r="H121" i="3"/>
  <c r="AX120" i="3"/>
  <c r="AW120" i="3"/>
  <c r="AV120" i="3"/>
  <c r="AC120" i="3"/>
  <c r="H120" i="3"/>
  <c r="AX119" i="3"/>
  <c r="AW119" i="3"/>
  <c r="AV119" i="3"/>
  <c r="AC119" i="3"/>
  <c r="H119" i="3"/>
  <c r="AX118" i="3"/>
  <c r="AW118" i="3"/>
  <c r="AV118" i="3"/>
  <c r="AC118" i="3"/>
  <c r="H118" i="3"/>
  <c r="AX117" i="3"/>
  <c r="AW117" i="3"/>
  <c r="AV117" i="3"/>
  <c r="AC117" i="3"/>
  <c r="H117" i="3"/>
  <c r="AX116" i="3"/>
  <c r="AW116" i="3"/>
  <c r="AV116" i="3"/>
  <c r="AC116" i="3"/>
  <c r="H116" i="3"/>
  <c r="AX115" i="3"/>
  <c r="AW115" i="3"/>
  <c r="AV115" i="3"/>
  <c r="AC115" i="3"/>
  <c r="H115" i="3"/>
  <c r="AX114" i="3"/>
  <c r="AW114" i="3"/>
  <c r="AV114" i="3"/>
  <c r="AC114" i="3"/>
  <c r="H114" i="3"/>
  <c r="AX113" i="3"/>
  <c r="AW113" i="3"/>
  <c r="AV113" i="3"/>
  <c r="AC113" i="3"/>
  <c r="H113" i="3"/>
  <c r="AX302" i="3"/>
  <c r="AW302" i="3"/>
  <c r="AV302" i="3"/>
  <c r="AC302" i="3"/>
  <c r="H302" i="3"/>
  <c r="AX301" i="3"/>
  <c r="AW301" i="3"/>
  <c r="AV301" i="3"/>
  <c r="AC301" i="3"/>
  <c r="H301" i="3"/>
  <c r="AX300" i="3"/>
  <c r="AW300" i="3"/>
  <c r="AV300" i="3"/>
  <c r="AC300" i="3"/>
  <c r="H300" i="3"/>
  <c r="AX299" i="3"/>
  <c r="AW299" i="3"/>
  <c r="AV299" i="3"/>
  <c r="AC299" i="3"/>
  <c r="H299" i="3"/>
  <c r="AX298" i="3"/>
  <c r="AW298" i="3"/>
  <c r="AV298" i="3"/>
  <c r="AC298" i="3"/>
  <c r="H298" i="3"/>
  <c r="AX297" i="3"/>
  <c r="AW297" i="3"/>
  <c r="AV297" i="3"/>
  <c r="AC297" i="3"/>
  <c r="H297" i="3"/>
  <c r="AX296" i="3"/>
  <c r="AW296" i="3"/>
  <c r="AV296" i="3"/>
  <c r="AC296" i="3"/>
  <c r="H296" i="3"/>
  <c r="AX295" i="3"/>
  <c r="AW295" i="3"/>
  <c r="AV295" i="3"/>
  <c r="AC295" i="3"/>
  <c r="H295" i="3"/>
  <c r="G295" i="3"/>
  <c r="AX294" i="3"/>
  <c r="AW294" i="3"/>
  <c r="AV294" i="3"/>
  <c r="AC294" i="3"/>
  <c r="H294" i="3"/>
  <c r="G294" i="3"/>
  <c r="AX293" i="3"/>
  <c r="AW293" i="3"/>
  <c r="AV293" i="3"/>
  <c r="AC293" i="3"/>
  <c r="H293" i="3"/>
  <c r="AX292" i="3"/>
  <c r="AW292" i="3"/>
  <c r="AV292" i="3"/>
  <c r="AC292" i="3"/>
  <c r="H292" i="3"/>
  <c r="G292" i="3"/>
  <c r="AX291" i="3"/>
  <c r="AW291" i="3"/>
  <c r="AV291" i="3"/>
  <c r="AC291" i="3"/>
  <c r="H291" i="3"/>
  <c r="AX290" i="3"/>
  <c r="AW290" i="3"/>
  <c r="AV290" i="3"/>
  <c r="AC290" i="3"/>
  <c r="H290" i="3"/>
  <c r="AX289" i="3"/>
  <c r="AW289" i="3"/>
  <c r="AV289" i="3"/>
  <c r="AC289" i="3"/>
  <c r="H289" i="3"/>
  <c r="AX288" i="3"/>
  <c r="AW288" i="3"/>
  <c r="AV288" i="3"/>
  <c r="AC288" i="3"/>
  <c r="H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AX282" i="3"/>
  <c r="AW282" i="3"/>
  <c r="AV282" i="3"/>
  <c r="AC282" i="3"/>
  <c r="H282" i="3"/>
  <c r="AX281" i="3"/>
  <c r="AW281" i="3"/>
  <c r="AV281" i="3"/>
  <c r="AC281" i="3"/>
  <c r="H281" i="3"/>
  <c r="G281" i="3"/>
  <c r="AX280" i="3"/>
  <c r="AW280" i="3"/>
  <c r="AV280" i="3"/>
  <c r="AC280" i="3"/>
  <c r="H280" i="3"/>
  <c r="AX279" i="3"/>
  <c r="AW279" i="3"/>
  <c r="AV279" i="3"/>
  <c r="AC279" i="3"/>
  <c r="H279" i="3"/>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AX271" i="3"/>
  <c r="AW271" i="3"/>
  <c r="AV271" i="3"/>
  <c r="AC271" i="3"/>
  <c r="H271" i="3"/>
  <c r="AX270" i="3"/>
  <c r="AW270" i="3"/>
  <c r="AV270" i="3"/>
  <c r="AC270" i="3"/>
  <c r="H270" i="3"/>
  <c r="G270" i="3"/>
  <c r="AX269" i="3"/>
  <c r="AW269" i="3"/>
  <c r="AV269" i="3"/>
  <c r="AC269" i="3"/>
  <c r="H269" i="3"/>
  <c r="AX268" i="3"/>
  <c r="AW268" i="3"/>
  <c r="AV268" i="3"/>
  <c r="AC268" i="3"/>
  <c r="H268" i="3"/>
  <c r="AX267" i="3"/>
  <c r="AW267" i="3"/>
  <c r="AV267" i="3"/>
  <c r="AC267" i="3"/>
  <c r="H267" i="3"/>
  <c r="AX266" i="3"/>
  <c r="AW266" i="3"/>
  <c r="AV266" i="3"/>
  <c r="AC266" i="3"/>
  <c r="H266" i="3"/>
  <c r="AX265" i="3"/>
  <c r="AW265" i="3"/>
  <c r="AV265" i="3"/>
  <c r="AC265" i="3"/>
  <c r="H265" i="3"/>
  <c r="AX264" i="3"/>
  <c r="AW264" i="3"/>
  <c r="AV264" i="3"/>
  <c r="AC264" i="3"/>
  <c r="H264" i="3"/>
  <c r="AX263" i="3"/>
  <c r="AW263" i="3"/>
  <c r="AV263" i="3"/>
  <c r="AC263" i="3"/>
  <c r="H263" i="3"/>
  <c r="G263" i="3"/>
  <c r="AX262" i="3"/>
  <c r="AW262" i="3"/>
  <c r="AV262" i="3"/>
  <c r="AC262" i="3"/>
  <c r="H262" i="3"/>
  <c r="AX261" i="3"/>
  <c r="AW261" i="3"/>
  <c r="AV261" i="3"/>
  <c r="AC261" i="3"/>
  <c r="H261" i="3"/>
  <c r="G261" i="3"/>
  <c r="AX260" i="3"/>
  <c r="AW260" i="3"/>
  <c r="AV260" i="3"/>
  <c r="AC260" i="3"/>
  <c r="H260" i="3"/>
  <c r="G260" i="3"/>
  <c r="AX259" i="3"/>
  <c r="AW259" i="3"/>
  <c r="AV259" i="3"/>
  <c r="AC259" i="3"/>
  <c r="H259" i="3"/>
  <c r="AX258" i="3"/>
  <c r="AW258" i="3"/>
  <c r="AV258" i="3"/>
  <c r="AC258" i="3"/>
  <c r="H258" i="3"/>
  <c r="AX257" i="3"/>
  <c r="AW257" i="3"/>
  <c r="AV257" i="3"/>
  <c r="AC257" i="3"/>
  <c r="H257" i="3"/>
  <c r="AX256" i="3"/>
  <c r="AW256" i="3"/>
  <c r="AV256" i="3"/>
  <c r="AC256" i="3"/>
  <c r="H256" i="3"/>
  <c r="AX255" i="3"/>
  <c r="AW255" i="3"/>
  <c r="AV255" i="3"/>
  <c r="AC255" i="3"/>
  <c r="H255" i="3"/>
  <c r="AX254" i="3"/>
  <c r="AW254" i="3"/>
  <c r="AV254" i="3"/>
  <c r="AC254" i="3"/>
  <c r="H254" i="3"/>
  <c r="AX253" i="3"/>
  <c r="AW253" i="3"/>
  <c r="AV253" i="3"/>
  <c r="AC253" i="3"/>
  <c r="H253" i="3"/>
  <c r="AX252" i="3"/>
  <c r="AW252" i="3"/>
  <c r="AV252" i="3"/>
  <c r="AC252" i="3"/>
  <c r="H252" i="3"/>
  <c r="AX251" i="3"/>
  <c r="AW251" i="3"/>
  <c r="AV251" i="3"/>
  <c r="AC251" i="3"/>
  <c r="H251" i="3"/>
  <c r="AX250" i="3"/>
  <c r="AW250" i="3"/>
  <c r="AV250" i="3"/>
  <c r="AC250" i="3"/>
  <c r="H250" i="3"/>
  <c r="AX249" i="3"/>
  <c r="AW249" i="3"/>
  <c r="AV249" i="3"/>
  <c r="AC249" i="3"/>
  <c r="H249" i="3"/>
  <c r="AX248" i="3"/>
  <c r="AW248" i="3"/>
  <c r="AV248" i="3"/>
  <c r="AC248" i="3"/>
  <c r="H248" i="3"/>
  <c r="AX247" i="3"/>
  <c r="AW247" i="3"/>
  <c r="AV247" i="3"/>
  <c r="AC247" i="3"/>
  <c r="H247" i="3"/>
  <c r="AX246" i="3"/>
  <c r="AW246" i="3"/>
  <c r="AV246" i="3"/>
  <c r="AC246" i="3"/>
  <c r="H246" i="3"/>
  <c r="G246" i="3"/>
  <c r="AX245" i="3"/>
  <c r="AW245" i="3"/>
  <c r="AV245" i="3"/>
  <c r="AC245" i="3"/>
  <c r="H245" i="3"/>
  <c r="AX244" i="3"/>
  <c r="AW244" i="3"/>
  <c r="AV244" i="3"/>
  <c r="AC244" i="3"/>
  <c r="H244" i="3"/>
  <c r="AX243" i="3"/>
  <c r="AW243" i="3"/>
  <c r="AV243" i="3"/>
  <c r="AC243" i="3"/>
  <c r="H243" i="3"/>
  <c r="G243" i="3"/>
  <c r="AX242" i="3"/>
  <c r="AW242" i="3"/>
  <c r="AV242" i="3"/>
  <c r="AC242" i="3"/>
  <c r="H242" i="3"/>
  <c r="AX241" i="3"/>
  <c r="AW241" i="3"/>
  <c r="AV241" i="3"/>
  <c r="AC241" i="3"/>
  <c r="H241" i="3"/>
  <c r="AX240" i="3"/>
  <c r="AW240" i="3"/>
  <c r="AV240" i="3"/>
  <c r="AC240" i="3"/>
  <c r="H240" i="3"/>
  <c r="AX239" i="3"/>
  <c r="AW239" i="3"/>
  <c r="AV239" i="3"/>
  <c r="AC239" i="3"/>
  <c r="H239" i="3"/>
  <c r="G239" i="3"/>
  <c r="AX238" i="3"/>
  <c r="AW238" i="3"/>
  <c r="AV238" i="3"/>
  <c r="AC238" i="3"/>
  <c r="H238" i="3"/>
  <c r="G238" i="3"/>
  <c r="AX237" i="3"/>
  <c r="AW237" i="3"/>
  <c r="AV237" i="3"/>
  <c r="AC237" i="3"/>
  <c r="H237" i="3"/>
  <c r="AX236" i="3"/>
  <c r="AW236" i="3"/>
  <c r="AV236" i="3"/>
  <c r="AC236" i="3"/>
  <c r="H236" i="3"/>
  <c r="G236" i="3"/>
  <c r="AX235" i="3"/>
  <c r="AW235" i="3"/>
  <c r="AV235" i="3"/>
  <c r="AC235" i="3"/>
  <c r="H235" i="3"/>
  <c r="AX234" i="3"/>
  <c r="AW234" i="3"/>
  <c r="AV234" i="3"/>
  <c r="AC234" i="3"/>
  <c r="H234" i="3"/>
  <c r="G234" i="3"/>
  <c r="AX233" i="3"/>
  <c r="AW233" i="3"/>
  <c r="AV233" i="3"/>
  <c r="AC233" i="3"/>
  <c r="H233" i="3"/>
  <c r="AX232" i="3"/>
  <c r="AW232" i="3"/>
  <c r="AV232" i="3"/>
  <c r="AC232" i="3"/>
  <c r="H232" i="3"/>
  <c r="G232" i="3"/>
  <c r="AX231" i="3"/>
  <c r="AW231" i="3"/>
  <c r="AV231" i="3"/>
  <c r="AC231" i="3"/>
  <c r="H231" i="3"/>
  <c r="G231" i="3"/>
  <c r="AX230" i="3"/>
  <c r="AW230" i="3"/>
  <c r="AV230" i="3"/>
  <c r="AC230" i="3"/>
  <c r="H230" i="3"/>
  <c r="AX229" i="3"/>
  <c r="AW229" i="3"/>
  <c r="AV229" i="3"/>
  <c r="AC229" i="3"/>
  <c r="H229" i="3"/>
  <c r="AX228" i="3"/>
  <c r="AW228" i="3"/>
  <c r="AV228" i="3"/>
  <c r="AC228" i="3"/>
  <c r="H228" i="3"/>
  <c r="G228" i="3"/>
  <c r="AX227" i="3"/>
  <c r="AW227" i="3"/>
  <c r="AV227" i="3"/>
  <c r="AC227" i="3"/>
  <c r="H227" i="3"/>
  <c r="AX226" i="3"/>
  <c r="AW226" i="3"/>
  <c r="AV226" i="3"/>
  <c r="AC226" i="3"/>
  <c r="H226" i="3"/>
  <c r="AX225" i="3"/>
  <c r="AW225" i="3"/>
  <c r="AV225" i="3"/>
  <c r="AC225" i="3"/>
  <c r="H225" i="3"/>
  <c r="G225" i="3"/>
  <c r="AX224" i="3"/>
  <c r="AW224" i="3"/>
  <c r="AV224" i="3"/>
  <c r="AC224" i="3"/>
  <c r="H224" i="3"/>
  <c r="AX223" i="3"/>
  <c r="AW223" i="3"/>
  <c r="AV223" i="3"/>
  <c r="AC223" i="3"/>
  <c r="H223" i="3"/>
  <c r="G223" i="3"/>
  <c r="AX222" i="3"/>
  <c r="AW222" i="3"/>
  <c r="AV222" i="3"/>
  <c r="AC222" i="3"/>
  <c r="H222" i="3"/>
  <c r="AX221" i="3"/>
  <c r="AW221" i="3"/>
  <c r="AV221" i="3"/>
  <c r="AC221" i="3"/>
  <c r="H221" i="3"/>
  <c r="G221" i="3"/>
  <c r="AX220" i="3"/>
  <c r="AW220" i="3"/>
  <c r="AV220" i="3"/>
  <c r="AC220" i="3"/>
  <c r="H220" i="3"/>
  <c r="AX219" i="3"/>
  <c r="AW219" i="3"/>
  <c r="AV219" i="3"/>
  <c r="AC219" i="3"/>
  <c r="H219" i="3"/>
  <c r="AX218" i="3"/>
  <c r="AW218" i="3"/>
  <c r="AV218" i="3"/>
  <c r="AC218" i="3"/>
  <c r="H218" i="3"/>
  <c r="AX217" i="3"/>
  <c r="AW217" i="3"/>
  <c r="AV217" i="3"/>
  <c r="AC217" i="3"/>
  <c r="H217" i="3"/>
  <c r="G217" i="3"/>
  <c r="AX216" i="3"/>
  <c r="AW216" i="3"/>
  <c r="AV216" i="3"/>
  <c r="AC216" i="3"/>
  <c r="H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AX210" i="3"/>
  <c r="AW210" i="3"/>
  <c r="AV210" i="3"/>
  <c r="AC210" i="3"/>
  <c r="H210" i="3"/>
  <c r="AX209" i="3"/>
  <c r="AW209" i="3"/>
  <c r="AV209" i="3"/>
  <c r="AC209" i="3"/>
  <c r="H209" i="3"/>
  <c r="G209" i="3"/>
  <c r="AX208" i="3"/>
  <c r="AW208" i="3"/>
  <c r="AV208" i="3"/>
  <c r="AC208" i="3"/>
  <c r="H208" i="3"/>
  <c r="AX397" i="3"/>
  <c r="AW397" i="3"/>
  <c r="AV397" i="3"/>
  <c r="AC397" i="3"/>
  <c r="H397" i="3"/>
  <c r="AX396" i="3"/>
  <c r="AW396" i="3"/>
  <c r="AV396" i="3"/>
  <c r="AC396" i="3"/>
  <c r="H396" i="3"/>
  <c r="G396" i="3"/>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G382" i="3"/>
  <c r="AX381" i="3"/>
  <c r="AW381" i="3"/>
  <c r="AV381" i="3"/>
  <c r="AC381" i="3"/>
  <c r="H381" i="3"/>
  <c r="AX380" i="3"/>
  <c r="AW380" i="3"/>
  <c r="AV380" i="3"/>
  <c r="AC380" i="3"/>
  <c r="H380" i="3"/>
  <c r="G380" i="3"/>
  <c r="AX379" i="3"/>
  <c r="AW379" i="3"/>
  <c r="AV379" i="3"/>
  <c r="AC379" i="3"/>
  <c r="H379" i="3"/>
  <c r="AX378" i="3"/>
  <c r="AW378" i="3"/>
  <c r="AV378" i="3"/>
  <c r="AC378" i="3"/>
  <c r="H378" i="3"/>
  <c r="AX377" i="3"/>
  <c r="AW377" i="3"/>
  <c r="AV377" i="3"/>
  <c r="AC377" i="3"/>
  <c r="H377" i="3"/>
  <c r="AX376" i="3"/>
  <c r="AW376" i="3"/>
  <c r="AV376" i="3"/>
  <c r="AC376" i="3"/>
  <c r="H376" i="3"/>
  <c r="AX375" i="3"/>
  <c r="AW375" i="3"/>
  <c r="AV375" i="3"/>
  <c r="AC375" i="3"/>
  <c r="H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AX363" i="3"/>
  <c r="AW363" i="3"/>
  <c r="AV363" i="3"/>
  <c r="AC363" i="3"/>
  <c r="H363" i="3"/>
  <c r="AX362" i="3"/>
  <c r="AW362" i="3"/>
  <c r="AV362" i="3"/>
  <c r="AC362" i="3"/>
  <c r="H362" i="3"/>
  <c r="G362" i="3"/>
  <c r="AX361" i="3"/>
  <c r="AW361" i="3"/>
  <c r="AV361" i="3"/>
  <c r="AC361" i="3"/>
  <c r="H361" i="3"/>
  <c r="AX360" i="3"/>
  <c r="AW360" i="3"/>
  <c r="AV360" i="3"/>
  <c r="AC360" i="3"/>
  <c r="H360" i="3"/>
  <c r="AX359" i="3"/>
  <c r="AW359" i="3"/>
  <c r="AV359" i="3"/>
  <c r="AC359" i="3"/>
  <c r="H359" i="3"/>
  <c r="AX358" i="3"/>
  <c r="AW358" i="3"/>
  <c r="AV358" i="3"/>
  <c r="AC358" i="3"/>
  <c r="H358" i="3"/>
  <c r="G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G351" i="3"/>
  <c r="AX350" i="3"/>
  <c r="AW350" i="3"/>
  <c r="AV350" i="3"/>
  <c r="AC350" i="3"/>
  <c r="H350" i="3"/>
  <c r="AX349" i="3"/>
  <c r="AW349" i="3"/>
  <c r="AV349" i="3"/>
  <c r="AC349" i="3"/>
  <c r="H349" i="3"/>
  <c r="AX348" i="3"/>
  <c r="AW348" i="3"/>
  <c r="AV348" i="3"/>
  <c r="AC348" i="3"/>
  <c r="H348" i="3"/>
  <c r="AX347" i="3"/>
  <c r="AW347" i="3"/>
  <c r="AV347" i="3"/>
  <c r="AC347" i="3"/>
  <c r="H347" i="3"/>
  <c r="AX346" i="3"/>
  <c r="AW346" i="3"/>
  <c r="AV346" i="3"/>
  <c r="AC346" i="3"/>
  <c r="H346" i="3"/>
  <c r="AX345" i="3"/>
  <c r="AW345" i="3"/>
  <c r="AV345" i="3"/>
  <c r="AC345" i="3"/>
  <c r="H345" i="3"/>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G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AX317" i="3"/>
  <c r="AW317" i="3"/>
  <c r="AV317" i="3"/>
  <c r="AC317" i="3"/>
  <c r="H317" i="3"/>
  <c r="AX316" i="3"/>
  <c r="AW316" i="3"/>
  <c r="AV316" i="3"/>
  <c r="AC316" i="3"/>
  <c r="H316" i="3"/>
  <c r="AX315" i="3"/>
  <c r="AW315" i="3"/>
  <c r="AV315" i="3"/>
  <c r="AC315" i="3"/>
  <c r="H315" i="3"/>
  <c r="G315" i="3"/>
  <c r="AX314" i="3"/>
  <c r="AW314" i="3"/>
  <c r="AV314" i="3"/>
  <c r="AC314" i="3"/>
  <c r="H314" i="3"/>
  <c r="AX313" i="3"/>
  <c r="AW313" i="3"/>
  <c r="AV313" i="3"/>
  <c r="AC313" i="3"/>
  <c r="H313" i="3"/>
  <c r="AX312" i="3"/>
  <c r="AW312" i="3"/>
  <c r="AV312" i="3"/>
  <c r="AC312" i="3"/>
  <c r="H312" i="3"/>
  <c r="AX311" i="3"/>
  <c r="AW311" i="3"/>
  <c r="AV311" i="3"/>
  <c r="AC311" i="3"/>
  <c r="H311" i="3"/>
  <c r="G311" i="3"/>
  <c r="AX310" i="3"/>
  <c r="AW310" i="3"/>
  <c r="AV310" i="3"/>
  <c r="AC310" i="3"/>
  <c r="H310" i="3"/>
  <c r="AX309" i="3"/>
  <c r="AW309" i="3"/>
  <c r="AV309" i="3"/>
  <c r="AC309" i="3"/>
  <c r="H309" i="3"/>
  <c r="AX308" i="3"/>
  <c r="AW308" i="3"/>
  <c r="AV308" i="3"/>
  <c r="AC308" i="3"/>
  <c r="H308" i="3"/>
  <c r="AX307" i="3"/>
  <c r="AW307" i="3"/>
  <c r="AV307" i="3"/>
  <c r="AC307" i="3"/>
  <c r="H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AX491" i="3"/>
  <c r="AW491" i="3"/>
  <c r="AV491" i="3"/>
  <c r="AC491" i="3"/>
  <c r="H491" i="3"/>
  <c r="AX490" i="3"/>
  <c r="AW490" i="3"/>
  <c r="AV490" i="3"/>
  <c r="AC490" i="3"/>
  <c r="H490" i="3"/>
  <c r="G490" i="3"/>
  <c r="AX489" i="3"/>
  <c r="AW489" i="3"/>
  <c r="AV489" i="3"/>
  <c r="AC489" i="3"/>
  <c r="H489" i="3"/>
  <c r="G489" i="3"/>
  <c r="AX488" i="3"/>
  <c r="AW488" i="3"/>
  <c r="AV488" i="3"/>
  <c r="AC488" i="3"/>
  <c r="H488" i="3"/>
  <c r="AX487" i="3"/>
  <c r="AW487" i="3"/>
  <c r="AV487" i="3"/>
  <c r="AC487" i="3"/>
  <c r="H487" i="3"/>
  <c r="AX486" i="3"/>
  <c r="AW486" i="3"/>
  <c r="AV486" i="3"/>
  <c r="AC486" i="3"/>
  <c r="H486" i="3"/>
  <c r="AX485" i="3"/>
  <c r="AW485" i="3"/>
  <c r="AV485" i="3"/>
  <c r="AC485" i="3"/>
  <c r="H485" i="3"/>
  <c r="G485" i="3"/>
  <c r="AX484" i="3"/>
  <c r="AW484" i="3"/>
  <c r="AV484" i="3"/>
  <c r="AC484" i="3"/>
  <c r="H484" i="3"/>
  <c r="AX483" i="3"/>
  <c r="AW483" i="3"/>
  <c r="AV483" i="3"/>
  <c r="AC483" i="3"/>
  <c r="H483" i="3"/>
  <c r="AX482" i="3"/>
  <c r="AW482" i="3"/>
  <c r="AV482" i="3"/>
  <c r="AC482" i="3"/>
  <c r="H482" i="3"/>
  <c r="AX481" i="3"/>
  <c r="AW481" i="3"/>
  <c r="AV481" i="3"/>
  <c r="AC481" i="3"/>
  <c r="H481" i="3"/>
  <c r="AX480" i="3"/>
  <c r="AW480" i="3"/>
  <c r="AV480" i="3"/>
  <c r="AC480" i="3"/>
  <c r="H480" i="3"/>
  <c r="AX479" i="3"/>
  <c r="AW479" i="3"/>
  <c r="AV479" i="3"/>
  <c r="AC479" i="3"/>
  <c r="H479" i="3"/>
  <c r="AX478" i="3"/>
  <c r="AW478" i="3"/>
  <c r="AV478" i="3"/>
  <c r="AC478" i="3"/>
  <c r="H478" i="3"/>
  <c r="G478" i="3"/>
  <c r="AX477" i="3"/>
  <c r="AW477" i="3"/>
  <c r="AV477" i="3"/>
  <c r="AC477" i="3"/>
  <c r="H477" i="3"/>
  <c r="AX476" i="3"/>
  <c r="AW476" i="3"/>
  <c r="AV476" i="3"/>
  <c r="AC476" i="3"/>
  <c r="H476" i="3"/>
  <c r="AX475" i="3"/>
  <c r="AW475" i="3"/>
  <c r="AV475" i="3"/>
  <c r="AC475" i="3"/>
  <c r="H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AX469" i="3"/>
  <c r="AW469" i="3"/>
  <c r="AV469" i="3"/>
  <c r="AC469" i="3"/>
  <c r="H469" i="3"/>
  <c r="G469" i="3"/>
  <c r="AX468" i="3"/>
  <c r="AW468" i="3"/>
  <c r="AV468" i="3"/>
  <c r="AC468" i="3"/>
  <c r="H468" i="3"/>
  <c r="AX467" i="3"/>
  <c r="AW467" i="3"/>
  <c r="AV467" i="3"/>
  <c r="AC467" i="3"/>
  <c r="H467" i="3"/>
  <c r="G467" i="3"/>
  <c r="AX466" i="3"/>
  <c r="AW466" i="3"/>
  <c r="AV466" i="3"/>
  <c r="AC466" i="3"/>
  <c r="H466" i="3"/>
  <c r="AX465" i="3"/>
  <c r="AW465" i="3"/>
  <c r="AV465" i="3"/>
  <c r="AC465" i="3"/>
  <c r="H465" i="3"/>
  <c r="AX464" i="3"/>
  <c r="AW464" i="3"/>
  <c r="AV464" i="3"/>
  <c r="AC464" i="3"/>
  <c r="H464" i="3"/>
  <c r="G464" i="3"/>
  <c r="AX463" i="3"/>
  <c r="AW463" i="3"/>
  <c r="AV463" i="3"/>
  <c r="AC463" i="3"/>
  <c r="H463" i="3"/>
  <c r="AX462" i="3"/>
  <c r="AW462" i="3"/>
  <c r="AV462" i="3"/>
  <c r="AC462" i="3"/>
  <c r="H462" i="3"/>
  <c r="AX461" i="3"/>
  <c r="AW461" i="3"/>
  <c r="AV461" i="3"/>
  <c r="AC461" i="3"/>
  <c r="H461" i="3"/>
  <c r="G461" i="3"/>
  <c r="AX460" i="3"/>
  <c r="AW460" i="3"/>
  <c r="AV460" i="3"/>
  <c r="AC460" i="3"/>
  <c r="H460" i="3"/>
  <c r="G460" i="3"/>
  <c r="AX459" i="3"/>
  <c r="AW459" i="3"/>
  <c r="AV459" i="3"/>
  <c r="AC459" i="3"/>
  <c r="H459" i="3"/>
  <c r="AX458" i="3"/>
  <c r="AW458" i="3"/>
  <c r="AV458" i="3"/>
  <c r="AC458" i="3"/>
  <c r="H458" i="3"/>
  <c r="AX457" i="3"/>
  <c r="AW457" i="3"/>
  <c r="AV457" i="3"/>
  <c r="AC457" i="3"/>
  <c r="H457" i="3"/>
  <c r="G457" i="3"/>
  <c r="AX456" i="3"/>
  <c r="AW456" i="3"/>
  <c r="AV456" i="3"/>
  <c r="AC456" i="3"/>
  <c r="H456" i="3"/>
  <c r="G456" i="3"/>
  <c r="AX455" i="3"/>
  <c r="AW455" i="3"/>
  <c r="AV455" i="3"/>
  <c r="AC455" i="3"/>
  <c r="H455" i="3"/>
  <c r="AX454" i="3"/>
  <c r="AW454" i="3"/>
  <c r="AV454" i="3"/>
  <c r="AC454" i="3"/>
  <c r="H454" i="3"/>
  <c r="AX453" i="3"/>
  <c r="AW453" i="3"/>
  <c r="AV453" i="3"/>
  <c r="AC453" i="3"/>
  <c r="H453" i="3"/>
  <c r="G453" i="3"/>
  <c r="AX452" i="3"/>
  <c r="AW452" i="3"/>
  <c r="AV452" i="3"/>
  <c r="AC452" i="3"/>
  <c r="H452" i="3"/>
  <c r="G452" i="3"/>
  <c r="AX451" i="3"/>
  <c r="AW451" i="3"/>
  <c r="AV451" i="3"/>
  <c r="AC451" i="3"/>
  <c r="H451" i="3"/>
  <c r="G451" i="3"/>
  <c r="AX450" i="3"/>
  <c r="AW450" i="3"/>
  <c r="AV450" i="3"/>
  <c r="AC450" i="3"/>
  <c r="H450" i="3"/>
  <c r="AX449" i="3"/>
  <c r="AW449" i="3"/>
  <c r="AV449" i="3"/>
  <c r="AC449" i="3"/>
  <c r="H449" i="3"/>
  <c r="AX448" i="3"/>
  <c r="AW448" i="3"/>
  <c r="AV448" i="3"/>
  <c r="AC448" i="3"/>
  <c r="H448" i="3"/>
  <c r="AX447" i="3"/>
  <c r="AW447" i="3"/>
  <c r="AV447" i="3"/>
  <c r="AC447" i="3"/>
  <c r="H447" i="3"/>
  <c r="AX446" i="3"/>
  <c r="AW446" i="3"/>
  <c r="AV446" i="3"/>
  <c r="AC446" i="3"/>
  <c r="H446" i="3"/>
  <c r="AX445" i="3"/>
  <c r="AW445" i="3"/>
  <c r="AV445" i="3"/>
  <c r="AC445" i="3"/>
  <c r="H445" i="3"/>
  <c r="G445" i="3"/>
  <c r="AX444" i="3"/>
  <c r="AW444" i="3"/>
  <c r="AV444" i="3"/>
  <c r="AC444" i="3"/>
  <c r="H444" i="3"/>
  <c r="AX443" i="3"/>
  <c r="AW443" i="3"/>
  <c r="AV443" i="3"/>
  <c r="AC443" i="3"/>
  <c r="H443" i="3"/>
  <c r="AX442" i="3"/>
  <c r="AW442" i="3"/>
  <c r="AV442" i="3"/>
  <c r="AC442" i="3"/>
  <c r="H442" i="3"/>
  <c r="AX441" i="3"/>
  <c r="AW441" i="3"/>
  <c r="AV441" i="3"/>
  <c r="AC441" i="3"/>
  <c r="H441" i="3"/>
  <c r="AX440" i="3"/>
  <c r="AW440" i="3"/>
  <c r="AV440" i="3"/>
  <c r="AC440" i="3"/>
  <c r="H440" i="3"/>
  <c r="G440" i="3"/>
  <c r="AX439" i="3"/>
  <c r="AW439" i="3"/>
  <c r="AV439" i="3"/>
  <c r="AC439" i="3"/>
  <c r="H439" i="3"/>
  <c r="AX438" i="3"/>
  <c r="AW438" i="3"/>
  <c r="AV438" i="3"/>
  <c r="AC438" i="3"/>
  <c r="H438" i="3"/>
  <c r="G438" i="3"/>
  <c r="AX437" i="3"/>
  <c r="AW437" i="3"/>
  <c r="AV437" i="3"/>
  <c r="AC437" i="3"/>
  <c r="H437" i="3"/>
  <c r="AX436" i="3"/>
  <c r="AW436" i="3"/>
  <c r="AV436" i="3"/>
  <c r="AC436" i="3"/>
  <c r="H436" i="3"/>
  <c r="AX435" i="3"/>
  <c r="AW435" i="3"/>
  <c r="AV435" i="3"/>
  <c r="AC435" i="3"/>
  <c r="H435" i="3"/>
  <c r="G435" i="3"/>
  <c r="AX434" i="3"/>
  <c r="AW434" i="3"/>
  <c r="AV434" i="3"/>
  <c r="AC434" i="3"/>
  <c r="H434" i="3"/>
  <c r="G434" i="3"/>
  <c r="AX433" i="3"/>
  <c r="AW433" i="3"/>
  <c r="AV433" i="3"/>
  <c r="AC433" i="3"/>
  <c r="H433" i="3"/>
  <c r="AX432" i="3"/>
  <c r="AW432" i="3"/>
  <c r="AV432" i="3"/>
  <c r="AC432" i="3"/>
  <c r="H432" i="3"/>
  <c r="G432" i="3"/>
  <c r="AX431" i="3"/>
  <c r="AW431" i="3"/>
  <c r="AV431" i="3"/>
  <c r="AC431" i="3"/>
  <c r="H431" i="3"/>
  <c r="G431" i="3"/>
  <c r="AX430" i="3"/>
  <c r="AW430" i="3"/>
  <c r="AV430" i="3"/>
  <c r="AC430" i="3"/>
  <c r="H430" i="3"/>
  <c r="AX429" i="3"/>
  <c r="AW429" i="3"/>
  <c r="AV429" i="3"/>
  <c r="AC429" i="3"/>
  <c r="H429" i="3"/>
  <c r="AX428" i="3"/>
  <c r="AW428" i="3"/>
  <c r="AV428" i="3"/>
  <c r="AC428" i="3"/>
  <c r="H428" i="3"/>
  <c r="G428" i="3"/>
  <c r="AX427" i="3"/>
  <c r="AW427" i="3"/>
  <c r="AV427" i="3"/>
  <c r="AC427" i="3"/>
  <c r="H427" i="3"/>
  <c r="AX426" i="3"/>
  <c r="AW426" i="3"/>
  <c r="AV426" i="3"/>
  <c r="AC426" i="3"/>
  <c r="H426" i="3"/>
  <c r="G426" i="3"/>
  <c r="AX425" i="3"/>
  <c r="AW425" i="3"/>
  <c r="AV425" i="3"/>
  <c r="AC425" i="3"/>
  <c r="H425" i="3"/>
  <c r="G425" i="3"/>
  <c r="AX424" i="3"/>
  <c r="AW424" i="3"/>
  <c r="AV424" i="3"/>
  <c r="AC424" i="3"/>
  <c r="H424" i="3"/>
  <c r="G424" i="3"/>
  <c r="AX423" i="3"/>
  <c r="AW423" i="3"/>
  <c r="AV423" i="3"/>
  <c r="AC423" i="3"/>
  <c r="H423" i="3"/>
  <c r="AX422" i="3"/>
  <c r="AW422" i="3"/>
  <c r="AV422" i="3"/>
  <c r="AC422" i="3"/>
  <c r="H422" i="3"/>
  <c r="AX421" i="3"/>
  <c r="AW421" i="3"/>
  <c r="AV421" i="3"/>
  <c r="AC421" i="3"/>
  <c r="H421" i="3"/>
  <c r="G421" i="3"/>
  <c r="AX420" i="3"/>
  <c r="AW420" i="3"/>
  <c r="AV420" i="3"/>
  <c r="AC420" i="3"/>
  <c r="H420" i="3"/>
  <c r="G420" i="3"/>
  <c r="AX419" i="3"/>
  <c r="AW419" i="3"/>
  <c r="AV419" i="3"/>
  <c r="AC419" i="3"/>
  <c r="H419" i="3"/>
  <c r="AX418" i="3"/>
  <c r="AW418" i="3"/>
  <c r="AV418" i="3"/>
  <c r="AC418" i="3"/>
  <c r="H418" i="3"/>
  <c r="AX417" i="3"/>
  <c r="AW417" i="3"/>
  <c r="AV417" i="3"/>
  <c r="AC417" i="3"/>
  <c r="H417" i="3"/>
  <c r="AX416" i="3"/>
  <c r="AW416" i="3"/>
  <c r="AV416" i="3"/>
  <c r="AC416" i="3"/>
  <c r="H416" i="3"/>
  <c r="AX415" i="3"/>
  <c r="AW415" i="3"/>
  <c r="AV415" i="3"/>
  <c r="AC415" i="3"/>
  <c r="H415" i="3"/>
  <c r="G415" i="3"/>
  <c r="AX414" i="3"/>
  <c r="AW414" i="3"/>
  <c r="AV414" i="3"/>
  <c r="AC414" i="3"/>
  <c r="H414" i="3"/>
  <c r="G414" i="3"/>
  <c r="AX413" i="3"/>
  <c r="AW413" i="3"/>
  <c r="AV413" i="3"/>
  <c r="AC413" i="3"/>
  <c r="H413" i="3"/>
  <c r="AX412" i="3"/>
  <c r="AW412" i="3"/>
  <c r="AV412" i="3"/>
  <c r="AC412" i="3"/>
  <c r="H412" i="3"/>
  <c r="AX411" i="3"/>
  <c r="AW411" i="3"/>
  <c r="AV411" i="3"/>
  <c r="AC411" i="3"/>
  <c r="H411" i="3"/>
  <c r="G411" i="3"/>
  <c r="AX410" i="3"/>
  <c r="AW410" i="3"/>
  <c r="AV410" i="3"/>
  <c r="AC410" i="3"/>
  <c r="H410" i="3"/>
  <c r="G410" i="3"/>
  <c r="AX409" i="3"/>
  <c r="AW409" i="3"/>
  <c r="AV409" i="3"/>
  <c r="AC409" i="3"/>
  <c r="H409" i="3"/>
  <c r="AX408" i="3"/>
  <c r="AW408" i="3"/>
  <c r="AV408" i="3"/>
  <c r="AC408" i="3"/>
  <c r="H408" i="3"/>
  <c r="AX407" i="3"/>
  <c r="AW407" i="3"/>
  <c r="AV407" i="3"/>
  <c r="AC407" i="3"/>
  <c r="H407" i="3"/>
  <c r="AX406" i="3"/>
  <c r="AW406" i="3"/>
  <c r="AV406" i="3"/>
  <c r="AC406" i="3"/>
  <c r="H406" i="3"/>
  <c r="AX405" i="3"/>
  <c r="AW405" i="3"/>
  <c r="AV405" i="3"/>
  <c r="AC405" i="3"/>
  <c r="H405" i="3"/>
  <c r="G405" i="3"/>
  <c r="AX404" i="3"/>
  <c r="AW404" i="3"/>
  <c r="AV404" i="3"/>
  <c r="AC404" i="3"/>
  <c r="H404" i="3"/>
  <c r="G404" i="3"/>
  <c r="AX403" i="3"/>
  <c r="AW403" i="3"/>
  <c r="AV403" i="3"/>
  <c r="AC403" i="3"/>
  <c r="H403" i="3"/>
  <c r="AX402" i="3"/>
  <c r="AW402" i="3"/>
  <c r="AV402" i="3"/>
  <c r="AC402" i="3"/>
  <c r="H402" i="3"/>
  <c r="AX401" i="3"/>
  <c r="AW401" i="3"/>
  <c r="AV401" i="3"/>
  <c r="AC401" i="3"/>
  <c r="H401" i="3"/>
  <c r="G401" i="3"/>
  <c r="AX400" i="3"/>
  <c r="AW400" i="3"/>
  <c r="AV400" i="3"/>
  <c r="AC400" i="3"/>
  <c r="H400" i="3"/>
  <c r="AX399" i="3"/>
  <c r="AW399" i="3"/>
  <c r="AV399" i="3"/>
  <c r="AC399" i="3"/>
  <c r="H399"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5" i="62"/>
  <c r="B72" i="72"/>
  <c r="A4" i="62"/>
  <c r="B70" i="72"/>
  <c r="F33" i="9"/>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D78" i="9"/>
  <c r="D3" i="83"/>
  <c r="M8" i="1"/>
  <c r="F23" i="15"/>
  <c r="D24" i="15"/>
  <c r="M10" i="1"/>
  <c r="O10" i="1"/>
  <c r="P10" i="1"/>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8"/>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H494" i="3"/>
  <c r="AC494" i="3"/>
  <c r="H495" i="3"/>
  <c r="AC495" i="3"/>
  <c r="H496" i="3"/>
  <c r="AC496" i="3"/>
  <c r="H497" i="3"/>
  <c r="AC497" i="3"/>
  <c r="H498" i="3"/>
  <c r="AC498" i="3"/>
  <c r="H499" i="3"/>
  <c r="AC499" i="3"/>
  <c r="H500" i="3"/>
  <c r="AC500" i="3"/>
  <c r="H501" i="3"/>
  <c r="AC501" i="3"/>
  <c r="H502" i="3"/>
  <c r="AC502" i="3"/>
  <c r="H503" i="3"/>
  <c r="AC503" i="3"/>
  <c r="H504" i="3"/>
  <c r="AC504" i="3"/>
  <c r="H505" i="3"/>
  <c r="AC505" i="3"/>
  <c r="H506" i="3"/>
  <c r="AC506" i="3"/>
  <c r="H507" i="3"/>
  <c r="AC507" i="3"/>
  <c r="H508" i="3"/>
  <c r="AC508" i="3"/>
  <c r="H509" i="3"/>
  <c r="H510" i="3"/>
  <c r="AC510" i="3"/>
  <c r="H511" i="3"/>
  <c r="AC511" i="3"/>
  <c r="H512" i="3"/>
  <c r="AC512" i="3"/>
  <c r="H513" i="3"/>
  <c r="AC513" i="3"/>
  <c r="H514" i="3"/>
  <c r="AC514" i="3"/>
  <c r="H515" i="3"/>
  <c r="AC515" i="3"/>
  <c r="H516" i="3"/>
  <c r="AC516" i="3"/>
  <c r="H517" i="3"/>
  <c r="AC517" i="3"/>
  <c r="H518" i="3"/>
  <c r="AC518" i="3"/>
  <c r="H519" i="3"/>
  <c r="AC519" i="3"/>
  <c r="H520" i="3"/>
  <c r="AC520" i="3"/>
  <c r="H521" i="3"/>
  <c r="H522" i="3"/>
  <c r="AC522" i="3"/>
  <c r="H523" i="3"/>
  <c r="AC523" i="3"/>
  <c r="H524" i="3"/>
  <c r="AC524" i="3"/>
  <c r="H525" i="3"/>
  <c r="AC525" i="3"/>
  <c r="H526" i="3"/>
  <c r="AC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G552" i="3"/>
  <c r="H553" i="3"/>
  <c r="AC553" i="3"/>
  <c r="H554" i="3"/>
  <c r="AC554" i="3"/>
  <c r="H555" i="3"/>
  <c r="AC555" i="3"/>
  <c r="H556" i="3"/>
  <c r="AC556" i="3"/>
  <c r="G556" i="3"/>
  <c r="H557" i="3"/>
  <c r="H558" i="3"/>
  <c r="AC558" i="3"/>
  <c r="G558" i="3"/>
  <c r="H559" i="3"/>
  <c r="AC559" i="3"/>
  <c r="H560" i="3"/>
  <c r="AC560" i="3"/>
  <c r="H561" i="3"/>
  <c r="AC561" i="3"/>
  <c r="H562" i="3"/>
  <c r="AC562" i="3"/>
  <c r="H563" i="3"/>
  <c r="AC563" i="3"/>
  <c r="H564" i="3"/>
  <c r="AC564" i="3"/>
  <c r="H565" i="3"/>
  <c r="AC565" i="3"/>
  <c r="H566" i="3"/>
  <c r="AC566" i="3"/>
  <c r="G566" i="3"/>
  <c r="H567" i="3"/>
  <c r="AC567" i="3"/>
  <c r="H568" i="3"/>
  <c r="AC568" i="3"/>
  <c r="H569" i="3"/>
  <c r="AC569" i="3"/>
  <c r="H570" i="3"/>
  <c r="AC570" i="3"/>
  <c r="G570" i="3"/>
  <c r="H571" i="3"/>
  <c r="AC571" i="3"/>
  <c r="H572" i="3"/>
  <c r="AC572" i="3"/>
  <c r="H573" i="3"/>
  <c r="AC573" i="3"/>
  <c r="H574" i="3"/>
  <c r="AC574" i="3"/>
  <c r="H575" i="3"/>
  <c r="AC575" i="3"/>
  <c r="H576" i="3"/>
  <c r="AC576" i="3"/>
  <c r="H577" i="3"/>
  <c r="AC577" i="3"/>
  <c r="H578" i="3"/>
  <c r="AC578" i="3"/>
  <c r="H579" i="3"/>
  <c r="AC579" i="3"/>
  <c r="H580" i="3"/>
  <c r="AC580" i="3"/>
  <c r="H581" i="3"/>
  <c r="AC581" i="3"/>
  <c r="H582" i="3"/>
  <c r="AC582" i="3"/>
  <c r="G582" i="3"/>
  <c r="H583" i="3"/>
  <c r="AC583" i="3"/>
  <c r="H584" i="3"/>
  <c r="AC584" i="3"/>
  <c r="H7" i="12"/>
  <c r="I7" i="12"/>
  <c r="J7" i="12"/>
  <c r="K7" i="12"/>
  <c r="H111" i="21"/>
  <c r="B109" i="39"/>
  <c r="B111" i="39"/>
  <c r="J36" i="39"/>
  <c r="AC36" i="39"/>
  <c r="J30" i="36"/>
  <c r="H30" i="36"/>
  <c r="U30" i="36"/>
  <c r="F30" i="36"/>
  <c r="AA30" i="36"/>
  <c r="C26" i="35"/>
  <c r="C79" i="35"/>
  <c r="J31" i="35"/>
  <c r="W31" i="35"/>
  <c r="H31" i="35"/>
  <c r="AB31" i="35"/>
  <c r="F31" i="35"/>
  <c r="AA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E114" i="34"/>
  <c r="F114" i="34"/>
  <c r="G114" i="34"/>
  <c r="H114" i="34"/>
  <c r="I114" i="34"/>
  <c r="J114" i="34"/>
  <c r="K114" i="34"/>
  <c r="L114" i="34"/>
  <c r="M114" i="34"/>
  <c r="F38" i="34"/>
  <c r="S38" i="34"/>
  <c r="D112" i="34"/>
  <c r="E112" i="34"/>
  <c r="F112" i="34"/>
  <c r="G112" i="34"/>
  <c r="H112" i="34"/>
  <c r="I112" i="34"/>
  <c r="J112" i="34"/>
  <c r="K112" i="34"/>
  <c r="L112" i="34"/>
  <c r="M112" i="34"/>
  <c r="F40" i="33"/>
  <c r="S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H14"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H38" i="40"/>
  <c r="AB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J39" i="37"/>
  <c r="AC39" i="37"/>
  <c r="B108" i="37"/>
  <c r="J38" i="37"/>
  <c r="AC38" i="37"/>
  <c r="C23" i="37"/>
  <c r="C19" i="37"/>
  <c r="C17" i="37"/>
  <c r="C15" i="37"/>
  <c r="B112"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F24" i="36"/>
  <c r="J24" i="36"/>
  <c r="AC24" i="36"/>
  <c r="B71" i="36"/>
  <c r="H23" i="36"/>
  <c r="AB23" i="36"/>
  <c r="D70" i="36"/>
  <c r="H22" i="36"/>
  <c r="AB22" i="36"/>
  <c r="D68" i="36"/>
  <c r="E68" i="36"/>
  <c r="F68" i="36"/>
  <c r="G68" i="36"/>
  <c r="D64" i="36"/>
  <c r="E64" i="36"/>
  <c r="F64" i="36"/>
  <c r="G64" i="36"/>
  <c r="J16" i="36"/>
  <c r="W16" i="36"/>
  <c r="D62" i="36"/>
  <c r="E62" i="36"/>
  <c r="F62" i="36"/>
  <c r="G62" i="36"/>
  <c r="B59" i="36"/>
  <c r="B57" i="36"/>
  <c r="H12" i="36"/>
  <c r="U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c r="AC36" i="35"/>
  <c r="H36" i="35"/>
  <c r="AB36" i="35"/>
  <c r="B99" i="35"/>
  <c r="B97" i="35"/>
  <c r="B77" i="35"/>
  <c r="B75" i="35"/>
  <c r="J24" i="35"/>
  <c r="AC24" i="35"/>
  <c r="B73" i="35"/>
  <c r="J23" i="35"/>
  <c r="AC23" i="35"/>
  <c r="B57" i="35"/>
  <c r="F11" i="35"/>
  <c r="S11" i="35"/>
  <c r="B61" i="35"/>
  <c r="B59" i="35"/>
  <c r="F12" i="35"/>
  <c r="B131" i="34"/>
  <c r="B129" i="34"/>
  <c r="J46" i="34"/>
  <c r="B127" i="34"/>
  <c r="B99" i="34"/>
  <c r="B97" i="34"/>
  <c r="B95" i="34"/>
  <c r="B93" i="34"/>
  <c r="B75" i="34"/>
  <c r="B73" i="34"/>
  <c r="B71" i="34"/>
  <c r="B130" i="33"/>
  <c r="B128" i="33"/>
  <c r="B126" i="33"/>
  <c r="B98" i="33"/>
  <c r="F31"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D82" i="34"/>
  <c r="E82" i="34"/>
  <c r="D80" i="34"/>
  <c r="E80" i="34"/>
  <c r="F80" i="34"/>
  <c r="G80" i="34"/>
  <c r="D78" i="34"/>
  <c r="E78" i="34"/>
  <c r="D70" i="34"/>
  <c r="E70" i="34"/>
  <c r="M68" i="34"/>
  <c r="L68" i="34"/>
  <c r="K68" i="34"/>
  <c r="J68" i="34"/>
  <c r="I68" i="34"/>
  <c r="H68" i="34"/>
  <c r="G68" i="34"/>
  <c r="F68" i="34"/>
  <c r="E68" i="34"/>
  <c r="D68" i="34"/>
  <c r="C68" i="34"/>
  <c r="C64" i="34"/>
  <c r="H9" i="34"/>
  <c r="U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9" i="33"/>
  <c r="AA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AC30" i="21"/>
  <c r="B94" i="21"/>
  <c r="J29" i="21"/>
  <c r="AC29" i="21"/>
  <c r="B92" i="21"/>
  <c r="J28" i="21"/>
  <c r="W28" i="21"/>
  <c r="B90" i="21"/>
  <c r="B74" i="21"/>
  <c r="J14" i="21"/>
  <c r="W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J35" i="39"/>
  <c r="AC35" i="39"/>
  <c r="F35" i="39"/>
  <c r="AA35" i="39"/>
  <c r="W40" i="39"/>
  <c r="W25" i="37"/>
  <c r="U30" i="37"/>
  <c r="W31" i="37"/>
  <c r="E103" i="37"/>
  <c r="F103" i="37"/>
  <c r="G103" i="37"/>
  <c r="H103" i="37"/>
  <c r="I103" i="37"/>
  <c r="J103" i="37"/>
  <c r="K103" i="37"/>
  <c r="L103" i="37"/>
  <c r="M103" i="37"/>
  <c r="F29" i="36"/>
  <c r="AA29" i="36"/>
  <c r="F16" i="36"/>
  <c r="AA16" i="36"/>
  <c r="W28" i="36"/>
  <c r="H22" i="35"/>
  <c r="AB22" i="35"/>
  <c r="AC27" i="35"/>
  <c r="W28" i="35"/>
  <c r="U31" i="35"/>
  <c r="W22" i="35"/>
  <c r="U34" i="35"/>
  <c r="F36" i="34"/>
  <c r="AA36" i="34"/>
  <c r="J35" i="34"/>
  <c r="H39" i="33"/>
  <c r="AB39" i="33"/>
  <c r="U35" i="33"/>
  <c r="W33" i="33"/>
  <c r="W39" i="33"/>
  <c r="S27" i="35"/>
  <c r="F11" i="40"/>
  <c r="AA11" i="40"/>
  <c r="H11" i="40"/>
  <c r="AB11" i="40"/>
  <c r="W8" i="40"/>
  <c r="AB39" i="40"/>
  <c r="U9" i="40"/>
  <c r="S34" i="40"/>
  <c r="U38"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H32" i="33"/>
  <c r="AB32" i="33"/>
  <c r="H11" i="21"/>
  <c r="U11" i="21"/>
  <c r="J11" i="21"/>
  <c r="W11" i="21"/>
  <c r="H37" i="40"/>
  <c r="U37" i="40"/>
  <c r="H36" i="40"/>
  <c r="AB36" i="40"/>
  <c r="F35" i="40"/>
  <c r="AA35" i="40"/>
  <c r="H23" i="40"/>
  <c r="AB23" i="40"/>
  <c r="H17" i="40"/>
  <c r="U17" i="40"/>
  <c r="J15" i="40"/>
  <c r="W15" i="40"/>
  <c r="J11" i="40"/>
  <c r="W11" i="40"/>
  <c r="AB12" i="36"/>
  <c r="W32" i="40"/>
  <c r="F37" i="39"/>
  <c r="AA37" i="39"/>
  <c r="J34" i="36"/>
  <c r="W34"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24" i="36"/>
  <c r="F34" i="36"/>
  <c r="S34" i="36"/>
  <c r="F14" i="35"/>
  <c r="AA14"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H36" i="34"/>
  <c r="U36" i="34"/>
  <c r="F37" i="34"/>
  <c r="AA37" i="34"/>
  <c r="F28" i="34"/>
  <c r="AA28" i="34"/>
  <c r="F25" i="34"/>
  <c r="S25" i="34"/>
  <c r="W8" i="34"/>
  <c r="J28" i="34"/>
  <c r="W28" i="34"/>
  <c r="F41" i="33"/>
  <c r="AA41" i="33"/>
  <c r="S38" i="33"/>
  <c r="E113" i="33"/>
  <c r="F113" i="33"/>
  <c r="G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AB42" i="34"/>
  <c r="J40" i="34"/>
  <c r="AC40" i="34"/>
  <c r="H38" i="34"/>
  <c r="AB38" i="34"/>
  <c r="J36" i="34"/>
  <c r="W36" i="34"/>
  <c r="H37" i="34"/>
  <c r="U37" i="34"/>
  <c r="H25" i="34"/>
  <c r="AB25" i="34"/>
  <c r="J25" i="34"/>
  <c r="AC25" i="34"/>
  <c r="J17" i="34"/>
  <c r="W17" i="34"/>
  <c r="S41"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J42" i="21"/>
  <c r="AC42" i="21"/>
  <c r="H42" i="21"/>
  <c r="U42" i="21"/>
  <c r="J44" i="34"/>
  <c r="W44" i="34"/>
  <c r="F44" i="34"/>
  <c r="S44" i="34"/>
  <c r="J10" i="35"/>
  <c r="AC10" i="35"/>
  <c r="H14" i="21"/>
  <c r="U14" i="21"/>
  <c r="H28" i="21"/>
  <c r="AB28" i="21"/>
  <c r="F28" i="21"/>
  <c r="AA28" i="21"/>
  <c r="H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H29" i="21"/>
  <c r="U29" i="21"/>
  <c r="J31" i="21"/>
  <c r="AC31" i="21"/>
  <c r="F31" i="21"/>
  <c r="S31" i="21"/>
  <c r="F45" i="21"/>
  <c r="AA45" i="21"/>
  <c r="F27" i="33"/>
  <c r="AA27" i="33"/>
  <c r="J13" i="33"/>
  <c r="H13" i="33"/>
  <c r="U13" i="33"/>
  <c r="F13" i="33"/>
  <c r="S13" i="33"/>
  <c r="J29" i="33"/>
  <c r="H29" i="33"/>
  <c r="U29" i="33"/>
  <c r="F29" i="33"/>
  <c r="S29" i="33"/>
  <c r="J31" i="33"/>
  <c r="W31" i="33"/>
  <c r="H31" i="33"/>
  <c r="H45" i="33"/>
  <c r="U45" i="33"/>
  <c r="J45" i="33"/>
  <c r="W45" i="33"/>
  <c r="F45" i="33"/>
  <c r="J14" i="34"/>
  <c r="W14" i="34"/>
  <c r="F14" i="34"/>
  <c r="S14" i="34"/>
  <c r="H14" i="34"/>
  <c r="H30" i="34"/>
  <c r="F30" i="34"/>
  <c r="S30" i="34"/>
  <c r="J30" i="34"/>
  <c r="H32" i="34"/>
  <c r="F32" i="34"/>
  <c r="J32" i="34"/>
  <c r="W32" i="34"/>
  <c r="H46" i="34"/>
  <c r="U46" i="34"/>
  <c r="F46" i="34"/>
  <c r="H11" i="35"/>
  <c r="AB11" i="35"/>
  <c r="J11" i="35"/>
  <c r="W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U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F38" i="37"/>
  <c r="S38" i="37"/>
  <c r="F43" i="39"/>
  <c r="AA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4" i="40"/>
  <c r="J14" i="40"/>
  <c r="W14" i="40"/>
  <c r="F14" i="40"/>
  <c r="AA14" i="40"/>
  <c r="J14" i="37"/>
  <c r="J27" i="37"/>
  <c r="AC27" i="37"/>
  <c r="AA44" i="33"/>
  <c r="AA14" i="33"/>
  <c r="J36" i="37"/>
  <c r="AC36" i="37"/>
  <c r="J10" i="36"/>
  <c r="AC10" i="36"/>
  <c r="W31" i="34"/>
  <c r="S11" i="36"/>
  <c r="AB46" i="34"/>
  <c r="AB45" i="33"/>
  <c r="AC28" i="21"/>
  <c r="F17" i="21"/>
  <c r="AA17" i="21"/>
  <c r="H17" i="21"/>
  <c r="AB17" i="21"/>
  <c r="F15" i="21"/>
  <c r="S15" i="21"/>
  <c r="J41" i="39"/>
  <c r="W41"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G533" i="3"/>
  <c r="G529" i="3"/>
  <c r="G525" i="3"/>
  <c r="G493" i="3"/>
  <c r="G583" i="3"/>
  <c r="G581" i="3"/>
  <c r="G579" i="3"/>
  <c r="G577" i="3"/>
  <c r="G575" i="3"/>
  <c r="G573" i="3"/>
  <c r="G571" i="3"/>
  <c r="G569" i="3"/>
  <c r="G567" i="3"/>
  <c r="G565" i="3"/>
  <c r="G563" i="3"/>
  <c r="G561" i="3"/>
  <c r="AC557" i="3"/>
  <c r="G557" i="3"/>
  <c r="G559" i="3"/>
  <c r="G555" i="3"/>
  <c r="G553" i="3"/>
  <c r="G549" i="3"/>
  <c r="G547" i="3"/>
  <c r="G545" i="3"/>
  <c r="G543" i="3"/>
  <c r="G541" i="3"/>
  <c r="G539" i="3"/>
  <c r="G537" i="3"/>
  <c r="AC521" i="3"/>
  <c r="G521" i="3"/>
  <c r="G519" i="3"/>
  <c r="G517" i="3"/>
  <c r="G515" i="3"/>
  <c r="G513" i="3"/>
  <c r="G511" i="3"/>
  <c r="AC509" i="3"/>
  <c r="G507" i="3"/>
  <c r="G505" i="3"/>
  <c r="G503" i="3"/>
  <c r="G501" i="3"/>
  <c r="G499" i="3"/>
  <c r="G497" i="3"/>
  <c r="G49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W23" i="35"/>
  <c r="W47" i="34"/>
  <c r="AA13" i="33"/>
  <c r="AC31" i="33"/>
  <c r="AC45" i="33"/>
  <c r="W44" i="33"/>
  <c r="U11" i="33"/>
  <c r="U19" i="21"/>
  <c r="W44"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2" i="39"/>
  <c r="S12" i="39"/>
  <c r="J42" i="39"/>
  <c r="AC42" i="39"/>
  <c r="H21" i="40"/>
  <c r="AB21" i="40"/>
  <c r="H31" i="37"/>
  <c r="U31" i="37"/>
  <c r="J15" i="37"/>
  <c r="W15" i="37"/>
  <c r="AT6" i="3"/>
  <c r="H5" i="3"/>
  <c r="H19" i="40"/>
  <c r="U19" i="40"/>
  <c r="F88" i="40"/>
  <c r="G88" i="40"/>
  <c r="F19" i="40"/>
  <c r="S19" i="40"/>
  <c r="S14" i="40"/>
  <c r="AC13" i="40"/>
  <c r="AB33" i="40"/>
  <c r="W2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6"/>
  <c r="C46" i="36"/>
  <c r="D46" i="36"/>
  <c r="E46" i="36"/>
  <c r="F46" i="36"/>
  <c r="G46" i="36"/>
  <c r="H46" i="36"/>
  <c r="I46" i="36"/>
  <c r="W35" i="40"/>
  <c r="A118" i="9"/>
  <c r="A4" i="52"/>
  <c r="B41" i="72"/>
  <c r="J11" i="39"/>
  <c r="W11" i="39"/>
  <c r="F11" i="39"/>
  <c r="S11" i="39"/>
  <c r="G4" i="4"/>
  <c r="I4" i="4"/>
  <c r="F61" i="43"/>
  <c r="H64" i="43"/>
  <c r="G64" i="43"/>
  <c r="G546" i="3"/>
  <c r="G524"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30" i="3"/>
  <c r="G522" i="3"/>
  <c r="G516" i="3"/>
  <c r="G512" i="3"/>
  <c r="G506" i="3"/>
  <c r="G498" i="3"/>
  <c r="G494"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J5" i="3"/>
  <c r="BH5" i="3"/>
  <c r="BF5" i="3"/>
  <c r="BD5" i="3"/>
  <c r="AC5" i="3"/>
  <c r="G548" i="3"/>
  <c r="G538" i="3"/>
  <c r="G520" i="3"/>
  <c r="G502" i="3"/>
  <c r="BK5" i="3"/>
  <c r="BI5" i="3"/>
  <c r="BG5" i="3"/>
  <c r="BE5" i="3"/>
  <c r="BC5" i="3"/>
  <c r="G17" i="3"/>
  <c r="BB5" i="3"/>
  <c r="G509" i="3"/>
  <c r="U36" i="40"/>
  <c r="F83" i="43"/>
  <c r="H85" i="43"/>
  <c r="F50" i="43"/>
  <c r="H54" i="43"/>
  <c r="F72" i="43"/>
  <c r="H75" i="43"/>
  <c r="U17" i="39"/>
  <c r="S14" i="35"/>
  <c r="U43" i="21"/>
  <c r="U35" i="21"/>
  <c r="AC35" i="21"/>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H44" i="34"/>
  <c r="U44" i="34"/>
  <c r="AC38" i="39"/>
  <c r="F39" i="39"/>
  <c r="J39" i="39"/>
  <c r="AC39" i="39"/>
  <c r="E96" i="39"/>
  <c r="F96" i="39"/>
  <c r="G96" i="39"/>
  <c r="C40" i="11"/>
  <c r="F23" i="39"/>
  <c r="AA23" i="39"/>
  <c r="H27" i="36"/>
  <c r="U27" i="36"/>
  <c r="F27" i="36"/>
  <c r="AA27" i="36"/>
  <c r="H33" i="34"/>
  <c r="U33" i="34"/>
  <c r="F32" i="37"/>
  <c r="AA32" i="37"/>
  <c r="G96" i="37"/>
  <c r="H96" i="37"/>
  <c r="I96" i="37"/>
  <c r="J96" i="37"/>
  <c r="K96" i="37"/>
  <c r="L96" i="37"/>
  <c r="M96" i="37"/>
  <c r="F20" i="36"/>
  <c r="AA20" i="36"/>
  <c r="J33" i="34"/>
  <c r="H23" i="39"/>
  <c r="U23" i="39"/>
  <c r="M9" i="1"/>
  <c r="AC26" i="33"/>
  <c r="W26" i="33"/>
  <c r="AB34" i="36"/>
  <c r="U34" i="36"/>
  <c r="AC12" i="39"/>
  <c r="W12" i="39"/>
  <c r="AC39" i="40"/>
  <c r="W39" i="40"/>
  <c r="W12" i="33"/>
  <c r="AC12" i="33"/>
  <c r="AA32" i="36"/>
  <c r="S32" i="36"/>
  <c r="U30" i="33"/>
  <c r="AC13" i="34"/>
  <c r="AA47" i="34"/>
  <c r="W28" i="37"/>
  <c r="S19" i="39"/>
  <c r="F12" i="33"/>
  <c r="H12" i="39"/>
  <c r="AB12" i="39"/>
  <c r="F39" i="40"/>
  <c r="S39" i="40"/>
  <c r="B12" i="1"/>
  <c r="E12" i="1"/>
  <c r="B10" i="1"/>
  <c r="E10" i="1"/>
  <c r="M12" i="1"/>
  <c r="S13" i="1"/>
  <c r="AR13" i="1"/>
  <c r="R13" i="1"/>
  <c r="J51" i="67"/>
  <c r="C24" i="12"/>
  <c r="AC34" i="33"/>
  <c r="AA34" i="33"/>
  <c r="AB37" i="40"/>
  <c r="S35" i="40"/>
  <c r="U35" i="40"/>
  <c r="AC36" i="40"/>
  <c r="AA32" i="40"/>
  <c r="S17" i="40"/>
  <c r="S23" i="40"/>
  <c r="AC17" i="40"/>
  <c r="AC15"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AB21" i="39"/>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AB31" i="37"/>
  <c r="W30" i="37"/>
  <c r="S36" i="37"/>
  <c r="AA38" i="37"/>
  <c r="W38" i="37"/>
  <c r="AC35" i="37"/>
  <c r="W39" i="37"/>
  <c r="S30" i="37"/>
  <c r="S37" i="37"/>
  <c r="AC15" i="37"/>
  <c r="J17" i="37"/>
  <c r="W17" i="37"/>
  <c r="G73" i="37"/>
  <c r="F17" i="37"/>
  <c r="AA17" i="37"/>
  <c r="AB17" i="37"/>
  <c r="F75" i="37"/>
  <c r="F19" i="37"/>
  <c r="S19" i="37"/>
  <c r="F79" i="37"/>
  <c r="F23" i="37"/>
  <c r="U23" i="37"/>
  <c r="U15" i="37"/>
  <c r="AC13" i="37"/>
  <c r="AA13" i="37"/>
  <c r="H10" i="37"/>
  <c r="AB10" i="37"/>
  <c r="F63" i="37"/>
  <c r="G63" i="37"/>
  <c r="H63" i="37"/>
  <c r="I63" i="37"/>
  <c r="F11" i="37"/>
  <c r="S11" i="37"/>
  <c r="W25" i="34"/>
  <c r="AB8" i="34"/>
  <c r="AC42" i="34"/>
  <c r="U39" i="34"/>
  <c r="AA45" i="34"/>
  <c r="AA25" i="34"/>
  <c r="U28" i="34"/>
  <c r="AA29"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AC32" i="33"/>
  <c r="S46" i="33"/>
  <c r="W43" i="33"/>
  <c r="S43" i="33"/>
  <c r="F91" i="33"/>
  <c r="G91" i="33"/>
  <c r="H91" i="33"/>
  <c r="I91" i="33"/>
  <c r="J91" i="33"/>
  <c r="K91" i="33"/>
  <c r="L91" i="33"/>
  <c r="M91" i="33"/>
  <c r="H27" i="33"/>
  <c r="AB27" i="33"/>
  <c r="F87" i="33"/>
  <c r="H25" i="33"/>
  <c r="U25" i="33"/>
  <c r="F25" i="33"/>
  <c r="AA25" i="33"/>
  <c r="J23" i="33"/>
  <c r="AC23" i="33"/>
  <c r="F85" i="33"/>
  <c r="H23" i="33"/>
  <c r="AB23" i="33"/>
  <c r="F81" i="33"/>
  <c r="G81" i="33"/>
  <c r="F19" i="33"/>
  <c r="W19" i="33"/>
  <c r="J17" i="33"/>
  <c r="AC17" i="33"/>
  <c r="F79" i="33"/>
  <c r="G79" i="33"/>
  <c r="S15" i="33"/>
  <c r="W15" i="33"/>
  <c r="U9" i="33"/>
  <c r="J10" i="33"/>
  <c r="W10" i="33"/>
  <c r="H10" i="33"/>
  <c r="U10" i="33"/>
  <c r="AC11" i="33"/>
  <c r="AB14" i="33"/>
  <c r="W43" i="21"/>
  <c r="W36" i="21"/>
  <c r="W41" i="21"/>
  <c r="AB39" i="21"/>
  <c r="AA43" i="21"/>
  <c r="S39" i="21"/>
  <c r="AA38" i="21"/>
  <c r="AA36" i="21"/>
  <c r="AC40" i="21"/>
  <c r="J15" i="21"/>
  <c r="F77" i="21"/>
  <c r="G77" i="21"/>
  <c r="F23" i="21"/>
  <c r="E85" i="21"/>
  <c r="D120" i="9"/>
  <c r="C18" i="9"/>
  <c r="D18" i="9"/>
  <c r="F34" i="67"/>
  <c r="F62" i="67"/>
  <c r="M20" i="67"/>
  <c r="F34" i="15"/>
  <c r="F62" i="15"/>
  <c r="G13" i="3"/>
  <c r="J56" i="9"/>
  <c r="J57" i="9"/>
  <c r="J59" i="9"/>
  <c r="J61" i="9"/>
  <c r="A24" i="51"/>
  <c r="B18" i="72"/>
  <c r="U29" i="34"/>
  <c r="E5" i="6"/>
  <c r="E32" i="6"/>
  <c r="G1" i="68"/>
  <c r="K1" i="12"/>
  <c r="E19" i="69"/>
  <c r="G22" i="69"/>
  <c r="G22" i="68"/>
  <c r="G26" i="12"/>
  <c r="G22" i="11"/>
  <c r="C6" i="43"/>
  <c r="B19" i="53"/>
  <c r="B37" i="72"/>
  <c r="C7" i="33"/>
  <c r="G23" i="43"/>
  <c r="C23" i="43"/>
  <c r="L20" i="6"/>
  <c r="B6" i="1"/>
  <c r="E6" i="1"/>
  <c r="M11" i="1"/>
  <c r="O11" i="1"/>
  <c r="B9" i="1"/>
  <c r="E9" i="1"/>
  <c r="M7" i="1"/>
  <c r="O7" i="1"/>
  <c r="P7" i="1"/>
  <c r="G1" i="15"/>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A8" i="34"/>
  <c r="AB9"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AB32" i="21"/>
  <c r="H9" i="21"/>
  <c r="U9" i="21"/>
  <c r="J9" i="21"/>
  <c r="J32" i="21"/>
  <c r="W32" i="21"/>
  <c r="F32" i="21"/>
  <c r="AA32" i="21"/>
  <c r="AA31" i="21"/>
  <c r="U17" i="21"/>
  <c r="W29" i="21"/>
  <c r="S19" i="21"/>
  <c r="S9" i="21"/>
  <c r="AA9" i="21"/>
  <c r="K141" i="21"/>
  <c r="K144" i="21"/>
  <c r="K143" i="21"/>
  <c r="U27" i="21"/>
  <c r="AB25" i="21"/>
  <c r="AB44" i="21"/>
  <c r="W13" i="21"/>
  <c r="W42" i="21"/>
  <c r="AC45" i="21"/>
  <c r="F10" i="21"/>
  <c r="AA10" i="2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E4" i="4"/>
  <c r="B5" i="62"/>
  <c r="B73" i="72"/>
  <c r="C4" i="4"/>
  <c r="AA39" i="40"/>
  <c r="S12" i="33"/>
  <c r="AA12" i="33"/>
  <c r="J32" i="39"/>
  <c r="W32" i="39"/>
  <c r="H32" i="39"/>
  <c r="AB32" i="39"/>
  <c r="AA32" i="39"/>
  <c r="S32" i="39"/>
  <c r="U21" i="39"/>
  <c r="AA21" i="39"/>
  <c r="S21" i="39"/>
  <c r="S17" i="37"/>
  <c r="J19" i="37"/>
  <c r="W19" i="37"/>
  <c r="G75" i="37"/>
  <c r="AA19" i="37"/>
  <c r="J23" i="37"/>
  <c r="AC23" i="37"/>
  <c r="G79" i="37"/>
  <c r="J10" i="37"/>
  <c r="W10" i="37"/>
  <c r="H11" i="37"/>
  <c r="AB11" i="37"/>
  <c r="H11" i="34"/>
  <c r="U11" i="34"/>
  <c r="J10" i="34"/>
  <c r="AC10" i="34"/>
  <c r="AB41" i="33"/>
  <c r="W35" i="33"/>
  <c r="AC35" i="33"/>
  <c r="H111" i="33"/>
  <c r="I111" i="33"/>
  <c r="J111" i="33"/>
  <c r="K111" i="33"/>
  <c r="L111" i="33"/>
  <c r="M111" i="33"/>
  <c r="J36" i="33"/>
  <c r="W36" i="33"/>
  <c r="H36" i="33"/>
  <c r="W32" i="33"/>
  <c r="U27" i="33"/>
  <c r="J27" i="33"/>
  <c r="AC27" i="33"/>
  <c r="AB25" i="33"/>
  <c r="S25" i="33"/>
  <c r="G87" i="33"/>
  <c r="H87" i="33"/>
  <c r="I87" i="33"/>
  <c r="J87" i="33"/>
  <c r="K87" i="33"/>
  <c r="L87" i="33"/>
  <c r="M87" i="33"/>
  <c r="J25" i="33"/>
  <c r="AC25" i="33"/>
  <c r="F23" i="33"/>
  <c r="G85" i="33"/>
  <c r="H19" i="33"/>
  <c r="U19" i="33"/>
  <c r="H17" i="33"/>
  <c r="U17" i="33"/>
  <c r="F17" i="33"/>
  <c r="S17" i="33"/>
  <c r="W17" i="33"/>
  <c r="AB15" i="21"/>
  <c r="J23" i="21"/>
  <c r="AC23" i="21"/>
  <c r="F85" i="21"/>
  <c r="G85" i="21"/>
  <c r="H23" i="21"/>
  <c r="S13" i="21"/>
  <c r="AP7" i="1"/>
  <c r="AB45" i="21"/>
  <c r="W9" i="21"/>
  <c r="AC9" i="21"/>
  <c r="U32" i="39"/>
  <c r="W23" i="37"/>
  <c r="J63" i="37"/>
  <c r="K63" i="37"/>
  <c r="L63" i="37"/>
  <c r="M63" i="37"/>
  <c r="J11" i="37"/>
  <c r="AC11" i="37"/>
  <c r="H70" i="34"/>
  <c r="I70" i="34"/>
  <c r="J70" i="34"/>
  <c r="K70" i="34"/>
  <c r="L70" i="34"/>
  <c r="M70" i="34"/>
  <c r="J11" i="34"/>
  <c r="W11" i="34"/>
  <c r="U23" i="21"/>
  <c r="AB23" i="21"/>
  <c r="H10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20" i="31"/>
  <c r="F16" i="15"/>
  <c r="M8" i="67"/>
  <c r="E11" i="76"/>
  <c r="F8" i="15"/>
  <c r="B12" i="76"/>
  <c r="M8" i="15"/>
  <c r="M9" i="15"/>
  <c r="B10" i="76"/>
  <c r="F40" i="67"/>
  <c r="C76" i="15"/>
  <c r="B8" i="76"/>
  <c r="E8" i="76"/>
  <c r="J15" i="67"/>
  <c r="M28" i="67"/>
  <c r="E7" i="76"/>
  <c r="E2" i="69"/>
  <c r="F7" i="73"/>
  <c r="F40" i="15"/>
  <c r="D6" i="73"/>
  <c r="L47" i="15"/>
  <c r="F5" i="73"/>
  <c r="F37" i="15"/>
  <c r="E10" i="76"/>
  <c r="L48" i="67"/>
  <c r="M26" i="67"/>
  <c r="F26" i="15"/>
  <c r="J15" i="15"/>
  <c r="AO13" i="1"/>
  <c r="M23" i="67"/>
  <c r="M24" i="67"/>
  <c r="C76" i="67"/>
  <c r="E2" i="68"/>
  <c r="L48" i="15"/>
  <c r="F3" i="73"/>
  <c r="F7" i="15"/>
  <c r="F43" i="15"/>
  <c r="M26" i="15"/>
  <c r="F42" i="15"/>
  <c r="E9" i="76"/>
  <c r="M9" i="67"/>
  <c r="F6" i="73"/>
  <c r="B11" i="76"/>
  <c r="B7" i="76"/>
  <c r="E13" i="76"/>
  <c r="B13" i="76"/>
  <c r="F13" i="15"/>
  <c r="B9" i="76"/>
  <c r="E12" i="76"/>
  <c r="A2" i="9"/>
  <c r="W23" i="21"/>
  <c r="AA17" i="33"/>
  <c r="U32" i="21"/>
  <c r="S32" i="21"/>
  <c r="W27" i="33"/>
  <c r="S37" i="21"/>
  <c r="U23" i="33"/>
  <c r="AC17" i="37"/>
  <c r="S23" i="39"/>
  <c r="S32" i="37"/>
  <c r="M64" i="43"/>
  <c r="N64" i="43"/>
  <c r="K64" i="43"/>
  <c r="J64" i="43"/>
  <c r="AC12" i="37"/>
  <c r="AB27" i="40"/>
  <c r="W12" i="40"/>
  <c r="AC12" i="40"/>
  <c r="S38" i="40"/>
  <c r="AA38" i="40"/>
  <c r="S45" i="33"/>
  <c r="AA45" i="33"/>
  <c r="U30" i="21"/>
  <c r="AB30" i="21"/>
  <c r="AB46" i="33"/>
  <c r="B79" i="43"/>
  <c r="F44" i="39"/>
  <c r="J38" i="40"/>
  <c r="G403" i="3"/>
  <c r="G408" i="3"/>
  <c r="G409" i="3"/>
  <c r="G413" i="3"/>
  <c r="G419" i="3"/>
  <c r="G429" i="3"/>
  <c r="G430" i="3"/>
  <c r="G436" i="3"/>
  <c r="G437" i="3"/>
  <c r="G446" i="3"/>
  <c r="G447" i="3"/>
  <c r="F30" i="21"/>
  <c r="F23" i="35"/>
  <c r="H12" i="35"/>
  <c r="H23" i="35"/>
  <c r="J23" i="36"/>
  <c r="G400" i="3"/>
  <c r="G407" i="3"/>
  <c r="G417" i="3"/>
  <c r="G422" i="3"/>
  <c r="G433" i="3"/>
  <c r="G444" i="3"/>
  <c r="G459" i="3"/>
  <c r="F14" i="21"/>
  <c r="F17" i="34"/>
  <c r="AA17" i="34"/>
  <c r="H17" i="34"/>
  <c r="U17" i="34"/>
  <c r="S40" i="39"/>
  <c r="H39" i="37"/>
  <c r="U33" i="33"/>
  <c r="U9" i="39"/>
  <c r="F23" i="36"/>
  <c r="A15" i="62"/>
  <c r="B61" i="72"/>
  <c r="G399" i="3"/>
  <c r="G416" i="3"/>
  <c r="G463" i="3"/>
  <c r="G392" i="3"/>
  <c r="G397" i="3"/>
  <c r="G218" i="3"/>
  <c r="G224" i="3"/>
  <c r="G226" i="3"/>
  <c r="G237" i="3"/>
  <c r="G244" i="3"/>
  <c r="G249" i="3"/>
  <c r="G253" i="3"/>
  <c r="G266" i="3"/>
  <c r="G271" i="3"/>
  <c r="G290" i="3"/>
  <c r="G291" i="3"/>
  <c r="G302" i="3"/>
  <c r="G128" i="3"/>
  <c r="G449" i="3"/>
  <c r="G454" i="3"/>
  <c r="G455" i="3"/>
  <c r="G470" i="3"/>
  <c r="G477" i="3"/>
  <c r="G492" i="3"/>
  <c r="G339" i="3"/>
  <c r="G343" i="3"/>
  <c r="G347" i="3"/>
  <c r="G364" i="3"/>
  <c r="G216" i="3"/>
  <c r="G222" i="3"/>
  <c r="G229" i="3"/>
  <c r="G235" i="3"/>
  <c r="G258" i="3"/>
  <c r="G264" i="3"/>
  <c r="G274" i="3"/>
  <c r="G279" i="3"/>
  <c r="G283" i="3"/>
  <c r="G289" i="3"/>
  <c r="G123" i="3"/>
  <c r="G127" i="3"/>
  <c r="G135" i="3"/>
  <c r="G140" i="3"/>
  <c r="G156" i="3"/>
  <c r="D59" i="71"/>
  <c r="C60" i="71"/>
  <c r="G475" i="3"/>
  <c r="G481" i="3"/>
  <c r="G491" i="3"/>
  <c r="G329" i="3"/>
  <c r="G210" i="3"/>
  <c r="G220" i="3"/>
  <c r="G227" i="3"/>
  <c r="G233" i="3"/>
  <c r="G241" i="3"/>
  <c r="G251" i="3"/>
  <c r="G255" i="3"/>
  <c r="G256" i="3"/>
  <c r="G262" i="3"/>
  <c r="G268" i="3"/>
  <c r="G273" i="3"/>
  <c r="G126" i="3"/>
  <c r="G134" i="3"/>
  <c r="G143" i="3"/>
  <c r="G150" i="3"/>
  <c r="G154" i="3"/>
  <c r="G164" i="3"/>
  <c r="G136" i="3"/>
  <c r="G146" i="3"/>
  <c r="G159" i="3"/>
  <c r="G170" i="3"/>
  <c r="G180" i="3"/>
  <c r="G199" i="3"/>
  <c r="G21" i="3"/>
  <c r="G23" i="3"/>
  <c r="G26" i="3"/>
  <c r="G27" i="3"/>
  <c r="G42" i="3"/>
  <c r="G56" i="3"/>
  <c r="G65" i="3"/>
  <c r="G86" i="3"/>
  <c r="G98" i="3"/>
  <c r="G102" i="3"/>
  <c r="G103" i="3"/>
  <c r="G110" i="3"/>
  <c r="W29" i="39"/>
  <c r="C29" i="39"/>
  <c r="C63" i="71"/>
  <c r="E67" i="71"/>
  <c r="Y26" i="71"/>
  <c r="Z26" i="71"/>
  <c r="AB36" i="71"/>
  <c r="AA37" i="71"/>
  <c r="Y38" i="71"/>
  <c r="Z38" i="71"/>
  <c r="E47" i="71"/>
  <c r="E48" i="71"/>
  <c r="U48" i="71"/>
  <c r="C23" i="71"/>
  <c r="G163" i="3"/>
  <c r="G179" i="3"/>
  <c r="G183" i="3"/>
  <c r="G192" i="3"/>
  <c r="G206" i="3"/>
  <c r="G20" i="3"/>
  <c r="G41" i="3"/>
  <c r="G45" i="3"/>
  <c r="G51" i="3"/>
  <c r="G70" i="3"/>
  <c r="G75" i="3"/>
  <c r="AC18" i="35"/>
  <c r="B57" i="43"/>
  <c r="C7" i="21"/>
  <c r="Q68" i="71"/>
  <c r="F35" i="71"/>
  <c r="F36" i="71"/>
  <c r="V36" i="71"/>
  <c r="F38" i="71"/>
  <c r="F39" i="71"/>
  <c r="AA38" i="71"/>
  <c r="B51" i="71"/>
  <c r="B52" i="71"/>
  <c r="S52" i="71"/>
  <c r="S68" i="71"/>
  <c r="V68" i="71"/>
  <c r="F71" i="71"/>
  <c r="F70" i="71"/>
  <c r="B22" i="71"/>
  <c r="B21" i="71"/>
  <c r="B20" i="71"/>
  <c r="G205" i="3"/>
  <c r="G88" i="3"/>
  <c r="AC21" i="33"/>
  <c r="P27" i="6"/>
  <c r="Y29" i="71"/>
  <c r="Z29" i="71"/>
  <c r="C31" i="71"/>
  <c r="X25" i="71"/>
  <c r="AA35" i="71"/>
  <c r="Y35" i="71"/>
  <c r="Z35" i="71"/>
  <c r="X36" i="71"/>
  <c r="B63" i="71"/>
  <c r="B64" i="71"/>
  <c r="S64" i="71"/>
  <c r="F86" i="34"/>
  <c r="G86" i="34"/>
  <c r="J23" i="34"/>
  <c r="F23" i="34"/>
  <c r="S23" i="34"/>
  <c r="H23" i="34"/>
  <c r="U23" i="34"/>
  <c r="F82" i="34"/>
  <c r="G82" i="34"/>
  <c r="H19" i="34"/>
  <c r="F19" i="34"/>
  <c r="J19" i="34"/>
  <c r="AC17" i="34"/>
  <c r="F78" i="34"/>
  <c r="G78" i="34"/>
  <c r="H15" i="34"/>
  <c r="AB15" i="34"/>
  <c r="J15" i="34"/>
  <c r="F15" i="34"/>
  <c r="AA15" i="34"/>
  <c r="AC44" i="34"/>
  <c r="F124" i="34"/>
  <c r="G124" i="34"/>
  <c r="H124" i="34"/>
  <c r="I124" i="34"/>
  <c r="J124" i="34"/>
  <c r="K124" i="34"/>
  <c r="L124" i="34"/>
  <c r="M124" i="34"/>
  <c r="H43" i="34"/>
  <c r="F43" i="34"/>
  <c r="AA43" i="34"/>
  <c r="S37" i="34"/>
  <c r="AA44" i="34"/>
  <c r="AB35" i="34"/>
  <c r="S35" i="34"/>
  <c r="W27" i="34"/>
  <c r="AB23" i="34"/>
  <c r="U21" i="34"/>
  <c r="AB17" i="34"/>
  <c r="S17" i="34"/>
  <c r="AB41" i="34"/>
  <c r="W41" i="34"/>
  <c r="W40" i="34"/>
  <c r="AC39" i="34"/>
  <c r="S36" i="34"/>
  <c r="AB36" i="34"/>
  <c r="AC36" i="34"/>
  <c r="AB33" i="34"/>
  <c r="AA33" i="34"/>
  <c r="U27" i="34"/>
  <c r="F48" i="9"/>
  <c r="O52" i="9"/>
  <c r="D93" i="9"/>
  <c r="C21" i="68"/>
  <c r="E19" i="11"/>
  <c r="D23" i="15"/>
  <c r="D22" i="15"/>
  <c r="D68" i="9"/>
  <c r="M18" i="67"/>
  <c r="M47" i="9"/>
  <c r="C7" i="35"/>
  <c r="C48" i="35"/>
  <c r="D48" i="35"/>
  <c r="C7" i="34"/>
  <c r="C7" i="37"/>
  <c r="C52" i="37"/>
  <c r="D52" i="37"/>
  <c r="C7" i="40"/>
  <c r="C63" i="40"/>
  <c r="C7" i="39"/>
  <c r="C67" i="39"/>
  <c r="C69" i="39"/>
  <c r="U36" i="33"/>
  <c r="AB36" i="33"/>
  <c r="AC15" i="21"/>
  <c r="W15" i="21"/>
  <c r="S19" i="33"/>
  <c r="AA19" i="33"/>
  <c r="S23" i="37"/>
  <c r="AA23" i="37"/>
  <c r="AC33" i="34"/>
  <c r="W33" i="34"/>
  <c r="AB19" i="33"/>
  <c r="AC32" i="39"/>
  <c r="AA23" i="21"/>
  <c r="S23" i="21"/>
  <c r="AA36" i="33"/>
  <c r="S36" i="33"/>
  <c r="AA30" i="40"/>
  <c r="S30" i="40"/>
  <c r="W25" i="33"/>
  <c r="AB9" i="21"/>
  <c r="D121" i="9"/>
  <c r="D7" i="52"/>
  <c r="D6" i="52"/>
  <c r="S39" i="39"/>
  <c r="AA39" i="39"/>
  <c r="S40" i="34"/>
  <c r="AA40" i="34"/>
  <c r="AB26" i="37"/>
  <c r="U26" i="37"/>
  <c r="W27" i="40"/>
  <c r="U32" i="37"/>
  <c r="AA11" i="39"/>
  <c r="J27" i="21"/>
  <c r="F27" i="21"/>
  <c r="J12" i="34"/>
  <c r="H12" i="34"/>
  <c r="F12" i="34"/>
  <c r="S12" i="34"/>
  <c r="H25" i="37"/>
  <c r="F25" i="37"/>
  <c r="U8" i="39"/>
  <c r="AB8" i="39"/>
  <c r="AC11" i="35"/>
  <c r="B72" i="43"/>
  <c r="C15" i="39"/>
  <c r="B75" i="43"/>
  <c r="H33" i="36"/>
  <c r="J33" i="36"/>
  <c r="AC33" i="36"/>
  <c r="AB31" i="36"/>
  <c r="U31" i="36"/>
  <c r="S9" i="40"/>
  <c r="AA9" i="40"/>
  <c r="AC20" i="36"/>
  <c r="AC11" i="39"/>
  <c r="F26" i="33"/>
  <c r="H26" i="33"/>
  <c r="J43" i="39"/>
  <c r="H43" i="39"/>
  <c r="AA25" i="21"/>
  <c r="AA14" i="34"/>
  <c r="AA14" i="37"/>
  <c r="F9" i="34"/>
  <c r="AA9" i="34"/>
  <c r="J9" i="34"/>
  <c r="AB34" i="40"/>
  <c r="U34" i="40"/>
  <c r="G402" i="3"/>
  <c r="G406" i="3"/>
  <c r="G441" i="3"/>
  <c r="G448" i="3"/>
  <c r="G450" i="3"/>
  <c r="G466" i="3"/>
  <c r="G551" i="3"/>
  <c r="G542" i="3"/>
  <c r="G439" i="3"/>
  <c r="G585" i="3"/>
  <c r="G574" i="3"/>
  <c r="G412" i="3"/>
  <c r="G418" i="3"/>
  <c r="W31" i="40"/>
  <c r="S31" i="35"/>
  <c r="F39" i="37"/>
  <c r="S39" i="37"/>
  <c r="J44" i="39"/>
  <c r="G587" i="3"/>
  <c r="J12" i="35"/>
  <c r="G423" i="3"/>
  <c r="G427" i="3"/>
  <c r="G442" i="3"/>
  <c r="G443" i="3"/>
  <c r="G465" i="3"/>
  <c r="G486" i="3"/>
  <c r="G488" i="3"/>
  <c r="G318" i="3"/>
  <c r="G250" i="3"/>
  <c r="G252" i="3"/>
  <c r="G254" i="3"/>
  <c r="G276" i="3"/>
  <c r="G468" i="3"/>
  <c r="G479" i="3"/>
  <c r="G480" i="3"/>
  <c r="G482" i="3"/>
  <c r="G307" i="3"/>
  <c r="G349" i="3"/>
  <c r="G374" i="3"/>
  <c r="G247" i="3"/>
  <c r="G257" i="3"/>
  <c r="G259" i="3"/>
  <c r="G265" i="3"/>
  <c r="G267" i="3"/>
  <c r="G269" i="3"/>
  <c r="G288" i="3"/>
  <c r="G299" i="3"/>
  <c r="G458" i="3"/>
  <c r="G462" i="3"/>
  <c r="G484" i="3"/>
  <c r="G116" i="3"/>
  <c r="G277" i="3"/>
  <c r="G280" i="3"/>
  <c r="G282" i="3"/>
  <c r="G297" i="3"/>
  <c r="G300" i="3"/>
  <c r="G130" i="3"/>
  <c r="G152" i="3"/>
  <c r="G174" i="3"/>
  <c r="G182" i="3"/>
  <c r="G188" i="3"/>
  <c r="G191" i="3"/>
  <c r="G198" i="3"/>
  <c r="G19" i="3"/>
  <c r="G38" i="3"/>
  <c r="G46" i="3"/>
  <c r="G47" i="3"/>
  <c r="G57" i="3"/>
  <c r="G58" i="3"/>
  <c r="G61" i="3"/>
  <c r="G64" i="3"/>
  <c r="C44" i="71"/>
  <c r="D43" i="71"/>
  <c r="C52" i="71"/>
  <c r="D51" i="71"/>
  <c r="G115" i="3"/>
  <c r="G151" i="3"/>
  <c r="G162" i="3"/>
  <c r="G166" i="3"/>
  <c r="G186" i="3"/>
  <c r="G187" i="3"/>
  <c r="G194" i="3"/>
  <c r="G204" i="3"/>
  <c r="G22" i="3"/>
  <c r="G24" i="3"/>
  <c r="G25" i="3"/>
  <c r="G30" i="3"/>
  <c r="G35" i="3"/>
  <c r="G36" i="3"/>
  <c r="G40" i="3"/>
  <c r="C47" i="71"/>
  <c r="D47" i="71"/>
  <c r="D46" i="71"/>
  <c r="V24" i="71"/>
  <c r="E23" i="71"/>
  <c r="E22" i="71"/>
  <c r="E21" i="71"/>
  <c r="E20" i="71"/>
  <c r="E19" i="71"/>
  <c r="E18" i="71"/>
  <c r="E17" i="71"/>
  <c r="E16" i="71"/>
  <c r="G29" i="3"/>
  <c r="G39" i="3"/>
  <c r="G43" i="3"/>
  <c r="G44" i="3"/>
  <c r="G53" i="3"/>
  <c r="D31" i="71"/>
  <c r="C32" i="71"/>
  <c r="C55" i="71"/>
  <c r="D54" i="71"/>
  <c r="N67" i="71"/>
  <c r="B66" i="71"/>
  <c r="F66" i="71"/>
  <c r="Q67" i="71"/>
  <c r="G203" i="3"/>
  <c r="G67" i="3"/>
  <c r="G72" i="3"/>
  <c r="G81" i="3"/>
  <c r="G85" i="3"/>
  <c r="G96" i="3"/>
  <c r="G104" i="3"/>
  <c r="G105" i="3"/>
  <c r="F3" i="35"/>
  <c r="S21" i="33"/>
  <c r="S21" i="37"/>
  <c r="B77" i="43"/>
  <c r="AA18" i="35"/>
  <c r="O67" i="71"/>
  <c r="AA28" i="71"/>
  <c r="AB27" i="71"/>
  <c r="E75" i="71"/>
  <c r="E74" i="71"/>
  <c r="AB25" i="71"/>
  <c r="X26" i="71"/>
  <c r="Y25" i="71"/>
  <c r="Z25" i="71"/>
  <c r="X38" i="71"/>
  <c r="C35" i="71"/>
  <c r="N68" i="71"/>
  <c r="E38" i="71"/>
  <c r="E39" i="71"/>
  <c r="E40" i="71"/>
  <c r="U40" i="71"/>
  <c r="B34" i="71"/>
  <c r="B35" i="71"/>
  <c r="B36" i="71"/>
  <c r="S36" i="71"/>
  <c r="AB32" i="71"/>
  <c r="X33" i="71"/>
  <c r="AB37" i="71"/>
  <c r="C66" i="71"/>
  <c r="AA27" i="71"/>
  <c r="AB26" i="71"/>
  <c r="S28" i="71"/>
  <c r="C83" i="71"/>
  <c r="C79" i="71"/>
  <c r="C71" i="71"/>
  <c r="C39" i="71"/>
  <c r="Y28" i="71"/>
  <c r="Z28" i="71"/>
  <c r="C28" i="71"/>
  <c r="Y37" i="71"/>
  <c r="Z37" i="71"/>
  <c r="X35" i="71"/>
  <c r="Y30" i="71"/>
  <c r="Z30" i="71"/>
  <c r="X28" i="71"/>
  <c r="X32" i="71"/>
  <c r="F40" i="71"/>
  <c r="V40" i="71"/>
  <c r="AB38" i="71"/>
  <c r="AA39" i="71"/>
  <c r="F75" i="71"/>
  <c r="F74" i="71"/>
  <c r="G60" i="3"/>
  <c r="G76" i="3"/>
  <c r="G82" i="3"/>
  <c r="G83" i="3"/>
  <c r="G90" i="3"/>
  <c r="G101" i="3"/>
  <c r="G108" i="3"/>
  <c r="G109" i="3"/>
  <c r="AB21" i="33"/>
  <c r="U25" i="40"/>
  <c r="S21" i="34"/>
  <c r="B68" i="43"/>
  <c r="B88" i="43"/>
  <c r="M13" i="1"/>
  <c r="O13" i="1"/>
  <c r="P13" i="1"/>
  <c r="AB28" i="71"/>
  <c r="AB33" i="71"/>
  <c r="AA30" i="71"/>
  <c r="E35" i="71"/>
  <c r="E36" i="71"/>
  <c r="U36" i="71"/>
  <c r="AB31" i="71"/>
  <c r="AA36" i="71"/>
  <c r="B47" i="71"/>
  <c r="B48" i="71"/>
  <c r="S48" i="71"/>
  <c r="F9" i="1"/>
  <c r="G9" i="1"/>
  <c r="F10" i="1"/>
  <c r="G10" i="1"/>
  <c r="F8" i="1"/>
  <c r="G8" i="1"/>
  <c r="H69" i="43"/>
  <c r="G69" i="43"/>
  <c r="S23" i="33"/>
  <c r="AA23" i="33"/>
  <c r="AB17" i="33"/>
  <c r="S29" i="21"/>
  <c r="AB44" i="34"/>
  <c r="S39" i="34"/>
  <c r="AC13" i="36"/>
  <c r="W13" i="36"/>
  <c r="AB31" i="33"/>
  <c r="U31" i="33"/>
  <c r="S15" i="34"/>
  <c r="AB33" i="35"/>
  <c r="U33" i="35"/>
  <c r="AB43" i="33"/>
  <c r="U43" i="33"/>
  <c r="AB33" i="37"/>
  <c r="U33" i="37"/>
  <c r="AC19" i="37"/>
  <c r="W23" i="33"/>
  <c r="AB13" i="34"/>
  <c r="S41" i="34"/>
  <c r="AA41" i="34"/>
  <c r="AC14" i="37"/>
  <c r="W14" i="37"/>
  <c r="U28" i="37"/>
  <c r="AB28" i="37"/>
  <c r="W30" i="34"/>
  <c r="AC30" i="34"/>
  <c r="AC29" i="33"/>
  <c r="W29" i="33"/>
  <c r="W46" i="21"/>
  <c r="AC46" i="21"/>
  <c r="D19" i="53"/>
  <c r="B38" i="72"/>
  <c r="D16" i="53"/>
  <c r="B34" i="72"/>
  <c r="F30" i="6"/>
  <c r="AB35" i="35"/>
  <c r="U35" i="35"/>
  <c r="S13" i="35"/>
  <c r="AA13" i="35"/>
  <c r="AB31" i="34"/>
  <c r="U31" i="34"/>
  <c r="S12" i="21"/>
  <c r="AA12" i="21"/>
  <c r="S12" i="35"/>
  <c r="AA12" i="35"/>
  <c r="AC45" i="39"/>
  <c r="AA12" i="34"/>
  <c r="S34" i="21"/>
  <c r="J34" i="35"/>
  <c r="F34" i="35"/>
  <c r="J26" i="37"/>
  <c r="F26" i="37"/>
  <c r="F40" i="40"/>
  <c r="G578" i="3"/>
  <c r="W35" i="39"/>
  <c r="F27" i="34"/>
  <c r="C21" i="39"/>
  <c r="U9" i="36"/>
  <c r="U14" i="37"/>
  <c r="H12" i="21"/>
  <c r="G526" i="3"/>
  <c r="U26" i="21"/>
  <c r="W36" i="39"/>
  <c r="U23" i="40"/>
  <c r="AA39" i="37"/>
  <c r="AC16" i="36"/>
  <c r="AB12" i="33"/>
  <c r="C27" i="39"/>
  <c r="U40" i="40"/>
  <c r="AC9" i="40"/>
  <c r="W36" i="35"/>
  <c r="J12" i="21"/>
  <c r="B73" i="43"/>
  <c r="B76" i="43"/>
  <c r="F9" i="36"/>
  <c r="J40" i="40"/>
  <c r="G562" i="3"/>
  <c r="G476" i="3"/>
  <c r="G313" i="3"/>
  <c r="G327" i="3"/>
  <c r="G331" i="3"/>
  <c r="G334" i="3"/>
  <c r="G345" i="3"/>
  <c r="G378" i="3"/>
  <c r="G395" i="3"/>
  <c r="G208" i="3"/>
  <c r="G211" i="3"/>
  <c r="G219" i="3"/>
  <c r="G230" i="3"/>
  <c r="G248" i="3"/>
  <c r="G278" i="3"/>
  <c r="G483" i="3"/>
  <c r="G487" i="3"/>
  <c r="G369" i="3"/>
  <c r="G240" i="3"/>
  <c r="G242" i="3"/>
  <c r="G245" i="3"/>
  <c r="G272" i="3"/>
  <c r="G275" i="3"/>
  <c r="G293" i="3"/>
  <c r="G296" i="3"/>
  <c r="G301" i="3"/>
  <c r="G114" i="3"/>
  <c r="G118" i="3"/>
  <c r="G120" i="3"/>
  <c r="G124" i="3"/>
  <c r="G132" i="3"/>
  <c r="G139" i="3"/>
  <c r="G142" i="3"/>
  <c r="G298" i="3"/>
  <c r="G119" i="3"/>
  <c r="G122" i="3"/>
  <c r="G131" i="3"/>
  <c r="G148" i="3"/>
  <c r="G168" i="3"/>
  <c r="G200" i="3"/>
  <c r="G207" i="3"/>
  <c r="G91" i="3"/>
  <c r="AB21" i="21"/>
  <c r="G77" i="3"/>
  <c r="G94" i="3"/>
  <c r="G97" i="3"/>
  <c r="G100" i="3"/>
  <c r="AC21" i="34"/>
  <c r="E27" i="71"/>
  <c r="E26" i="71"/>
  <c r="V28"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G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G3" i="43"/>
  <c r="G30" i="6"/>
  <c r="G31" i="6"/>
  <c r="L19" i="6"/>
  <c r="L27" i="6"/>
  <c r="M6" i="1"/>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c r="H58" i="43"/>
  <c r="H51" i="43"/>
  <c r="H56" i="43"/>
  <c r="H65" i="43"/>
  <c r="G65" i="43"/>
  <c r="D72" i="43"/>
  <c r="D76" i="43"/>
  <c r="D80" i="43"/>
  <c r="D61" i="43"/>
  <c r="P61" i="15"/>
  <c r="C94" i="9"/>
  <c r="C92" i="9"/>
  <c r="C77" i="9"/>
  <c r="C74" i="9"/>
  <c r="C21" i="69"/>
  <c r="J84" i="43"/>
  <c r="J85" i="43"/>
  <c r="J86" i="43"/>
  <c r="J87" i="43"/>
  <c r="J88" i="43"/>
  <c r="J89" i="43"/>
  <c r="J90" i="43"/>
  <c r="D83" i="43"/>
  <c r="E83" i="43"/>
  <c r="B81" i="43"/>
  <c r="D64" i="43"/>
  <c r="D62" i="43"/>
  <c r="D67" i="43"/>
  <c r="D69" i="43"/>
  <c r="D73" i="43"/>
  <c r="D75" i="43"/>
  <c r="D79" i="43"/>
  <c r="D22" i="67"/>
  <c r="AQ13" i="1"/>
  <c r="E8" i="6"/>
  <c r="F27" i="6"/>
  <c r="E12" i="6"/>
  <c r="E57" i="40"/>
  <c r="E15" i="6"/>
  <c r="E64" i="39"/>
  <c r="E11" i="6"/>
  <c r="E60" i="39"/>
  <c r="E10" i="6"/>
  <c r="E13" i="6"/>
  <c r="P6" i="1"/>
  <c r="C13" i="12"/>
  <c r="P11" i="1"/>
  <c r="D9" i="11"/>
  <c r="C9" i="11"/>
  <c r="D19" i="12"/>
  <c r="C19" i="12"/>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D67" i="39"/>
  <c r="D69" i="39"/>
  <c r="T35" i="4"/>
  <c r="A19" i="51"/>
  <c r="B14" i="72"/>
  <c r="H110" i="9"/>
  <c r="D18" i="53"/>
  <c r="B35" i="72"/>
  <c r="H52" i="43"/>
  <c r="K5" i="4"/>
  <c r="B47" i="48"/>
  <c r="Y8" i="71"/>
  <c r="Z8" i="71"/>
  <c r="X8" i="71"/>
  <c r="AB8" i="71"/>
  <c r="AA8" i="71"/>
  <c r="D127" i="9"/>
  <c r="D13" i="52"/>
  <c r="D12" i="52"/>
  <c r="D20" i="53"/>
  <c r="B40" i="72"/>
  <c r="H76" i="43"/>
  <c r="H72" i="43"/>
  <c r="H63" i="43"/>
  <c r="G63" i="43"/>
  <c r="H61" i="43"/>
  <c r="G61" i="43"/>
  <c r="H53" i="43"/>
  <c r="H79" i="43"/>
  <c r="D17" i="53"/>
  <c r="B36" i="72"/>
  <c r="D124" i="9"/>
  <c r="H74" i="43"/>
  <c r="H57" i="43"/>
  <c r="H66" i="43"/>
  <c r="G66" i="43"/>
  <c r="H68" i="43"/>
  <c r="G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P26" i="43"/>
  <c r="Q71" i="15"/>
  <c r="J53" i="15"/>
  <c r="L56" i="15"/>
  <c r="J57" i="15"/>
  <c r="J55" i="15"/>
  <c r="J58" i="15"/>
  <c r="Q50" i="15"/>
  <c r="I54" i="15"/>
  <c r="B20" i="31"/>
  <c r="B21" i="31"/>
  <c r="F51" i="67"/>
  <c r="F65" i="67"/>
  <c r="J53" i="67"/>
  <c r="J57" i="67"/>
  <c r="J55" i="67"/>
  <c r="J58" i="67"/>
  <c r="Q50" i="67"/>
  <c r="L56" i="67"/>
  <c r="I54" i="67"/>
  <c r="M7" i="15"/>
  <c r="F50" i="15"/>
  <c r="F51" i="15"/>
  <c r="F71" i="15"/>
  <c r="F66" i="67"/>
  <c r="L59" i="15"/>
  <c r="N59" i="15"/>
  <c r="L58" i="15"/>
  <c r="M59" i="15"/>
  <c r="Q71" i="67"/>
  <c r="C27" i="15"/>
  <c r="F65" i="15"/>
  <c r="B13" i="70"/>
  <c r="F68" i="67"/>
  <c r="F64" i="67"/>
  <c r="F68" i="15"/>
  <c r="C36" i="68"/>
  <c r="D9" i="69"/>
  <c r="D9" i="68"/>
  <c r="M6" i="67"/>
  <c r="M6" i="15"/>
  <c r="M29" i="15"/>
  <c r="M24" i="15"/>
  <c r="M22" i="67"/>
  <c r="F38" i="15"/>
  <c r="M23" i="15"/>
  <c r="F42" i="67"/>
  <c r="M22" i="15"/>
  <c r="M29" i="67"/>
  <c r="F36" i="15"/>
  <c r="D3" i="73"/>
  <c r="C16" i="15"/>
  <c r="F9" i="15"/>
  <c r="L47" i="67"/>
  <c r="M28" i="15"/>
  <c r="F6" i="15"/>
  <c r="D4" i="73"/>
  <c r="D7" i="73"/>
  <c r="F50" i="67"/>
  <c r="M7" i="67"/>
  <c r="M17" i="67"/>
  <c r="E59" i="40"/>
  <c r="AP6" i="1"/>
  <c r="C36" i="69"/>
  <c r="M59" i="67"/>
  <c r="N59" i="67"/>
  <c r="L59" i="67"/>
  <c r="Q61" i="67"/>
  <c r="L58" i="67"/>
  <c r="Q60" i="67"/>
  <c r="F71" i="67"/>
  <c r="F64" i="15"/>
  <c r="F66" i="15"/>
  <c r="F31" i="15"/>
  <c r="C64" i="71"/>
  <c r="D63" i="71"/>
  <c r="D60" i="71"/>
  <c r="T60" i="71"/>
  <c r="AB39" i="37"/>
  <c r="U39" i="37"/>
  <c r="S14" i="21"/>
  <c r="AA14" i="21"/>
  <c r="AA23" i="35"/>
  <c r="S23" i="35"/>
  <c r="M68" i="43"/>
  <c r="N68" i="43"/>
  <c r="K68" i="43"/>
  <c r="J68" i="43"/>
  <c r="D68" i="43"/>
  <c r="K61" i="43"/>
  <c r="J61" i="43"/>
  <c r="M61" i="43"/>
  <c r="N61" i="43"/>
  <c r="M66" i="43"/>
  <c r="N66" i="43"/>
  <c r="K66" i="43"/>
  <c r="K63" i="43"/>
  <c r="M63" i="43"/>
  <c r="N63" i="43"/>
  <c r="V20" i="71"/>
  <c r="F30" i="68"/>
  <c r="M18" i="15"/>
  <c r="F31" i="12"/>
  <c r="C31" i="12"/>
  <c r="C22" i="71"/>
  <c r="D23" i="71"/>
  <c r="AA23" i="36"/>
  <c r="S23" i="36"/>
  <c r="AC23" i="36"/>
  <c r="W23" i="36"/>
  <c r="S30" i="21"/>
  <c r="AA30" i="21"/>
  <c r="AC38" i="40"/>
  <c r="W38" i="40"/>
  <c r="J7" i="36"/>
  <c r="K67" i="43"/>
  <c r="J67" i="43"/>
  <c r="M67" i="43"/>
  <c r="N67" i="43"/>
  <c r="K69" i="43"/>
  <c r="J69" i="43"/>
  <c r="M69" i="43"/>
  <c r="N69" i="43"/>
  <c r="E7" i="34"/>
  <c r="I7" i="34"/>
  <c r="J7" i="34"/>
  <c r="W7" i="34"/>
  <c r="G7" i="34"/>
  <c r="F52" i="9"/>
  <c r="F30" i="69"/>
  <c r="B19" i="71"/>
  <c r="B18" i="71"/>
  <c r="B17" i="71"/>
  <c r="B16" i="71"/>
  <c r="S20" i="71"/>
  <c r="U23" i="35"/>
  <c r="AB23" i="35"/>
  <c r="AA44" i="39"/>
  <c r="S44" i="39"/>
  <c r="K65" i="43"/>
  <c r="J65" i="43"/>
  <c r="M65" i="43"/>
  <c r="M62" i="43"/>
  <c r="N62" i="43"/>
  <c r="K62" i="43"/>
  <c r="J62" i="43"/>
  <c r="F32" i="15"/>
  <c r="F60" i="15"/>
  <c r="F28" i="15"/>
  <c r="C28" i="15"/>
  <c r="P67" i="71"/>
  <c r="E66" i="71"/>
  <c r="U12" i="35"/>
  <c r="AB12" i="35"/>
  <c r="J43" i="34"/>
  <c r="AC43" i="34"/>
  <c r="AA23" i="34"/>
  <c r="W23" i="34"/>
  <c r="AC23" i="34"/>
  <c r="AC19" i="34"/>
  <c r="W19" i="34"/>
  <c r="AA19" i="34"/>
  <c r="S19" i="34"/>
  <c r="AB19" i="34"/>
  <c r="U19" i="34"/>
  <c r="U15" i="34"/>
  <c r="W15" i="34"/>
  <c r="AC15" i="34"/>
  <c r="AB43" i="34"/>
  <c r="U43" i="34"/>
  <c r="S43" i="34"/>
  <c r="F30" i="11"/>
  <c r="F32" i="67"/>
  <c r="F60" i="67"/>
  <c r="F54" i="9"/>
  <c r="Q16" i="1"/>
  <c r="F27" i="69"/>
  <c r="C47" i="69"/>
  <c r="D45" i="69"/>
  <c r="H16" i="1"/>
  <c r="G16" i="1"/>
  <c r="F10" i="39"/>
  <c r="S10" i="39"/>
  <c r="C6" i="15"/>
  <c r="J6" i="67"/>
  <c r="J18" i="67"/>
  <c r="T28" i="71"/>
  <c r="D28" i="71"/>
  <c r="U28" i="71"/>
  <c r="C27" i="71"/>
  <c r="D79" i="71"/>
  <c r="C78" i="71"/>
  <c r="D78" i="71"/>
  <c r="N65" i="71"/>
  <c r="N66" i="71"/>
  <c r="T32" i="71"/>
  <c r="D32" i="71"/>
  <c r="D44" i="71"/>
  <c r="T44" i="71"/>
  <c r="AC44" i="39"/>
  <c r="W44" i="39"/>
  <c r="U43" i="39"/>
  <c r="AB43" i="39"/>
  <c r="AB33" i="36"/>
  <c r="U33" i="36"/>
  <c r="AB12" i="34"/>
  <c r="U12" i="34"/>
  <c r="G5" i="3"/>
  <c r="B3" i="3"/>
  <c r="E510" i="3"/>
  <c r="D83" i="71"/>
  <c r="C82" i="71"/>
  <c r="D82" i="71"/>
  <c r="O65" i="71"/>
  <c r="D66" i="71"/>
  <c r="O66" i="71"/>
  <c r="C36" i="71"/>
  <c r="D35" i="71"/>
  <c r="AC9" i="34"/>
  <c r="W9" i="34"/>
  <c r="AC43" i="39"/>
  <c r="W43" i="39"/>
  <c r="AA25" i="37"/>
  <c r="S25" i="37"/>
  <c r="W12" i="34"/>
  <c r="AC12" i="34"/>
  <c r="C40" i="71"/>
  <c r="D39" i="71"/>
  <c r="T52" i="71"/>
  <c r="D52" i="71"/>
  <c r="W12" i="35"/>
  <c r="AC12" i="35"/>
  <c r="AB26" i="33"/>
  <c r="U26" i="33"/>
  <c r="U25" i="37"/>
  <c r="AB25" i="37"/>
  <c r="AA27" i="21"/>
  <c r="S27" i="21"/>
  <c r="J6" i="15"/>
  <c r="C70" i="71"/>
  <c r="D70" i="71"/>
  <c r="D71" i="71"/>
  <c r="C56" i="71"/>
  <c r="D55" i="71"/>
  <c r="S26" i="33"/>
  <c r="AA26" i="33"/>
  <c r="W27" i="21"/>
  <c r="AC27" i="21"/>
  <c r="J7" i="37"/>
  <c r="W7" i="37"/>
  <c r="R6" i="3"/>
  <c r="E255" i="3"/>
  <c r="E479" i="3"/>
  <c r="E241" i="3"/>
  <c r="E76" i="3"/>
  <c r="E103" i="3"/>
  <c r="E492" i="3"/>
  <c r="E233" i="3"/>
  <c r="E309" i="3"/>
  <c r="E332" i="3"/>
  <c r="E96" i="3"/>
  <c r="E34" i="3"/>
  <c r="E113" i="3"/>
  <c r="E140" i="3"/>
  <c r="E405" i="3"/>
  <c r="E451" i="3"/>
  <c r="E452" i="3"/>
  <c r="E115" i="3"/>
  <c r="E412" i="3"/>
  <c r="E342" i="3"/>
  <c r="E158"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AY6" i="3"/>
  <c r="E240" i="3"/>
  <c r="E487" i="3"/>
  <c r="E219" i="3"/>
  <c r="W40" i="40"/>
  <c r="AC40" i="40"/>
  <c r="AC12" i="21"/>
  <c r="W12" i="21"/>
  <c r="AB12" i="21"/>
  <c r="U12" i="21"/>
  <c r="AA27" i="34"/>
  <c r="S27" i="34"/>
  <c r="AC26" i="37"/>
  <c r="W26" i="37"/>
  <c r="BL5" i="3"/>
  <c r="B15" i="71"/>
  <c r="B14" i="71"/>
  <c r="B13" i="71"/>
  <c r="B12" i="71"/>
  <c r="S16" i="71"/>
  <c r="F7" i="36"/>
  <c r="H7" i="36"/>
  <c r="U7" i="36"/>
  <c r="E94" i="3"/>
  <c r="E131" i="3"/>
  <c r="E142" i="3"/>
  <c r="E118" i="3"/>
  <c r="E369" i="3"/>
  <c r="E248" i="3"/>
  <c r="AA9" i="36"/>
  <c r="S9" i="36"/>
  <c r="AA34" i="35"/>
  <c r="S34" i="35"/>
  <c r="E15" i="71"/>
  <c r="E14" i="71"/>
  <c r="E13" i="71"/>
  <c r="E12" i="71"/>
  <c r="V16" i="71"/>
  <c r="E139" i="3"/>
  <c r="E378" i="3"/>
  <c r="S40" i="40"/>
  <c r="AA40" i="40"/>
  <c r="AC34" i="35"/>
  <c r="W34" i="35"/>
  <c r="B116" i="43"/>
  <c r="Z7" i="43"/>
  <c r="E30" i="6"/>
  <c r="E56" i="39"/>
  <c r="H7" i="34"/>
  <c r="AB7" i="34"/>
  <c r="E67" i="39"/>
  <c r="E69" i="39"/>
  <c r="F7" i="34"/>
  <c r="S7" i="34"/>
  <c r="AA26" i="35"/>
  <c r="S26" i="35"/>
  <c r="AC26" i="35"/>
  <c r="W26" i="35"/>
  <c r="AB26" i="35"/>
  <c r="U26" i="35"/>
  <c r="E61" i="39"/>
  <c r="E56" i="40"/>
  <c r="C9" i="69"/>
  <c r="C9" i="68"/>
  <c r="E72" i="43"/>
  <c r="B70" i="43"/>
  <c r="F27" i="11"/>
  <c r="C29" i="11"/>
  <c r="D27" i="11"/>
  <c r="F28" i="12"/>
  <c r="C29" i="12"/>
  <c r="D28" i="12"/>
  <c r="E60" i="40"/>
  <c r="F31" i="6"/>
  <c r="E51" i="40"/>
  <c r="E16" i="6"/>
  <c r="E58" i="40"/>
  <c r="E62" i="39"/>
  <c r="M14" i="1"/>
  <c r="D5" i="43"/>
  <c r="H10" i="39"/>
  <c r="U10" i="39"/>
  <c r="D26" i="43"/>
  <c r="C25" i="43"/>
  <c r="C7" i="43"/>
  <c r="C5" i="43"/>
  <c r="D10" i="52"/>
  <c r="D125" i="9"/>
  <c r="D11" i="52"/>
  <c r="B7" i="74"/>
  <c r="C7" i="74"/>
  <c r="F67" i="39"/>
  <c r="F59" i="67"/>
  <c r="H7" i="37"/>
  <c r="AB7" i="37"/>
  <c r="T42" i="37"/>
  <c r="G42" i="37"/>
  <c r="AA10" i="39"/>
  <c r="H7" i="33"/>
  <c r="J7" i="33"/>
  <c r="D65" i="40"/>
  <c r="E63" i="40"/>
  <c r="F48" i="35"/>
  <c r="S7" i="36"/>
  <c r="AA7" i="36"/>
  <c r="R36" i="36"/>
  <c r="F7" i="33"/>
  <c r="E58" i="21"/>
  <c r="AC7" i="36"/>
  <c r="V36" i="36"/>
  <c r="I36" i="36"/>
  <c r="W7" i="36"/>
  <c r="F7" i="37"/>
  <c r="M17" i="15"/>
  <c r="F59" i="15"/>
  <c r="P28" i="43"/>
  <c r="B66" i="40"/>
  <c r="P25" i="43"/>
  <c r="C49" i="67"/>
  <c r="P29" i="43"/>
  <c r="P27" i="43"/>
  <c r="B70" i="39"/>
  <c r="C49" i="15"/>
  <c r="C32" i="67"/>
  <c r="M11" i="67"/>
  <c r="J10" i="67"/>
  <c r="F11" i="15"/>
  <c r="M11" i="15"/>
  <c r="J10" i="15"/>
  <c r="F1" i="15"/>
  <c r="Q52" i="15"/>
  <c r="C32" i="15"/>
  <c r="F1" i="67"/>
  <c r="Q52" i="67"/>
  <c r="Q60" i="15"/>
  <c r="Q73" i="15"/>
  <c r="Q74" i="15"/>
  <c r="Q61" i="15"/>
  <c r="AE11" i="1"/>
  <c r="AE9" i="1"/>
  <c r="F27" i="68"/>
  <c r="AE7" i="1"/>
  <c r="AE8" i="1"/>
  <c r="AE12" i="1"/>
  <c r="AE10" i="1"/>
  <c r="AE6" i="1"/>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370" i="3"/>
  <c r="E324" i="3"/>
  <c r="E428" i="3"/>
  <c r="E104" i="3"/>
  <c r="E13" i="3"/>
  <c r="E408" i="3"/>
  <c r="E534" i="3"/>
  <c r="E205" i="3"/>
  <c r="E102" i="3"/>
  <c r="E522" i="3"/>
  <c r="E18" i="3"/>
  <c r="E281" i="3"/>
  <c r="E81" i="3"/>
  <c r="E144" i="3"/>
  <c r="E310" i="3"/>
  <c r="E64" i="3"/>
  <c r="E544" i="3"/>
  <c r="E192" i="3"/>
  <c r="E435" i="3"/>
  <c r="E449" i="3"/>
  <c r="E499"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83" i="3"/>
  <c r="E232" i="3"/>
  <c r="E220" i="3"/>
  <c r="E243" i="3"/>
  <c r="E26" i="3"/>
  <c r="E497" i="3"/>
  <c r="E469" i="3"/>
  <c r="E525" i="3"/>
  <c r="E22" i="3"/>
  <c r="E251" i="3"/>
  <c r="E383" i="3"/>
  <c r="E75" i="3"/>
  <c r="E21" i="3"/>
  <c r="E63" i="3"/>
  <c r="E33" i="3"/>
  <c r="E249" i="3"/>
  <c r="E425" i="3"/>
  <c r="E389" i="3"/>
  <c r="E95" i="3"/>
  <c r="E517" i="3"/>
  <c r="E541" i="3"/>
  <c r="E21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326" i="3"/>
  <c r="E49" i="3"/>
  <c r="E78" i="3"/>
  <c r="E225" i="3"/>
  <c r="E420" i="3"/>
  <c r="E360" i="3"/>
  <c r="E456" i="3"/>
  <c r="E173" i="3"/>
  <c r="E287" i="3"/>
  <c r="E206" i="3"/>
  <c r="E235" i="3"/>
  <c r="AL6" i="3"/>
  <c r="E513" i="3"/>
  <c r="E381" i="3"/>
  <c r="E23" i="3"/>
  <c r="E267" i="3"/>
  <c r="E484" i="3"/>
  <c r="E292" i="3"/>
  <c r="E56" i="3"/>
  <c r="E554" i="3"/>
  <c r="E442" i="3"/>
  <c r="E536" i="3"/>
  <c r="H6" i="3"/>
  <c r="AC7" i="37"/>
  <c r="J10" i="39"/>
  <c r="W10" i="39"/>
  <c r="AB7" i="36"/>
  <c r="T36" i="36"/>
  <c r="G36" i="36"/>
  <c r="G40" i="36"/>
  <c r="H40" i="36"/>
  <c r="F10" i="40"/>
  <c r="S10" i="40"/>
  <c r="Q74" i="67"/>
  <c r="Q73" i="67"/>
  <c r="W7" i="83"/>
  <c r="J63" i="43"/>
  <c r="D63" i="43"/>
  <c r="D64" i="71"/>
  <c r="T64" i="71"/>
  <c r="C21" i="71"/>
  <c r="D22" i="71"/>
  <c r="F48" i="68"/>
  <c r="C48" i="68"/>
  <c r="C30" i="68"/>
  <c r="J66" i="43"/>
  <c r="D66" i="43"/>
  <c r="P65" i="71"/>
  <c r="P66" i="71"/>
  <c r="E329" i="3"/>
  <c r="E80" i="3"/>
  <c r="E35" i="3"/>
  <c r="E190" i="3"/>
  <c r="E356" i="3"/>
  <c r="E41" i="3"/>
  <c r="E470" i="3"/>
  <c r="E556" i="3"/>
  <c r="E512" i="3"/>
  <c r="T6" i="3"/>
  <c r="E197" i="3"/>
  <c r="E308" i="3"/>
  <c r="AF6" i="3"/>
  <c r="E86" i="3"/>
  <c r="E129" i="3"/>
  <c r="E42" i="3"/>
  <c r="E198" i="3"/>
  <c r="E264" i="3"/>
  <c r="E355" i="3"/>
  <c r="E67" i="3"/>
  <c r="E300" i="3"/>
  <c r="E46" i="3"/>
  <c r="E409" i="3"/>
  <c r="E363" i="3"/>
  <c r="E152" i="3"/>
  <c r="E417" i="3"/>
  <c r="I3" i="6"/>
  <c r="E466" i="3"/>
  <c r="E575" i="3"/>
  <c r="F48" i="69"/>
  <c r="C48" i="69"/>
  <c r="C30" i="69"/>
  <c r="J18" i="15"/>
  <c r="U7" i="83"/>
  <c r="N65" i="43"/>
  <c r="D65" i="43"/>
  <c r="W43" i="34"/>
  <c r="C48" i="11"/>
  <c r="C30" i="11"/>
  <c r="F45" i="69"/>
  <c r="C29" i="69"/>
  <c r="D27" i="69"/>
  <c r="J5" i="67"/>
  <c r="J24" i="67"/>
  <c r="H10" i="40"/>
  <c r="AB10" i="40"/>
  <c r="J10" i="40"/>
  <c r="AC10" i="40"/>
  <c r="J5" i="15"/>
  <c r="J24" i="15"/>
  <c r="E174" i="3"/>
  <c r="E482" i="3"/>
  <c r="E391" i="3"/>
  <c r="E494" i="3"/>
  <c r="E283" i="3"/>
  <c r="E68" i="3"/>
  <c r="E184" i="3"/>
  <c r="E84" i="3"/>
  <c r="E371" i="3"/>
  <c r="E160" i="3"/>
  <c r="E467" i="3"/>
  <c r="E59" i="3"/>
  <c r="E349" i="3"/>
  <c r="E258" i="3"/>
  <c r="E37" i="3"/>
  <c r="E491" i="3"/>
  <c r="AP6" i="3"/>
  <c r="AC6" i="3"/>
  <c r="E6" i="3"/>
  <c r="E430" i="3"/>
  <c r="E502" i="3"/>
  <c r="E286" i="3"/>
  <c r="E539" i="3"/>
  <c r="D36" i="71"/>
  <c r="T36" i="71"/>
  <c r="E199" i="3"/>
  <c r="D56" i="71"/>
  <c r="T56" i="71"/>
  <c r="C26" i="71"/>
  <c r="D26" i="71"/>
  <c r="D27" i="71"/>
  <c r="T40" i="71"/>
  <c r="D40" i="71"/>
  <c r="L36" i="43"/>
  <c r="L37" i="43"/>
  <c r="V42" i="37"/>
  <c r="I42" i="37"/>
  <c r="B11" i="71"/>
  <c r="B10" i="71"/>
  <c r="B9" i="71"/>
  <c r="B8" i="71"/>
  <c r="B7" i="71"/>
  <c r="B6" i="71"/>
  <c r="B5" i="71"/>
  <c r="S12" i="71"/>
  <c r="E65" i="39"/>
  <c r="E11" i="71"/>
  <c r="E10" i="71"/>
  <c r="E9" i="71"/>
  <c r="E8" i="71"/>
  <c r="E7" i="71"/>
  <c r="E6" i="71"/>
  <c r="E5" i="71"/>
  <c r="V12" i="71"/>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K21" i="6"/>
  <c r="S8" i="1"/>
  <c r="E8" i="70"/>
  <c r="F45" i="68"/>
  <c r="C47" i="68"/>
  <c r="D45" i="68"/>
  <c r="C29" i="68"/>
  <c r="D27" i="68"/>
  <c r="K25" i="6"/>
  <c r="K20"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D3" i="34"/>
  <c r="D19" i="11"/>
  <c r="C19" i="11"/>
  <c r="L18" i="9"/>
  <c r="C17" i="4"/>
  <c r="B4" i="52"/>
  <c r="B43" i="72"/>
  <c r="D3" i="33"/>
  <c r="D3" i="37"/>
  <c r="AB10" i="39"/>
  <c r="AA10" i="40"/>
  <c r="W10" i="40"/>
  <c r="AC10" i="39"/>
  <c r="U7" i="37"/>
  <c r="G67" i="39"/>
  <c r="F69" i="39"/>
  <c r="F58" i="21"/>
  <c r="R37" i="36"/>
  <c r="E36" i="36"/>
  <c r="F63" i="40"/>
  <c r="E65" i="40"/>
  <c r="W7" i="33"/>
  <c r="AC7" i="33"/>
  <c r="V48" i="33"/>
  <c r="I48" i="33"/>
  <c r="AA7" i="37"/>
  <c r="R42" i="37"/>
  <c r="S7" i="37"/>
  <c r="I40" i="36"/>
  <c r="J40" i="36"/>
  <c r="S7" i="33"/>
  <c r="AA7" i="33"/>
  <c r="R48" i="33"/>
  <c r="G46" i="37"/>
  <c r="H46" i="37"/>
  <c r="G47" i="37"/>
  <c r="H47" i="37"/>
  <c r="I46" i="37"/>
  <c r="J46" i="37"/>
  <c r="G48" i="35"/>
  <c r="U7" i="33"/>
  <c r="AB7" i="33"/>
  <c r="T48" i="33"/>
  <c r="G48" i="33"/>
  <c r="C53" i="67"/>
  <c r="C48" i="67"/>
  <c r="C53" i="15"/>
  <c r="C48" i="15"/>
  <c r="C66" i="15"/>
  <c r="C10" i="15"/>
  <c r="C5" i="15"/>
  <c r="C38" i="15"/>
  <c r="M27" i="15"/>
  <c r="F41" i="67"/>
  <c r="M27" i="67"/>
  <c r="F41" i="15"/>
  <c r="G41" i="36"/>
  <c r="H41" i="36"/>
  <c r="E61" i="43"/>
  <c r="B59" i="43"/>
  <c r="C28" i="43"/>
  <c r="D21" i="71"/>
  <c r="C20" i="71"/>
  <c r="S7" i="83"/>
  <c r="B14" i="74"/>
  <c r="B1" i="74"/>
  <c r="C34" i="34"/>
  <c r="F69" i="67"/>
  <c r="F25" i="12"/>
  <c r="C26" i="12"/>
  <c r="D25" i="12"/>
  <c r="U10" i="40"/>
  <c r="F22" i="68"/>
  <c r="D116" i="43"/>
  <c r="F22" i="11"/>
  <c r="C23" i="11"/>
  <c r="F24" i="15"/>
  <c r="C24" i="15"/>
  <c r="F22" i="69"/>
  <c r="F41" i="69"/>
  <c r="O36" i="43"/>
  <c r="Q36" i="43"/>
  <c r="N36" i="43"/>
  <c r="M36" i="43"/>
  <c r="P36" i="43"/>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H67" i="39"/>
  <c r="G69" i="39"/>
  <c r="R49" i="33"/>
  <c r="E48" i="33"/>
  <c r="I53" i="33"/>
  <c r="J53" i="33"/>
  <c r="I52" i="33"/>
  <c r="J52" i="33"/>
  <c r="E40" i="36"/>
  <c r="F40" i="36"/>
  <c r="E41" i="36"/>
  <c r="F41" i="36"/>
  <c r="G52" i="33"/>
  <c r="H52" i="33"/>
  <c r="G53" i="33"/>
  <c r="H53" i="33"/>
  <c r="H48" i="35"/>
  <c r="I41" i="36"/>
  <c r="J41" i="36"/>
  <c r="R43" i="37"/>
  <c r="E42" i="37"/>
  <c r="G63" i="40"/>
  <c r="F65" i="40"/>
  <c r="C37" i="36"/>
  <c r="C36" i="36"/>
  <c r="G58" i="21"/>
  <c r="C60" i="15"/>
  <c r="C66" i="67"/>
  <c r="C60" i="67"/>
  <c r="D10" i="69"/>
  <c r="C34" i="69"/>
  <c r="D10" i="68"/>
  <c r="C17" i="15"/>
  <c r="T11" i="43"/>
  <c r="V11" i="43"/>
  <c r="T14" i="43"/>
  <c r="V14" i="43"/>
  <c r="T4" i="43"/>
  <c r="V4" i="43"/>
  <c r="T5" i="43"/>
  <c r="V5" i="43"/>
  <c r="C41" i="43"/>
  <c r="C39" i="43"/>
  <c r="T9" i="43"/>
  <c r="V9" i="43"/>
  <c r="T12" i="43"/>
  <c r="V12" i="43"/>
  <c r="T3" i="43"/>
  <c r="V3" i="43"/>
  <c r="C33" i="43"/>
  <c r="T15" i="43"/>
  <c r="V15" i="43"/>
  <c r="T7" i="43"/>
  <c r="V7" i="43"/>
  <c r="T10" i="43"/>
  <c r="V10" i="43"/>
  <c r="T2" i="43"/>
  <c r="V2" i="43"/>
  <c r="C40" i="43"/>
  <c r="C42" i="43"/>
  <c r="T13" i="43"/>
  <c r="V13" i="43"/>
  <c r="T16" i="43"/>
  <c r="V16" i="43"/>
  <c r="T8" i="43"/>
  <c r="V8" i="43"/>
  <c r="T6" i="43"/>
  <c r="V6" i="43"/>
  <c r="C37" i="43"/>
  <c r="C38" i="43"/>
  <c r="C19" i="71"/>
  <c r="T20" i="71"/>
  <c r="D20" i="71"/>
  <c r="U20" i="71"/>
  <c r="C6" i="69"/>
  <c r="C7" i="69"/>
  <c r="F34" i="34"/>
  <c r="J34" i="34"/>
  <c r="H34" i="34"/>
  <c r="C44" i="11"/>
  <c r="D41" i="11"/>
  <c r="C26" i="68"/>
  <c r="D22" i="68"/>
  <c r="C44" i="68"/>
  <c r="D41" i="68"/>
  <c r="F41" i="68"/>
  <c r="C26" i="11"/>
  <c r="D22" i="11"/>
  <c r="C25" i="11"/>
  <c r="C24" i="11"/>
  <c r="C44" i="69"/>
  <c r="D41" i="69"/>
  <c r="C26" i="69"/>
  <c r="D22" i="69"/>
  <c r="H23" i="6"/>
  <c r="R23" i="6"/>
  <c r="R10" i="1"/>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7" i="74"/>
  <c r="R21" i="6"/>
  <c r="R8" i="1"/>
  <c r="C10" i="69"/>
  <c r="D19" i="69"/>
  <c r="F50" i="69"/>
  <c r="F50" i="11"/>
  <c r="F50" i="68"/>
  <c r="C4" i="52"/>
  <c r="B45" i="72"/>
  <c r="A10" i="51"/>
  <c r="B9" i="72"/>
  <c r="A7" i="51"/>
  <c r="B7" i="72"/>
  <c r="R25" i="6"/>
  <c r="R12" i="1"/>
  <c r="C10" i="68"/>
  <c r="D19" i="68"/>
  <c r="H69" i="39"/>
  <c r="I67" i="39"/>
  <c r="G65" i="40"/>
  <c r="H63" i="40"/>
  <c r="C43" i="37"/>
  <c r="C42" i="37"/>
  <c r="I48" i="35"/>
  <c r="C48" i="33"/>
  <c r="C49" i="33"/>
  <c r="H58" i="21"/>
  <c r="E47" i="37"/>
  <c r="F47" i="37"/>
  <c r="E46" i="37"/>
  <c r="F46" i="37"/>
  <c r="I47" i="37"/>
  <c r="J47" i="37"/>
  <c r="E53" i="33"/>
  <c r="F53" i="33"/>
  <c r="E52" i="33"/>
  <c r="F52" i="33"/>
  <c r="C33" i="15"/>
  <c r="C33" i="67"/>
  <c r="J19" i="67"/>
  <c r="C34" i="68"/>
  <c r="C14" i="15"/>
  <c r="AC34" i="34"/>
  <c r="V49" i="34"/>
  <c r="I49" i="34"/>
  <c r="W34" i="34"/>
  <c r="E42" i="43"/>
  <c r="G42" i="43"/>
  <c r="I42" i="43"/>
  <c r="AA34" i="34"/>
  <c r="R49" i="34"/>
  <c r="S34" i="34"/>
  <c r="C18" i="71"/>
  <c r="D19" i="71"/>
  <c r="E40" i="43"/>
  <c r="G40" i="43"/>
  <c r="I40" i="43"/>
  <c r="I49" i="83"/>
  <c r="W34" i="83"/>
  <c r="E38" i="43"/>
  <c r="G38" i="43"/>
  <c r="I38" i="43"/>
  <c r="E33" i="43"/>
  <c r="C34" i="43"/>
  <c r="E34" i="43"/>
  <c r="G39" i="43"/>
  <c r="I39" i="43"/>
  <c r="E39" i="43"/>
  <c r="U34" i="83"/>
  <c r="G49" i="83"/>
  <c r="AB34" i="34"/>
  <c r="T49" i="34"/>
  <c r="G49" i="34"/>
  <c r="G53" i="34"/>
  <c r="H53" i="34"/>
  <c r="U34" i="34"/>
  <c r="G37" i="43"/>
  <c r="I37" i="43"/>
  <c r="E37" i="43"/>
  <c r="G41" i="43"/>
  <c r="I41" i="43"/>
  <c r="E41" i="43"/>
  <c r="S34" i="83"/>
  <c r="C8" i="69"/>
  <c r="C5" i="69"/>
  <c r="C23" i="69"/>
  <c r="C22" i="11"/>
  <c r="C31" i="11"/>
  <c r="T16" i="1"/>
  <c r="C18" i="15"/>
  <c r="C15" i="15"/>
  <c r="C38" i="68"/>
  <c r="C35" i="68"/>
  <c r="C36" i="11"/>
  <c r="C37" i="11"/>
  <c r="C34" i="11"/>
  <c r="C23" i="12"/>
  <c r="C14" i="12"/>
  <c r="C16" i="12"/>
  <c r="H19" i="6"/>
  <c r="S19" i="6"/>
  <c r="S27" i="6"/>
  <c r="I27" i="6"/>
  <c r="C19" i="68"/>
  <c r="D37" i="68"/>
  <c r="C37" i="68"/>
  <c r="C19" i="69"/>
  <c r="C24" i="69"/>
  <c r="D37" i="69"/>
  <c r="C37" i="69"/>
  <c r="C33" i="69"/>
  <c r="I5" i="6"/>
  <c r="I6" i="6"/>
  <c r="I69" i="39"/>
  <c r="J67" i="39"/>
  <c r="I63" i="40"/>
  <c r="H65" i="40"/>
  <c r="I58" i="21"/>
  <c r="J58" i="21"/>
  <c r="K58" i="21"/>
  <c r="L58" i="21"/>
  <c r="M58" i="21"/>
  <c r="N58" i="21"/>
  <c r="O58" i="21"/>
  <c r="H7" i="21"/>
  <c r="J48" i="35"/>
  <c r="C31" i="43"/>
  <c r="C30" i="43"/>
  <c r="I53" i="83"/>
  <c r="J53" i="83"/>
  <c r="C17" i="71"/>
  <c r="D18" i="71"/>
  <c r="G53" i="83"/>
  <c r="H53" i="83"/>
  <c r="G54" i="83"/>
  <c r="H54" i="83"/>
  <c r="E49" i="83"/>
  <c r="E49" i="34"/>
  <c r="R50" i="34"/>
  <c r="G54" i="34"/>
  <c r="H54" i="34"/>
  <c r="I53" i="34"/>
  <c r="J53" i="34"/>
  <c r="I54" i="34"/>
  <c r="J54" i="34"/>
  <c r="C8" i="68"/>
  <c r="C5" i="68"/>
  <c r="C23" i="68"/>
  <c r="C18" i="12"/>
  <c r="C21" i="12"/>
  <c r="F7" i="21"/>
  <c r="S7" i="21"/>
  <c r="J7" i="21"/>
  <c r="AC7" i="21"/>
  <c r="V48" i="21"/>
  <c r="I48" i="21"/>
  <c r="J59" i="67"/>
  <c r="J60" i="67"/>
  <c r="Q48" i="67"/>
  <c r="C19" i="15"/>
  <c r="C20" i="15"/>
  <c r="C26" i="15"/>
  <c r="C33" i="68"/>
  <c r="C39" i="68"/>
  <c r="C38" i="11"/>
  <c r="C35" i="11"/>
  <c r="H27" i="6"/>
  <c r="R19" i="6"/>
  <c r="C20" i="69"/>
  <c r="C28" i="69"/>
  <c r="C27" i="69"/>
  <c r="C24" i="68"/>
  <c r="C39" i="69"/>
  <c r="C43" i="69"/>
  <c r="C42" i="69"/>
  <c r="J69" i="39"/>
  <c r="K67" i="39"/>
  <c r="U7" i="21"/>
  <c r="AB7" i="21"/>
  <c r="T48" i="21"/>
  <c r="G48" i="21"/>
  <c r="J63" i="40"/>
  <c r="I65" i="40"/>
  <c r="K48" i="35"/>
  <c r="L48" i="35"/>
  <c r="M48" i="35"/>
  <c r="N48" i="35"/>
  <c r="O48" i="35"/>
  <c r="H7" i="35"/>
  <c r="E6" i="76"/>
  <c r="E2" i="76"/>
  <c r="E54" i="83"/>
  <c r="F54" i="83"/>
  <c r="E53" i="83"/>
  <c r="F53" i="83"/>
  <c r="C16" i="71"/>
  <c r="D17" i="71"/>
  <c r="C49" i="34"/>
  <c r="C50" i="34"/>
  <c r="V19" i="1"/>
  <c r="I54" i="83"/>
  <c r="J54" i="83"/>
  <c r="E54" i="34"/>
  <c r="F54" i="34"/>
  <c r="E53" i="34"/>
  <c r="F53" i="34"/>
  <c r="C49" i="83"/>
  <c r="B2" i="43"/>
  <c r="C20" i="68"/>
  <c r="C28" i="68"/>
  <c r="C27" i="68"/>
  <c r="C22" i="12"/>
  <c r="C30" i="12"/>
  <c r="C28" i="12"/>
  <c r="W7" i="21"/>
  <c r="AA7" i="21"/>
  <c r="R48" i="21"/>
  <c r="R49" i="21"/>
  <c r="J7" i="35"/>
  <c r="W7" i="35"/>
  <c r="Q49" i="67"/>
  <c r="J14" i="67"/>
  <c r="J13" i="67"/>
  <c r="J23" i="67"/>
  <c r="C57" i="67"/>
  <c r="C64" i="67"/>
  <c r="Q70" i="67"/>
  <c r="C33" i="11"/>
  <c r="C39" i="11"/>
  <c r="C61" i="67"/>
  <c r="C42" i="68"/>
  <c r="C23" i="15"/>
  <c r="C29" i="15"/>
  <c r="C41" i="69"/>
  <c r="R27" i="6"/>
  <c r="R6" i="1"/>
  <c r="C46" i="69"/>
  <c r="C45" i="69"/>
  <c r="C25" i="69"/>
  <c r="C22" i="69"/>
  <c r="C31" i="69"/>
  <c r="C46" i="68"/>
  <c r="C45" i="68"/>
  <c r="C43" i="68"/>
  <c r="L67" i="39"/>
  <c r="K69" i="39"/>
  <c r="J65" i="40"/>
  <c r="K63" i="40"/>
  <c r="I52" i="21"/>
  <c r="J52" i="21"/>
  <c r="U7" i="35"/>
  <c r="AB7" i="35"/>
  <c r="T38" i="35"/>
  <c r="G38" i="35"/>
  <c r="E48" i="21"/>
  <c r="G52" i="21"/>
  <c r="H52" i="21"/>
  <c r="G53" i="21"/>
  <c r="H53" i="21"/>
  <c r="F7" i="35"/>
  <c r="M21" i="15"/>
  <c r="B6" i="76"/>
  <c r="F35" i="15"/>
  <c r="F35" i="67"/>
  <c r="M21" i="67"/>
  <c r="V20" i="1"/>
  <c r="B2" i="76"/>
  <c r="B3" i="76"/>
  <c r="T16" i="71"/>
  <c r="D16" i="71"/>
  <c r="C15" i="71"/>
  <c r="V21" i="1"/>
  <c r="B3" i="83"/>
  <c r="B2" i="83"/>
  <c r="B3" i="43"/>
  <c r="C27" i="12"/>
  <c r="C25" i="12"/>
  <c r="C32" i="12"/>
  <c r="B2" i="12"/>
  <c r="B3" i="12"/>
  <c r="C25" i="68"/>
  <c r="C22" i="68"/>
  <c r="C31" i="68"/>
  <c r="AC7" i="35"/>
  <c r="V38" i="35"/>
  <c r="I38" i="35"/>
  <c r="C56" i="67"/>
  <c r="C65" i="67"/>
  <c r="J22" i="67"/>
  <c r="C75" i="67"/>
  <c r="C36" i="15"/>
  <c r="J59" i="15"/>
  <c r="J60" i="15"/>
  <c r="Q48" i="15"/>
  <c r="C46" i="11"/>
  <c r="C45" i="11"/>
  <c r="C43" i="11"/>
  <c r="C42" i="11"/>
  <c r="C34" i="67"/>
  <c r="F63" i="67"/>
  <c r="C62" i="67"/>
  <c r="C59" i="67"/>
  <c r="J20" i="67"/>
  <c r="J17" i="67"/>
  <c r="J19" i="15"/>
  <c r="C41" i="68"/>
  <c r="C49" i="68"/>
  <c r="C51"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4" i="71"/>
  <c r="D15" i="71"/>
  <c r="U16" i="71"/>
  <c r="M23" i="43"/>
  <c r="C52" i="68"/>
  <c r="B2" i="68"/>
  <c r="B3" i="68"/>
  <c r="C58" i="67"/>
  <c r="C67" i="67"/>
  <c r="C68" i="67"/>
  <c r="C71" i="67"/>
  <c r="J16" i="67"/>
  <c r="J25" i="67"/>
  <c r="J26" i="67"/>
  <c r="J29" i="67"/>
  <c r="C41" i="11"/>
  <c r="C49" i="11"/>
  <c r="C51" i="11"/>
  <c r="C52" i="11"/>
  <c r="B2" i="11"/>
  <c r="B3" i="11"/>
  <c r="J22" i="15"/>
  <c r="C61" i="15"/>
  <c r="C59" i="15"/>
  <c r="C64" i="15"/>
  <c r="C37" i="15"/>
  <c r="C56" i="15"/>
  <c r="C65" i="15"/>
  <c r="C75" i="15"/>
  <c r="J17" i="15"/>
  <c r="C31" i="15"/>
  <c r="C57" i="69"/>
  <c r="C56" i="69"/>
  <c r="M69" i="39"/>
  <c r="N67" i="39"/>
  <c r="R39" i="35"/>
  <c r="E38" i="35"/>
  <c r="M63" i="40"/>
  <c r="L65" i="40"/>
  <c r="D2" i="21"/>
  <c r="Q69" i="67"/>
  <c r="Q68" i="67"/>
  <c r="C13" i="71"/>
  <c r="D14" i="71"/>
  <c r="C57" i="68"/>
  <c r="C56" i="68"/>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C80" i="67"/>
  <c r="C79" i="67"/>
  <c r="C40" i="67"/>
  <c r="C45" i="67"/>
  <c r="C46" i="67"/>
  <c r="C12" i="71"/>
  <c r="D13" i="71"/>
  <c r="L57" i="67"/>
  <c r="L60" i="67"/>
  <c r="L46" i="67"/>
  <c r="B2" i="33"/>
  <c r="B3" i="33"/>
  <c r="C80" i="15"/>
  <c r="C79" i="15"/>
  <c r="C40" i="15"/>
  <c r="C46" i="15"/>
  <c r="H7" i="39"/>
  <c r="J7" i="39"/>
  <c r="S7" i="39"/>
  <c r="AA7" i="39"/>
  <c r="R47" i="39"/>
  <c r="O63" i="40"/>
  <c r="O65" i="40"/>
  <c r="N65" i="40"/>
  <c r="D2" i="35"/>
  <c r="L51" i="15"/>
  <c r="D2" i="37"/>
  <c r="D2" i="34"/>
  <c r="D2" i="36"/>
  <c r="L51" i="67"/>
  <c r="Q67" i="67"/>
  <c r="C43" i="67"/>
  <c r="Q47" i="67"/>
  <c r="Q53" i="67"/>
  <c r="C83" i="67"/>
  <c r="C82" i="67"/>
  <c r="D2" i="67"/>
  <c r="B2" i="67"/>
  <c r="Q56" i="67"/>
  <c r="Q65" i="67"/>
  <c r="C11" i="71"/>
  <c r="T12" i="71"/>
  <c r="D12" i="71"/>
  <c r="U12" i="71"/>
  <c r="Q57" i="67"/>
  <c r="Q66" i="67"/>
  <c r="L57" i="15"/>
  <c r="L60" i="15"/>
  <c r="Q57" i="15"/>
  <c r="Q67" i="15"/>
  <c r="B2" i="36"/>
  <c r="B3" i="36"/>
  <c r="B2" i="35"/>
  <c r="B3" i="35"/>
  <c r="M3" i="35"/>
  <c r="B2" i="37"/>
  <c r="B3" i="37"/>
  <c r="B2" i="34"/>
  <c r="Q47" i="15"/>
  <c r="Q53" i="15"/>
  <c r="C43" i="15"/>
  <c r="Q65" i="15"/>
  <c r="C83" i="15"/>
  <c r="C82" i="15"/>
  <c r="Q56" i="15"/>
  <c r="W7" i="39"/>
  <c r="AC7" i="39"/>
  <c r="V47" i="39"/>
  <c r="I47" i="39"/>
  <c r="E47" i="39"/>
  <c r="R48" i="39"/>
  <c r="U7" i="39"/>
  <c r="AB7" i="39"/>
  <c r="T47" i="39"/>
  <c r="G47" i="39"/>
  <c r="J7" i="40"/>
  <c r="F7" i="40"/>
  <c r="H7" i="40"/>
  <c r="AO12" i="1"/>
  <c r="C19" i="9"/>
  <c r="AO10" i="1"/>
  <c r="AO11" i="1"/>
  <c r="AO7" i="1"/>
  <c r="AO9" i="1"/>
  <c r="AO6" i="1"/>
  <c r="D19" i="9"/>
  <c r="AO8" i="1"/>
  <c r="B3" i="67"/>
  <c r="Q75" i="67"/>
  <c r="D21" i="9"/>
  <c r="D102" i="9"/>
  <c r="Q62" i="67"/>
  <c r="D11" i="71"/>
  <c r="C10" i="71"/>
  <c r="C102" i="9"/>
  <c r="C21" i="9"/>
  <c r="D22" i="9"/>
  <c r="G19" i="9"/>
  <c r="B3" i="34"/>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34" i="9"/>
  <c r="C20" i="9"/>
  <c r="D35" i="9"/>
  <c r="D20" i="9"/>
  <c r="D103" i="9"/>
  <c r="D10" i="71"/>
  <c r="C9" i="71"/>
  <c r="G21" i="9"/>
  <c r="D14" i="74"/>
  <c r="G14" i="74"/>
  <c r="C103" i="9"/>
  <c r="G20"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2" i="9"/>
  <c r="C35" i="9"/>
  <c r="C34" i="9"/>
  <c r="E14" i="74"/>
  <c r="C8" i="71"/>
  <c r="D9"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F14" i="74"/>
  <c r="B5" i="74"/>
  <c r="D5" i="74"/>
  <c r="D6" i="71"/>
  <c r="C5" i="71"/>
  <c r="D5" i="71"/>
  <c r="M24" i="43"/>
  <c r="B6" i="74"/>
  <c r="D6" i="74"/>
  <c r="G118" i="9"/>
  <c r="G4" i="52"/>
  <c r="B52" i="72"/>
  <c r="I118" i="9"/>
  <c r="C105" i="9"/>
  <c r="H118" i="9"/>
  <c r="I4" i="52"/>
  <c r="E118" i="9"/>
  <c r="H102" i="9"/>
  <c r="F118" i="9"/>
  <c r="F119" i="9"/>
  <c r="F5" i="52"/>
  <c r="B53" i="72"/>
  <c r="F4" i="52"/>
  <c r="B51" i="72"/>
  <c r="C5" i="74"/>
  <c r="D7" i="53"/>
  <c r="B21" i="72"/>
  <c r="E4" i="52"/>
  <c r="B48" i="72"/>
  <c r="D118" i="9"/>
  <c r="H119" i="9"/>
  <c r="H5" i="52"/>
  <c r="H101" i="9"/>
  <c r="C104" i="9"/>
  <c r="H4" i="52"/>
  <c r="H107" i="9"/>
  <c r="D5" i="53"/>
  <c r="M48" i="9"/>
  <c r="D45" i="9"/>
  <c r="D4" i="52"/>
  <c r="B47" i="72"/>
  <c r="D119" i="9"/>
  <c r="D5" i="52"/>
  <c r="B49" i="72"/>
  <c r="P54" i="9"/>
  <c r="D55" i="9"/>
  <c r="M53" i="9"/>
  <c r="P53" i="9"/>
  <c r="D52" i="9"/>
  <c r="D53" i="9"/>
  <c r="C93" i="9"/>
  <c r="C86" i="9"/>
  <c r="C72" i="9"/>
  <c r="C78" i="9"/>
  <c r="C73" i="9"/>
  <c r="C64" i="9"/>
  <c r="C63" i="9"/>
  <c r="C67" i="9"/>
  <c r="C68" i="9"/>
  <c r="C85" i="9"/>
  <c r="D6" i="53"/>
  <c r="B22" i="72"/>
  <c r="B20" i="72"/>
  <c r="D122" i="9"/>
  <c r="H108" i="9"/>
  <c r="M49" i="9"/>
  <c r="D13" i="53"/>
  <c r="D59" i="9"/>
  <c r="M55" i="9"/>
  <c r="P55" i="9"/>
  <c r="C95" i="9"/>
  <c r="C96" i="9"/>
  <c r="E96" i="9"/>
  <c r="E97" i="9"/>
  <c r="C79" i="9"/>
  <c r="C80" i="9"/>
  <c r="E80" i="9"/>
  <c r="E81" i="9"/>
  <c r="C6" i="74"/>
  <c r="D15" i="53"/>
  <c r="B31" i="72"/>
  <c r="D123" i="9"/>
  <c r="D9" i="52"/>
  <c r="D8" i="52"/>
  <c r="D54" i="9"/>
  <c r="D48" i="9"/>
  <c r="M52" i="9"/>
  <c r="P52" i="9"/>
  <c r="L65" i="9"/>
  <c r="M65" i="9"/>
  <c r="L66" i="9"/>
  <c r="M66" i="9"/>
  <c r="L67" i="9"/>
  <c r="M67" i="9"/>
  <c r="L68" i="9"/>
  <c r="M68" i="9"/>
  <c r="L64" i="9"/>
  <c r="M64" i="9"/>
  <c r="L63" i="9"/>
  <c r="M63" i="9"/>
  <c r="B30" i="72"/>
  <c r="D14" i="53"/>
  <c r="B32" i="72"/>
  <c r="P56" i="9"/>
  <c r="C97" i="9"/>
  <c r="C81" i="9"/>
  <c r="M69" i="9"/>
  <c r="N69" i="9"/>
  <c r="P59" i="9"/>
  <c r="D58" i="9"/>
  <c r="D56" i="9"/>
  <c r="M54" i="9"/>
  <c r="N57" i="9"/>
  <c r="N59" i="9"/>
  <c r="I14" i="74"/>
  <c r="B8" i="74"/>
  <c r="P61" i="9"/>
  <c r="N60" i="9"/>
  <c r="N61" i="9"/>
  <c r="N58" i="9"/>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<sst xmlns="http://schemas.openxmlformats.org/spreadsheetml/2006/main" count="8299" uniqueCount="3502">
  <si>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</si>
  <si>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</si>
  <si>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</si>
  <si>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</si>
  <si>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</si>
  <si>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</si>
  <si>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</si>
  <si>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</si>
  <si>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</si>
  <si>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</si>
  <si>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</si>
  <si>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</si>
  <si>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</si>
  <si>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</si>
  <si>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</si>
  <si>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</si>
  <si>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</si>
  <si>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</si>
  <si>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</si>
  <si>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</si>
  <si>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</si>
  <si>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</si>
  <si>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</si>
  <si>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</si>
  <si>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</si>
  <si>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</si>
  <si>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</si>
  <si>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</si>
  <si>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</si>
  <si>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</si>
  <si>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</si>
  <si>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</si>
  <si>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</si>
  <si>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</si>
  <si>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</si>
  <si>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</si>
  <si>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</si>
  <si>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</si>
  <si>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</si>
  <si>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</si>
  <si>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</si>
  <si>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</si>
  <si>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</si>
  <si>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</si>
  <si>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</si>
  <si>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</si>
  <si>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</si>
  <si>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</si>
  <si>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</si>
  <si>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</si>
  <si>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</si>
  <si>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</si>
  <si>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</si>
  <si>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</si>
  <si>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</si>
  <si>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</si>
  <si>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</si>
  <si>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</si>
  <si>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</si>
  <si>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</si>
  <si>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</si>
  <si>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</si>
  <si>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</si>
  <si>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</si>
  <si>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</si>
  <si>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</si>
  <si>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</si>
  <si>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</si>
  <si>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</si>
  <si>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</si>
  <si>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</si>
  <si>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</si>
  <si>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</si>
  <si>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</si>
  <si>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</si>
  <si>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</si>
  <si>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</si>
  <si>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</si>
  <si>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</si>
  <si>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</si>
  <si>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</si>
  <si>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</si>
  <si>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</si>
  <si>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</si>
  <si>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</si>
  <si>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</si>
  <si>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</si>
  <si>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</si>
  <si>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</si>
  <si>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</si>
  <si>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</si>
  <si>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</si>
  <si>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</si>
  <si>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</si>
  <si>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</si>
  <si>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</si>
  <si>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</si>
  <si>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</si>
  <si>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</si>
  <si>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</si>
  <si>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</si>
  <si>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</si>
  <si>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</si>
  <si>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</si>
  <si>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</si>
  <si>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</si>
  <si>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</si>
  <si>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</si>
  <si>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</si>
  <si>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</si>
  <si>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</si>
  <si>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</si>
  <si>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</si>
  <si>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</si>
  <si>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</si>
  <si>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</si>
  <si>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</si>
  <si>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</si>
  <si>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</si>
  <si>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</si>
  <si>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</si>
  <si>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</si>
  <si>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</si>
  <si>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</si>
  <si>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</si>
  <si>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</si>
  <si>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</si>
  <si>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</si>
  <si>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</si>
  <si>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</si>
  <si>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</si>
  <si>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</si>
  <si>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</si>
  <si>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</si>
  <si>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</si>
  <si>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</si>
  <si>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</si>
  <si>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</si>
  <si>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</si>
  <si>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</si>
  <si>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</si>
  <si>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</si>
  <si>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</si>
  <si>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</si>
  <si>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</si>
  <si>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</si>
  <si>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</si>
  <si>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</si>
  <si>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</si>
  <si>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</si>
  <si>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</si>
  <si>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</si>
  <si>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</si>
  <si>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</si>
  <si>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</si>
  <si>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</si>
  <si>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</si>
  <si>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</si>
  <si>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</si>
  <si>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</si>
  <si>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</si>
  <si>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</si>
  <si>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</si>
  <si>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</si>
  <si>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</si>
  <si>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</si>
  <si>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</si>
  <si>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</si>
  <si>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</si>
  <si>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</si>
  <si>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</si>
  <si>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</si>
  <si>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</si>
  <si>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</si>
  <si>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</si>
  <si>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</si>
  <si>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</si>
  <si>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</si>
  <si>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</si>
  <si>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</si>
  <si>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</si>
  <si>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</si>
  <si>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</si>
  <si>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</si>
  <si>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</si>
  <si>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</si>
  <si>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</si>
  <si>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</si>
  <si>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</si>
  <si>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</si>
  <si>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</si>
  <si>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</si>
  <si>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</si>
  <si>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</si>
  <si>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</si>
  <si>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</si>
  <si>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</si>
  <si>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</si>
  <si>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</si>
  <si>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</si>
  <si>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</si>
  <si>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</si>
  <si>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</si>
  <si>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</si>
  <si>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</si>
  <si>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</si>
  <si>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</si>
  <si>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</si>
  <si>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</si>
  <si>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</si>
  <si>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</si>
  <si>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</si>
  <si>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</si>
  <si>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</si>
  <si>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</si>
  <si>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</si>
  <si>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</si>
  <si>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</si>
  <si>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</si>
  <si>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</si>
  <si>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</si>
  <si>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</si>
  <si>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</si>
  <si>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</si>
  <si>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</si>
  <si>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</si>
  <si>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</si>
  <si>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</si>
  <si>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</si>
  <si>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</si>
  <si>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</si>
  <si>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</si>
  <si>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</si>
  <si>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</si>
  <si>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</si>
  <si>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</si>
  <si>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</si>
  <si>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</si>
  <si>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</si>
  <si>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</si>
  <si>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</si>
  <si>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</si>
  <si>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</si>
  <si>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</si>
  <si>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</si>
  <si>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</si>
  <si>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</si>
  <si>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</si>
  <si>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</si>
  <si>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</si>
  <si>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</si>
  <si>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</si>
  <si>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</si>
  <si>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</si>
  <si>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</si>
  <si>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</si>
  <si>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</si>
  <si>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</si>
  <si>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</si>
  <si>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</si>
  <si>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</si>
  <si>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</si>
  <si>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</si>
  <si>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</si>
  <si>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</si>
  <si>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</si>
  <si>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</si>
  <si>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</si>
  <si>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</si>
  <si>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</si>
  <si>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</si>
  <si>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</si>
  <si>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</si>
  <si>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</si>
  <si>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</si>
  <si>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</si>
  <si>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</si>
  <si>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</si>
  <si>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</si>
  <si>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</si>
  <si>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</si>
  <si>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</si>
  <si>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</si>
  <si>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</si>
  <si>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</si>
  <si>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</si>
  <si>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</si>
  <si>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</si>
  <si>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</si>
  <si>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</si>
  <si>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</si>
  <si>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</si>
  <si>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</si>
  <si>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</si>
  <si>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</si>
  <si>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</si>
  <si>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</si>
  <si>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</si>
  <si>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</si>
  <si>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</si>
  <si>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</si>
  <si>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</si>
  <si>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</si>
  <si>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</si>
  <si>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</si>
  <si>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</si>
  <si>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</si>
  <si>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</si>
  <si>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</si>
  <si>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</si>
  <si>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</si>
  <si>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</si>
  <si>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</si>
  <si>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</si>
  <si>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</si>
  <si>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</si>
  <si>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</si>
  <si>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</si>
  <si>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</si>
  <si>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</si>
  <si>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</si>
  <si>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</si>
  <si>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</si>
  <si>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</si>
  <si>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</si>
  <si>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</si>
  <si>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</si>
  <si>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</si>
  <si>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</si>
  <si>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</si>
  <si>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</si>
  <si>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</si>
  <si>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</si>
  <si>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</si>
  <si>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</si>
  <si>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</si>
  <si>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</si>
  <si>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</si>
  <si>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</si>
  <si>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</si>
  <si>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</si>
  <si>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</si>
  <si>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</si>
  <si>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</si>
  <si>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</si>
  <si>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</si>
  <si>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</si>
  <si>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</si>
  <si>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</si>
  <si>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</si>
  <si>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</si>
  <si>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</si>
  <si>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</si>
  <si>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</si>
  <si>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</si>
  <si>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</si>
  <si>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</si>
  <si>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</si>
  <si>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</si>
  <si>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</si>
  <si>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</si>
  <si>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</si>
  <si>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</si>
  <si>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</si>
  <si>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</si>
  <si>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</si>
  <si>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</si>
  <si>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</si>
  <si>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</si>
  <si>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</si>
  <si>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</si>
  <si>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</si>
  <si>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</si>
  <si>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</si>
  <si>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</si>
  <si>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</si>
  <si>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</si>
  <si>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</si>
  <si>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</si>
  <si>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</si>
  <si>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</si>
  <si>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</si>
  <si>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</si>
  <si>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</si>
  <si>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</si>
  <si>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</si>
  <si>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</si>
  <si>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</si>
  <si>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</si>
  <si>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</si>
  <si>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</si>
  <si>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</si>
  <si>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</si>
  <si>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</si>
  <si>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</si>
  <si>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</si>
  <si>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</si>
  <si>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</si>
  <si>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</si>
  <si>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</si>
  <si>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</si>
  <si>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</si>
  <si>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</si>
  <si>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</si>
  <si>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</si>
  <si>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</si>
  <si>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</si>
  <si>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</si>
  <si>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</si>
  <si>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</si>
  <si>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</si>
  <si>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</si>
  <si>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</si>
  <si>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</si>
  <si>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</si>
  <si>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</si>
  <si>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</si>
  <si>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</si>
  <si>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</si>
  <si>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</si>
  <si>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</si>
  <si>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</si>
  <si>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</si>
  <si>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</si>
  <si>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</si>
  <si>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</si>
  <si>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</si>
  <si>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</si>
  <si>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</si>
  <si>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</si>
  <si>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</si>
  <si>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</si>
  <si>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</si>
  <si>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</si>
  <si>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</si>
  <si>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</si>
  <si>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</si>
  <si>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</si>
  <si>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</si>
  <si>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</si>
  <si>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</si>
  <si>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</si>
  <si>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</si>
  <si>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</si>
  <si>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</si>
  <si>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</si>
  <si>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</si>
  <si>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</si>
  <si>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</si>
  <si>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</si>
  <si>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</si>
  <si>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</si>
  <si>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</si>
  <si>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</si>
  <si>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</si>
  <si>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</si>
  <si>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</si>
  <si>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</si>
  <si>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</si>
  <si>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</si>
  <si>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</si>
  <si>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</si>
  <si>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</si>
  <si>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</si>
  <si>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</si>
  <si>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</si>
  <si>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</si>
  <si>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</si>
  <si>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</si>
  <si>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</si>
  <si>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</si>
  <si>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</si>
  <si>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</si>
  <si>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</si>
  <si>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</si>
  <si>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</si>
  <si>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</si>
  <si>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</si>
  <si>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</si>
  <si>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</si>
  <si>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</si>
  <si>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</si>
  <si>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</si>
  <si>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</si>
  <si>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</si>
  <si>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</si>
  <si>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</si>
  <si>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</si>
  <si>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</si>
  <si>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</si>
  <si>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</si>
  <si>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</si>
  <si>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</si>
  <si>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</si>
  <si>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</si>
  <si>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</si>
  <si>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</si>
  <si>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</si>
  <si>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</si>
  <si>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</si>
  <si>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</si>
  <si>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</si>
  <si>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</si>
  <si>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</si>
  <si>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</si>
  <si>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</si>
  <si>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</si>
  <si>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</si>
  <si>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</si>
  <si>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</si>
  <si>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</si>
  <si>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</si>
  <si>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</si>
  <si>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</si>
  <si>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</si>
  <si>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</si>
  <si>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</si>
  <si>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</si>
  <si>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</si>
  <si>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</si>
  <si>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</si>
  <si>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</si>
  <si>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</si>
  <si>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</si>
  <si>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</si>
  <si>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</si>
  <si>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</si>
  <si>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</si>
  <si>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</si>
  <si>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</si>
  <si>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</si>
  <si>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</si>
  <si>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</si>
  <si>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</si>
  <si>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</si>
  <si>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</si>
  <si>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</si>
  <si>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</si>
  <si>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</si>
  <si>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</si>
  <si>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</si>
  <si>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</si>
  <si>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</si>
  <si>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</si>
  <si>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</si>
  <si>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</si>
  <si>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</si>
  <si>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</si>
  <si>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</si>
  <si>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</si>
  <si>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</si>
  <si>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</si>
  <si>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</si>
  <si>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</si>
  <si>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</si>
  <si>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</si>
  <si>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</si>
  <si>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</si>
  <si>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</si>
  <si>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</si>
  <si>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</si>
  <si>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</si>
  <si>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</si>
  <si>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</si>
  <si>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</si>
  <si>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</si>
  <si>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</si>
  <si>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</si>
  <si>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</si>
  <si>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</si>
  <si>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</si>
  <si>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</si>
  <si>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</si>
  <si>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</si>
  <si>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</si>
  <si>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</si>
  <si>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</si>
  <si>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</si>
  <si>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</si>
  <si>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</si>
  <si>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</si>
  <si>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</si>
  <si>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</si>
  <si>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</si>
  <si>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</si>
  <si>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</si>
  <si>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</si>
  <si>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</si>
  <si>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</si>
  <si>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</si>
  <si>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</si>
  <si>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</si>
  <si>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</si>
  <si>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</si>
  <si>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</si>
  <si>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</si>
  <si>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</si>
  <si>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</si>
  <si>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</si>
  <si>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</si>
  <si>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</si>
  <si>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</si>
  <si>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</si>
  <si>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</si>
  <si>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</si>
  <si>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</si>
  <si>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</si>
  <si>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</si>
  <si>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</si>
  <si>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</si>
  <si>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</si>
  <si>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</si>
  <si>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</si>
  <si>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</si>
  <si>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</si>
  <si>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</si>
  <si>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</si>
  <si>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</si>
  <si>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</si>
  <si>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</si>
  <si>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</si>
  <si>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</si>
  <si>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</si>
  <si>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</si>
  <si>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</si>
  <si>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</si>
  <si>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</si>
  <si>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</si>
  <si>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</si>
  <si>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</si>
  <si>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</si>
  <si>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</si>
  <si>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</si>
  <si>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</si>
  <si>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</si>
  <si>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</si>
  <si>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</si>
  <si>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</si>
  <si>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</si>
  <si>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</si>
  <si>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</si>
  <si>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</si>
  <si>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</si>
  <si>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</si>
  <si>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</si>
  <si>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</si>
  <si>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</si>
  <si>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</si>
  <si>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</si>
  <si>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</si>
  <si>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</si>
  <si>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</si>
  <si>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</si>
  <si>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</si>
  <si>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</si>
  <si>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</si>
  <si>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</si>
  <si>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</si>
  <si>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</si>
  <si>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</si>
  <si>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</si>
  <si>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</si>
  <si>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</si>
  <si>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</si>
  <si>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</si>
  <si>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</si>
  <si>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</si>
  <si>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</si>
  <si>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</si>
  <si>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</si>
  <si>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</si>
  <si>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</si>
  <si>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</si>
  <si>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</si>
  <si>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</si>
  <si>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</si>
  <si>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</si>
  <si>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</si>
  <si>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</si>
  <si>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</si>
  <si>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</si>
  <si>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</si>
  <si>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</si>
  <si>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</si>
  <si>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</si>
  <si>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</si>
  <si>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</si>
  <si>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</si>
  <si>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</si>
  <si>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</si>
  <si>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</si>
  <si>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</si>
  <si>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</si>
  <si>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</si>
  <si>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</si>
  <si>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</si>
  <si>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</si>
  <si>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</si>
  <si>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</si>
  <si>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</si>
  <si>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</si>
  <si>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</si>
  <si>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</si>
  <si>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</si>
  <si>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</si>
  <si>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</si>
  <si>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</si>
  <si>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</si>
  <si>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</si>
  <si>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</si>
  <si>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</si>
  <si>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</si>
  <si>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</si>
  <si>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</si>
  <si>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</si>
  <si>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</si>
  <si>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</si>
  <si>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</si>
  <si>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</si>
  <si>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</si>
  <si>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</si>
  <si>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</si>
  <si>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</si>
  <si>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</si>
  <si>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</si>
  <si>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</si>
  <si>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</si>
  <si>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</si>
  <si>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</si>
  <si>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</si>
  <si>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</si>
  <si>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</si>
  <si>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</si>
  <si>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</si>
  <si>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</si>
  <si>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</si>
  <si>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</si>
  <si>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</si>
  <si>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</si>
  <si>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</si>
  <si>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</si>
  <si>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</si>
  <si>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</si>
  <si>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</si>
  <si>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</si>
  <si>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</si>
  <si>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</si>
  <si>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</si>
  <si>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</si>
  <si>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</si>
  <si>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</si>
  <si>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</si>
  <si>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</si>
  <si>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</si>
  <si>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</si>
  <si>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</si>
  <si>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</si>
  <si>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</si>
  <si>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</si>
  <si>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</si>
  <si>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</si>
  <si>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</si>
  <si>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</si>
  <si>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</si>
  <si>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</si>
  <si>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</si>
  <si>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</si>
  <si>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</si>
  <si>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</si>
  <si>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</si>
  <si>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</si>
  <si>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</si>
  <si>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</si>
  <si>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</si>
  <si>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</si>
  <si>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</si>
  <si>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</si>
  <si>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</si>
  <si>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</si>
  <si>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</si>
  <si>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</si>
  <si>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</si>
  <si>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</si>
  <si>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</si>
  <si>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</si>
  <si>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</si>
  <si>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</si>
  <si>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</si>
  <si>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</si>
  <si>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</si>
  <si>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</si>
  <si>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</si>
  <si>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</si>
  <si>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</si>
  <si>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</si>
  <si>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</si>
  <si>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</si>
  <si>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</si>
  <si>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</si>
  <si>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</si>
  <si>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</si>
  <si>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</si>
  <si>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</si>
  <si>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</si>
  <si>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</si>
  <si>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</si>
  <si>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</si>
  <si>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</si>
  <si>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</si>
  <si>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</si>
  <si>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</si>
  <si>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</si>
  <si>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</si>
  <si>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</si>
  <si>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</si>
  <si>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</si>
  <si>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</si>
  <si>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</si>
  <si>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</si>
  <si>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</si>
  <si>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</si>
  <si>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</si>
  <si>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</si>
  <si>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</si>
  <si>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</si>
  <si>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</si>
  <si>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</si>
  <si>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</si>
  <si>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</si>
  <si>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</si>
  <si>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</si>
  <si>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</si>
  <si>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</si>
  <si>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</si>
  <si>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</si>
  <si>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</si>
  <si>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</si>
  <si>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</si>
  <si>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</si>
  <si>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</si>
  <si>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</si>
  <si>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</si>
  <si>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</si>
  <si>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</si>
  <si>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</si>
  <si>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</si>
  <si>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</si>
  <si>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</si>
  <si>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</si>
  <si>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</si>
  <si>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</si>
  <si>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</si>
  <si>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</si>
  <si>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</si>
  <si>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</si>
  <si>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</si>
  <si>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</si>
  <si>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</si>
  <si>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</si>
  <si>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</si>
  <si>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</si>
  <si>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</si>
  <si>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</si>
  <si>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</si>
  <si>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</si>
  <si>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</si>
  <si>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</si>
  <si>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</si>
  <si>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</si>
  <si>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</si>
  <si>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</si>
  <si>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</si>
  <si>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</si>
  <si>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</si>
  <si>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</si>
  <si>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</si>
  <si>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</si>
  <si>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</si>
  <si>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</si>
  <si>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</si>
  <si>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</si>
  <si>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</si>
  <si>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</si>
  <si>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</si>
  <si>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</si>
  <si>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</si>
  <si>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</si>
  <si>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</si>
  <si>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</si>
  <si>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</si>
  <si>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</si>
  <si>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</si>
  <si>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</si>
  <si>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</si>
  <si>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</si>
  <si>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</si>
  <si>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</si>
  <si>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</si>
  <si>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</si>
  <si>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</si>
  <si>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</si>
  <si>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</si>
  <si>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</si>
  <si>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</si>
  <si>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</si>
  <si>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</si>
  <si>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</si>
  <si>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</si>
  <si>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</si>
  <si>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</si>
  <si>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</si>
  <si>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</si>
  <si>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</si>
  <si>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</si>
  <si>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</si>
  <si>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</si>
  <si>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</si>
  <si>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</si>
  <si>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</si>
  <si>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</si>
  <si>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</si>
  <si>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</si>
  <si>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</si>
  <si>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</si>
  <si>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</si>
  <si>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</si>
  <si>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</si>
  <si>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</si>
  <si>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</si>
  <si>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</si>
  <si>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</si>
  <si>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</si>
  <si>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</si>
  <si>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</si>
  <si>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</si>
  <si>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</si>
  <si>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</si>
  <si>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</si>
  <si>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</si>
  <si>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</si>
  <si>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</si>
  <si>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</si>
  <si>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</si>
  <si>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</si>
  <si>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</si>
  <si>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</si>
  <si>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</si>
  <si>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</si>
  <si>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</si>
  <si>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</si>
  <si>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</si>
  <si>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</si>
  <si>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</si>
  <si>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</si>
  <si>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</si>
  <si>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</si>
  <si>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</si>
  <si>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</si>
  <si>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</si>
  <si>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</si>
  <si>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</si>
  <si>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</si>
  <si>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</si>
  <si>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</si>
  <si>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</si>
  <si>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</si>
  <si>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</si>
  <si>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</si>
  <si>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</si>
  <si>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</si>
  <si>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</si>
  <si>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</si>
  <si>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</si>
  <si>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</si>
  <si>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</si>
  <si>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</si>
  <si>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</si>
  <si>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</si>
  <si>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</si>
  <si>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</si>
  <si>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</si>
  <si>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</si>
  <si>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</si>
  <si>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</si>
  <si>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</si>
  <si>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</si>
  <si>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</si>
  <si>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</si>
  <si>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</si>
  <si>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</si>
  <si>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</si>
  <si>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</si>
  <si>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</si>
  <si>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</si>
  <si>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</si>
  <si>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</si>
  <si>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</si>
  <si>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</si>
  <si>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</si>
  <si>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</si>
  <si>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</si>
  <si>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</si>
  <si>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</si>
  <si>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</si>
  <si>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</si>
  <si>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</si>
  <si>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</si>
  <si>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</si>
  <si>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</si>
  <si>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</si>
  <si>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</si>
  <si>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</si>
  <si>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</si>
  <si>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</si>
  <si>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</si>
  <si>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</si>
  <si>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</si>
  <si>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</si>
  <si>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</si>
  <si>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</si>
  <si>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</si>
  <si>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</si>
  <si>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</si>
  <si>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</si>
  <si>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</si>
  <si>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</si>
  <si>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</si>
  <si>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</si>
  <si>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</si>
  <si>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</si>
  <si>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</si>
  <si>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</si>
  <si>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</si>
  <si>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</si>
  <si>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</si>
  <si>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</si>
  <si>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</si>
  <si>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</si>
  <si>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</si>
  <si>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</si>
  <si>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</si>
  <si>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</si>
  <si>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</si>
  <si>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</si>
  <si>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</si>
  <si>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</si>
  <si>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</si>
  <si>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</si>
  <si>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</si>
  <si>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</si>
  <si>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</si>
  <si>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</si>
  <si>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</si>
  <si>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</si>
  <si>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</si>
  <si>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</si>
  <si>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</si>
  <si>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</si>
  <si>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</si>
  <si>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</si>
  <si>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</si>
  <si>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</si>
  <si>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</si>
  <si>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</si>
  <si>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</si>
  <si>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</si>
  <si>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</si>
  <si>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</si>
  <si>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</si>
  <si>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</si>
  <si>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</si>
  <si>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</si>
  <si>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</si>
  <si>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</si>
  <si>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</si>
  <si>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</si>
  <si>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</si>
  <si>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</si>
  <si>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</si>
  <si>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</si>
  <si>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</si>
  <si>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</si>
  <si>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</si>
  <si>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</si>
  <si>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</si>
  <si>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</si>
  <si>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</si>
  <si>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</si>
  <si>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</si>
  <si>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</si>
  <si>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</si>
  <si>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</si>
  <si>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</si>
  <si>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</si>
  <si>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</si>
  <si>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</si>
  <si>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</si>
  <si>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</si>
  <si>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</si>
  <si>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</si>
  <si>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</si>
  <si>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</si>
  <si>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</si>
  <si>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</si>
  <si>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</si>
  <si>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</si>
  <si>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</si>
  <si>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</si>
  <si>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</si>
  <si>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</si>
  <si>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</si>
  <si>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</si>
  <si>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</si>
  <si>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</si>
  <si>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</si>
  <si>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</si>
  <si>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</si>
  <si>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</si>
  <si>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</si>
  <si>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</si>
  <si>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</si>
  <si>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</si>
  <si>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</si>
  <si>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</si>
  <si>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</si>
  <si>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</si>
  <si>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</si>
  <si>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</si>
  <si>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</si>
  <si>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</si>
  <si>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</si>
  <si>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</si>
  <si>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</si>
  <si>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</si>
  <si>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</si>
  <si>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</si>
  <si>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</si>
  <si>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</si>
  <si>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</si>
  <si>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</si>
  <si>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</si>
  <si>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</si>
  <si>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</si>
  <si>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</si>
  <si>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</si>
  <si>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</si>
  <si>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</si>
  <si>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</si>
  <si>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</si>
  <si>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</si>
  <si>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</si>
  <si>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</si>
  <si>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</si>
  <si>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</si>
  <si>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</si>
  <si>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</si>
  <si>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</si>
  <si>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</si>
  <si>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</si>
  <si>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</si>
  <si>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</si>
  <si>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</si>
  <si>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</si>
  <si>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</si>
  <si>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</si>
  <si>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</si>
  <si>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</si>
  <si>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</si>
  <si>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</si>
  <si>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</si>
  <si>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</si>
  <si>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</si>
  <si>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</si>
  <si>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</si>
  <si>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</si>
  <si>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</si>
  <si>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</si>
  <si>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</si>
  <si>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</si>
  <si>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</si>
  <si>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</si>
  <si>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</si>
  <si>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</si>
  <si>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</si>
  <si>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</si>
  <si>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</si>
  <si>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</si>
  <si>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</si>
  <si>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</si>
  <si>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</si>
  <si>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</si>
  <si>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</si>
  <si>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</si>
  <si>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</si>
  <si>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</si>
  <si>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</si>
  <si>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</si>
  <si>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</si>
  <si>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</si>
  <si>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</si>
  <si>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</si>
  <si>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</si>
  <si>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</si>
  <si>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</si>
  <si>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</si>
  <si>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</si>
  <si>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</si>
  <si>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</si>
  <si>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</si>
  <si>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</si>
  <si>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</si>
  <si>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</si>
  <si>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</si>
  <si>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</si>
  <si>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</si>
  <si>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</si>
  <si>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</si>
  <si>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</si>
  <si>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</si>
  <si>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</si>
  <si>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</si>
  <si>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</si>
  <si>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</si>
  <si>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</si>
  <si>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</si>
  <si>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</si>
  <si>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</si>
  <si>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</si>
  <si>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</si>
  <si>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</si>
  <si>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</si>
  <si>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</si>
  <si>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</si>
  <si>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</si>
  <si>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</si>
  <si>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</si>
  <si>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</si>
  <si>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</si>
  <si>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</si>
  <si>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</si>
  <si>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</si>
  <si>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</si>
  <si>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</si>
  <si>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</si>
  <si>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</si>
  <si>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</si>
  <si>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</si>
  <si>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</si>
  <si>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</si>
  <si>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</si>
  <si>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</si>
  <si>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</si>
  <si>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</si>
  <si>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</si>
  <si>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</si>
  <si>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</si>
  <si>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</si>
  <si>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</si>
  <si>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</si>
  <si>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</si>
  <si>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</si>
  <si>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</si>
  <si>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</si>
  <si>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</si>
  <si>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</si>
  <si>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</si>
  <si>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</si>
  <si>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</si>
  <si>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</si>
  <si>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</si>
  <si>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</si>
  <si>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</si>
  <si>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</si>
  <si>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</si>
  <si>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</si>
  <si>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</si>
  <si>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</si>
  <si>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</si>
  <si>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</si>
  <si>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</si>
  <si>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</si>
  <si>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</si>
  <si>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</si>
  <si>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</si>
  <si>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</si>
  <si>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</si>
  <si>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</si>
  <si>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</si>
  <si>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</si>
  <si>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</si>
  <si>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</si>
  <si>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</si>
  <si>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</si>
  <si>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</si>
  <si>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</si>
  <si>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</si>
  <si>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</si>
  <si>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</si>
  <si>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</si>
  <si>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</si>
  <si>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</si>
  <si>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</si>
  <si>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</si>
  <si>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</si>
  <si>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</si>
  <si>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</si>
  <si>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</si>
  <si>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</si>
  <si>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</si>
  <si>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</si>
  <si>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</si>
  <si>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</si>
  <si>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</si>
  <si>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</si>
  <si>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</si>
  <si>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</si>
  <si>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</si>
  <si>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</si>
  <si>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</si>
  <si>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</si>
  <si>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</si>
  <si>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</si>
  <si>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</si>
  <si>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</si>
  <si>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</si>
  <si>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</si>
  <si>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</si>
  <si>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</si>
  <si>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</si>
  <si>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</si>
  <si>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</si>
  <si>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</si>
  <si>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</si>
  <si>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</si>
  <si>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</si>
  <si>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</si>
  <si>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</si>
  <si>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</si>
  <si>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</si>
  <si>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</si>
  <si>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</si>
  <si>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</si>
  <si>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</si>
  <si>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</si>
  <si>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</si>
  <si>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</si>
  <si>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</si>
  <si>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</si>
  <si>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</si>
  <si>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</si>
  <si>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</si>
  <si>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</si>
  <si>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</si>
  <si>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</si>
  <si>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</si>
  <si>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</si>
  <si>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</si>
  <si>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</si>
  <si>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</si>
  <si>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</si>
  <si>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</si>
  <si>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</si>
  <si>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</si>
  <si>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</si>
  <si>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</si>
  <si>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</si>
  <si>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</si>
  <si>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</si>
  <si>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</si>
  <si>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</si>
  <si>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</si>
  <si>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</si>
  <si>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</si>
  <si>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</si>
  <si>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</si>
  <si>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</si>
  <si>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</si>
  <si>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</si>
  <si>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</si>
  <si>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</si>
  <si>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</si>
  <si>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</si>
  <si>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</si>
  <si>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</si>
  <si>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</si>
  <si>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</si>
  <si>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</si>
  <si>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</si>
  <si>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</si>
  <si>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</si>
  <si>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</si>
  <si>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</si>
  <si>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</si>
  <si>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</si>
  <si>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</si>
  <si>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</si>
  <si>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</si>
  <si>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</si>
  <si>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</si>
  <si>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</si>
  <si>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</si>
  <si>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</si>
  <si>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</si>
  <si>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</si>
  <si>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</si>
  <si>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</si>
  <si>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</si>
  <si>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</si>
  <si>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</si>
  <si>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</si>
  <si>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</si>
  <si>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</si>
  <si>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</si>
  <si>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</si>
  <si>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</si>
  <si>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</si>
  <si>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</si>
  <si>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</si>
  <si>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</si>
  <si>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</si>
  <si>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</si>
  <si>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</si>
  <si>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</si>
  <si>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</si>
  <si>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</si>
  <si>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</si>
  <si>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</si>
  <si>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</si>
  <si>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</si>
  <si>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</si>
  <si>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</si>
  <si>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</si>
  <si>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</si>
  <si>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</si>
  <si>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</si>
  <si>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</si>
  <si>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</si>
  <si>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</si>
  <si>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</si>
  <si>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</si>
  <si>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</si>
  <si>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</si>
  <si>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</si>
  <si>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</si>
  <si>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</si>
  <si>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</si>
  <si>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</si>
  <si>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</si>
  <si>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</si>
  <si>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</si>
  <si>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</si>
  <si>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</si>
  <si>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</si>
  <si>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</si>
  <si>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</si>
  <si>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</si>
  <si>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</si>
  <si>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</si>
  <si>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</si>
  <si>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</si>
  <si>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</si>
  <si>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</si>
  <si>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</si>
  <si>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</si>
  <si>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</si>
  <si>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</si>
  <si>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</si>
  <si>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</si>
  <si>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</si>
  <si>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</si>
  <si>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</si>
  <si>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</si>
  <si>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</si>
  <si>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</si>
  <si>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</si>
  <si>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</si>
  <si>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</si>
  <si>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</si>
  <si>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</si>
  <si>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</si>
  <si>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</si>
  <si>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</si>
  <si>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</si>
  <si>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</si>
  <si>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</si>
  <si>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</si>
  <si>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</si>
  <si>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</si>
  <si>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</si>
  <si>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</si>
  <si>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</si>
  <si>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</si>
  <si>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</si>
  <si>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</si>
  <si>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</si>
  <si>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</si>
  <si>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</si>
  <si>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</si>
  <si>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</si>
  <si>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</si>
  <si>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</si>
  <si>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</si>
  <si>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</si>
  <si>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</si>
  <si>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</si>
  <si>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</si>
  <si>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</si>
  <si>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</si>
  <si>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</si>
  <si>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</si>
  <si>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</si>
  <si>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</si>
  <si>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</si>
  <si>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</si>
  <si>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</si>
  <si>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</si>
  <si>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</si>
  <si>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</si>
  <si>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</si>
  <si>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</si>
  <si>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</si>
  <si>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</si>
  <si>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</si>
  <si>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</si>
  <si>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</si>
  <si>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</si>
  <si>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</si>
  <si>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</si>
  <si>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</si>
  <si>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</si>
  <si>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</si>
  <si>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</si>
  <si>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</si>
  <si>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</si>
  <si>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</si>
  <si>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</si>
  <si>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</si>
  <si>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</si>
  <si>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</si>
  <si>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</si>
  <si>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</si>
  <si>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</si>
  <si>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</si>
  <si>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</si>
  <si>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</si>
  <si>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</si>
  <si>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</si>
  <si>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</si>
  <si>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</si>
  <si>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</si>
  <si>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</si>
  <si>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</si>
  <si>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</si>
  <si>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</si>
  <si>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</si>
  <si>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</si>
  <si>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</si>
  <si>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</si>
  <si>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</si>
  <si>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</si>
  <si>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</si>
  <si>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</si>
  <si>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</si>
  <si>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</si>
  <si>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</si>
  <si>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</si>
  <si>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</si>
  <si>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</si>
  <si>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</si>
  <si>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</si>
  <si>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</si>
  <si>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</si>
  <si>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</si>
  <si>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</si>
  <si>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</si>
  <si>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</si>
  <si>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</si>
  <si>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</si>
  <si>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</si>
  <si>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</si>
  <si>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</si>
  <si>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</si>
  <si>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</si>
  <si>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</si>
  <si>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</si>
  <si>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</si>
  <si>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</si>
  <si>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</si>
  <si>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</si>
  <si>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</si>
  <si>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</si>
  <si>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</si>
  <si>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</si>
  <si>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</si>
  <si>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</si>
  <si>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</si>
  <si>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</si>
  <si>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</si>
  <si>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</si>
  <si>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</si>
  <si>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</si>
  <si>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</si>
  <si>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</si>
  <si>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</si>
  <si>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</si>
  <si>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</si>
  <si>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</si>
  <si>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</si>
  <si>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</si>
  <si>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</si>
  <si>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</si>
  <si>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</si>
  <si>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</si>
  <si>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</si>
  <si>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</si>
  <si>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</si>
  <si>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</si>
  <si>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</si>
  <si>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</si>
  <si>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</si>
  <si>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</si>
  <si>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</si>
  <si>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</si>
  <si>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</si>
  <si>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</si>
  <si>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</si>
  <si>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</si>
  <si>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</si>
  <si>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</si>
  <si>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</si>
  <si>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</si>
  <si>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</si>
  <si>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</si>
  <si>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</si>
  <si>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</si>
  <si>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</si>
  <si>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</si>
  <si>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</si>
  <si>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</si>
  <si>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</si>
  <si>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</si>
  <si>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</si>
  <si>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</si>
  <si>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</si>
  <si>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</si>
  <si>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</si>
  <si>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</si>
  <si>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</si>
  <si>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</si>
  <si>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</si>
  <si>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</si>
  <si>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</si>
  <si>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</si>
  <si>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</si>
  <si>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</si>
  <si>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</si>
  <si>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</si>
  <si>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</si>
  <si>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</si>
  <si>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</si>
  <si>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</si>
  <si>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</si>
  <si>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</si>
  <si>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</si>
  <si>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</si>
  <si>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</si>
  <si>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</si>
  <si>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</si>
  <si>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</si>
  <si>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</si>
  <si>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</si>
  <si>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</si>
  <si>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</si>
  <si>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</si>
  <si>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</si>
  <si>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</si>
  <si>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</si>
  <si>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</si>
  <si>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</si>
  <si>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</si>
  <si>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</si>
  <si>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</si>
  <si>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</si>
  <si>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</si>
  <si>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</si>
  <si>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</si>
  <si>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</si>
  <si>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</si>
  <si>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</si>
  <si>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</si>
  <si>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</si>
  <si>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</si>
  <si>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</si>
  <si>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</si>
  <si>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</si>
  <si>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</si>
  <si>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</si>
  <si>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</si>
  <si>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</si>
  <si>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</si>
  <si>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</si>
  <si>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</si>
  <si>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</si>
  <si>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</si>
  <si>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</si>
  <si>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</si>
  <si>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</si>
  <si>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</si>
  <si>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</si>
  <si>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</si>
  <si>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</si>
  <si>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</si>
  <si>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</si>
  <si>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</si>
  <si>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</si>
  <si>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</si>
  <si>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</si>
  <si>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</si>
  <si>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</si>
  <si>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</si>
  <si>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</si>
  <si>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</si>
  <si>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</si>
  <si>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</si>
  <si>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</si>
  <si>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</si>
  <si>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</si>
  <si>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</si>
  <si>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</si>
  <si>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</si>
  <si>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</si>
  <si>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</si>
  <si>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</si>
  <si>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</si>
  <si>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</si>
  <si>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</si>
  <si>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</si>
  <si>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</si>
  <si>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</si>
  <si>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</si>
  <si>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</si>
  <si>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</si>
  <si>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</si>
  <si>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</si>
  <si>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</si>
  <si>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</si>
  <si>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</si>
  <si>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</si>
  <si>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</si>
  <si>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</si>
  <si>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</si>
  <si>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</si>
  <si>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</si>
  <si>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</si>
  <si>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</si>
  <si>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</si>
  <si>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</si>
  <si>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</si>
  <si>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</si>
  <si>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</si>
  <si>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</si>
  <si>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</si>
  <si>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</si>
  <si>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</si>
  <si>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</si>
  <si>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</si>
  <si>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</si>
  <si>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</si>
  <si>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</si>
  <si>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</si>
  <si>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</si>
  <si>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</si>
  <si>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</si>
  <si>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</si>
  <si>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</si>
  <si>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</si>
  <si>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</si>
  <si>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</si>
  <si>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</si>
  <si>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</si>
  <si>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</si>
  <si>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</si>
  <si>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</si>
  <si>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</si>
  <si>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</si>
  <si>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</si>
  <si>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</si>
  <si>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</si>
  <si>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</si>
  <si>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</si>
  <si>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</si>
  <si>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</si>
  <si>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</si>
  <si>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</si>
  <si>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</si>
  <si>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</si>
  <si>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</si>
  <si>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</si>
  <si>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</si>
  <si>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</si>
  <si>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</si>
  <si>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</si>
  <si>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</si>
  <si>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</si>
  <si>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</si>
  <si>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</si>
  <si>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</si>
  <si>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</si>
  <si>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</si>
  <si>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</si>
  <si>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</si>
  <si>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</si>
  <si>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</si>
  <si>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</si>
  <si>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</si>
  <si>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</si>
  <si>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</si>
  <si>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</si>
  <si>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</si>
  <si>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</si>
  <si>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</si>
  <si>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</si>
  <si>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</si>
  <si>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</si>
  <si>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</si>
  <si>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</si>
  <si>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</si>
  <si>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</si>
  <si>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</si>
  <si>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</si>
  <si>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</si>
  <si>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</si>
  <si>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</si>
  <si>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</si>
  <si>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</si>
  <si>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</si>
  <si>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</si>
  <si>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</si>
  <si>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</si>
  <si>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</si>
  <si>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</si>
  <si>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</si>
  <si>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</si>
  <si>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</si>
  <si>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</si>
  <si>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</si>
  <si>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</si>
  <si>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</si>
  <si>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</si>
  <si>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</si>
  <si>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</si>
  <si>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</si>
  <si>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</si>
  <si>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</si>
  <si>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</si>
  <si>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</si>
  <si>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</si>
  <si>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</si>
  <si>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</si>
  <si>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</si>
  <si>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</si>
  <si>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</si>
  <si>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</si>
  <si>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</si>
  <si>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</si>
  <si>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</si>
  <si>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</si>
  <si>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</si>
  <si>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</si>
  <si>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</si>
  <si>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</si>
  <si>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</si>
  <si>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</si>
  <si>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</si>
  <si>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</si>
  <si>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</si>
  <si>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</si>
  <si>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</si>
  <si>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</si>
  <si>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</si>
  <si>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</si>
  <si>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</si>
  <si>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</si>
  <si>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</si>
  <si>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</si>
  <si>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</si>
  <si>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</si>
  <si>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</si>
  <si>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</si>
  <si>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</si>
  <si>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</si>
  <si>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</si>
  <si>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</si>
  <si>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</si>
  <si>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</si>
  <si>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</si>
  <si>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</si>
  <si>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</si>
  <si>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</si>
  <si>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</si>
  <si>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</si>
  <si>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</si>
  <si>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</si>
  <si>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</si>
  <si>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</si>
  <si>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</si>
  <si>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</si>
  <si>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</si>
  <si>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</si>
  <si>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</si>
  <si>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</si>
  <si>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</si>
  <si>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</si>
  <si>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</si>
  <si>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</si>
  <si>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</si>
  <si>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</si>
  <si>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</si>
  <si>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</si>
  <si>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</si>
  <si>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</si>
  <si>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</si>
  <si>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</si>
  <si>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</si>
  <si>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</si>
  <si>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</si>
  <si>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</si>
  <si>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</si>
  <si>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</si>
  <si>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</si>
  <si>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</si>
  <si>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</si>
  <si>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</si>
  <si>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</si>
  <si>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</si>
  <si>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</si>
  <si>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</si>
  <si>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</si>
  <si>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</si>
  <si>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</si>
  <si>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</si>
  <si>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</si>
  <si>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</si>
  <si>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</si>
  <si>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</si>
  <si>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</si>
  <si>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</si>
  <si>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</si>
  <si>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</si>
  <si>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</si>
  <si>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</si>
  <si>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</si>
  <si>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</si>
  <si>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</si>
  <si>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</si>
  <si>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</si>
  <si>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</si>
  <si>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</si>
  <si>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</si>
  <si>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</si>
  <si>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</si>
  <si>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</si>
  <si>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</si>
  <si>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</si>
  <si>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</si>
  <si>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</si>
  <si>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</si>
  <si>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</si>
  <si>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</si>
  <si>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</si>
  <si>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</si>
  <si>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</si>
  <si>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</si>
  <si>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</si>
  <si>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</si>
  <si>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</si>
  <si>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</si>
  <si>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</si>
  <si>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</si>
  <si>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</si>
  <si>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</si>
  <si>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</si>
  <si>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</si>
  <si>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</si>
  <si>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</si>
  <si>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</si>
  <si>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</si>
  <si>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</si>
  <si>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</si>
  <si>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</si>
  <si>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</si>
  <si>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</si>
  <si>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</si>
  <si>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</si>
  <si>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</si>
  <si>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</si>
  <si>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</si>
  <si>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</si>
  <si>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</si>
  <si>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</si>
  <si>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</si>
  <si>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</si>
  <si>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</si>
  <si>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</si>
  <si>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</si>
  <si>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</si>
  <si>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</si>
  <si>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</si>
  <si>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</si>
  <si>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</si>
  <si>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</si>
  <si>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</si>
  <si>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</si>
  <si>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</si>
  <si>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</si>
  <si>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</si>
  <si>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</si>
  <si>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</si>
  <si>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</si>
  <si>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</si>
  <si>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</si>
  <si>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</si>
  <si>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</si>
  <si>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</si>
  <si>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</si>
  <si>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</si>
  <si>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</si>
  <si>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</si>
  <si>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</si>
  <si>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</si>
  <si>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</si>
  <si>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</si>
  <si>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</si>
  <si>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</si>
  <si>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</si>
  <si>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</si>
  <si>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</si>
  <si>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</si>
  <si>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</si>
  <si>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</si>
  <si>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</si>
  <si>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</si>
  <si>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</si>
  <si>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</si>
  <si>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</si>
  <si>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</si>
  <si>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</si>
  <si>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</si>
  <si>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</si>
  <si>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</si>
  <si>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</si>
  <si>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</si>
  <si>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</si>
  <si>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</si>
  <si>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</si>
  <si>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</si>
  <si>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</si>
  <si>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</si>
  <si>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</si>
  <si>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</si>
  <si>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</si>
  <si>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</si>
  <si>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</si>
  <si>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</si>
  <si>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</si>
  <si>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</si>
  <si>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</si>
  <si>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</si>
  <si>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</si>
  <si>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</si>
  <si>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</si>
  <si>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</si>
  <si>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</si>
  <si>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</si>
  <si>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</si>
  <si>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</si>
  <si>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</si>
  <si>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</si>
  <si>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</si>
  <si>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</si>
  <si>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</si>
  <si>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</si>
  <si>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</si>
  <si>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</si>
  <si>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</si>
  <si>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</si>
  <si>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</si>
  <si>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</si>
  <si>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</si>
  <si>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</si>
  <si>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</si>
  <si>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</si>
  <si>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</si>
  <si>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</si>
  <si>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</si>
  <si>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</si>
  <si>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</si>
  <si>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</si>
  <si>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</si>
  <si>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</si>
  <si>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</si>
  <si>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</si>
  <si>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</si>
  <si>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</si>
  <si>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</si>
  <si>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</si>
  <si>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</si>
  <si>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</si>
  <si>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</si>
  <si>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</si>
  <si>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</si>
  <si>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</si>
  <si>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</si>
  <si>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</si>
  <si>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</si>
  <si>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</si>
  <si>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</si>
  <si>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</si>
  <si>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</si>
  <si>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</si>
  <si>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</si>
  <si>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</si>
  <si>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</si>
  <si>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</si>
  <si>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</si>
  <si>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</si>
  <si>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</si>
  <si>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</si>
  <si>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</si>
  <si>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</si>
  <si>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</si>
  <si>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</si>
  <si>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</si>
  <si>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</si>
  <si>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</si>
  <si>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</si>
  <si>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</si>
  <si>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</si>
  <si>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</si>
  <si>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</si>
  <si>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</si>
  <si>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</si>
  <si>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</si>
  <si>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</si>
  <si>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</si>
  <si>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</si>
  <si>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</si>
  <si>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</si>
  <si>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</si>
  <si>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</si>
  <si>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</si>
  <si>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</si>
  <si>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</si>
  <si>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</si>
  <si>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</si>
  <si>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</si>
  <si>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</si>
  <si>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</si>
  <si>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</si>
  <si>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</si>
  <si>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</si>
  <si>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</si>
  <si>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</si>
  <si>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</si>
  <si>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</si>
  <si>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</si>
  <si>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</si>
  <si>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</si>
  <si>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</si>
  <si>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</si>
  <si>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</si>
  <si>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</si>
  <si>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</si>
  <si>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</si>
  <si>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</si>
  <si>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</si>
  <si>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</si>
  <si>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</si>
  <si>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</si>
  <si>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</si>
  <si>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</si>
  <si>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</si>
  <si>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</si>
  <si>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</si>
  <si>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</si>
  <si>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</si>
  <si>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</si>
  <si>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</si>
  <si>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</si>
  <si>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</si>
  <si>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</si>
  <si>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</si>
  <si>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</si>
  <si>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</si>
  <si>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</si>
  <si>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</si>
  <si>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</si>
  <si>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</si>
  <si>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</si>
  <si>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</si>
  <si>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</si>
  <si>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</si>
  <si>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</si>
  <si>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</si>
  <si>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</si>
  <si>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</si>
  <si>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</si>
  <si>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</si>
  <si>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</si>
  <si>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</si>
  <si>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</si>
  <si>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</si>
  <si>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</si>
  <si>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</si>
  <si>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</si>
  <si>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</si>
  <si>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</si>
  <si>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</si>
  <si>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</si>
  <si>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</si>
  <si>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</si>
  <si>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</si>
  <si>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</si>
  <si>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</si>
  <si>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</si>
  <si>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</si>
  <si>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</si>
  <si>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</si>
  <si>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</si>
  <si>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</si>
  <si>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</si>
  <si>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</si>
  <si>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</si>
  <si>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</si>
  <si>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</si>
  <si>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</si>
  <si>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</si>
  <si>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</si>
  <si>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</si>
  <si>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</si>
  <si>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</si>
  <si>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</si>
  <si>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</si>
  <si>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</si>
  <si>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</si>
  <si>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</si>
  <si>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</si>
  <si>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</si>
  <si>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</si>
  <si>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</si>
  <si>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</si>
  <si>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</si>
  <si>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</si>
  <si>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</si>
  <si>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</si>
  <si>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</si>
  <si>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</si>
  <si>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</si>
  <si>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</si>
  <si>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</si>
  <si>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</si>
  <si>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</si>
  <si>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</si>
  <si>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</si>
  <si>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</si>
  <si>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</si>
  <si>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</si>
  <si>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</si>
  <si>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</si>
  <si>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</si>
  <si>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</si>
  <si>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</si>
  <si>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</si>
  <si>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</si>
  <si>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</si>
  <si>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</si>
  <si>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</si>
  <si>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</si>
  <si>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</si>
  <si>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</si>
  <si>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</si>
  <si>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</si>
  <si>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</si>
  <si>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</si>
  <si>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</si>
  <si>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</si>
  <si>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</si>
  <si>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</si>
  <si>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</si>
  <si>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</si>
  <si>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</si>
  <si>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</si>
  <si>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</si>
  <si>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</si>
  <si>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</si>
  <si>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</si>
  <si>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</si>
  <si>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</si>
  <si>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</si>
  <si>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</si>
  <si>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</si>
  <si>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</si>
  <si>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</si>
  <si>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</si>
  <si>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</si>
  <si>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</si>
  <si>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</si>
  <si>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</si>
  <si>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</si>
  <si>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</si>
  <si>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</si>
  <si>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</si>
  <si>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</si>
  <si>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</si>
  <si>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</si>
  <si>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</si>
  <si>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</si>
  <si>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</si>
  <si>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</si>
  <si>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</si>
  <si>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</si>
  <si>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</si>
  <si>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</si>
  <si>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</si>
  <si>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</si>
  <si>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</si>
  <si>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</si>
  <si>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</si>
  <si>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</si>
  <si>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</si>
  <si>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</si>
  <si>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</si>
  <si>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</si>
  <si>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</si>
  <si>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</si>
  <si>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</si>
  <si>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</si>
  <si>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</si>
  <si>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</si>
  <si>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</si>
  <si>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</si>
  <si>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</si>
  <si>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</si>
  <si>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</si>
  <si>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</si>
  <si>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</si>
  <si>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</si>
  <si>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</si>
  <si>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</si>
  <si>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</si>
  <si>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</si>
  <si>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</si>
  <si>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</si>
  <si>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</si>
  <si>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</si>
  <si>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</si>
  <si>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</si>
  <si>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</si>
  <si>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</si>
  <si>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</si>
  <si>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</si>
  <si>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</si>
  <si>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</si>
  <si>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</si>
  <si>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</si>
  <si>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</si>
  <si>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</si>
  <si>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</si>
  <si>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</si>
  <si>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</si>
  <si>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</si>
  <si>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</si>
  <si>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</si>
  <si>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</si>
  <si>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</si>
  <si>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</si>
  <si>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</si>
  <si>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</si>
  <si>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</si>
  <si>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</si>
  <si>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</si>
  <si>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</si>
  <si>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</si>
  <si>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</si>
  <si>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</si>
  <si>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</si>
  <si>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</si>
  <si>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</si>
  <si>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</si>
  <si>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</si>
  <si>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</si>
  <si>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</si>
  <si>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</si>
  <si>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</si>
  <si>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</si>
  <si>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</si>
  <si>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</si>
  <si>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</si>
  <si>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</si>
  <si>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</si>
  <si>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</si>
  <si>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</si>
  <si>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</si>
  <si>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</si>
  <si>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</si>
  <si>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</si>
  <si>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</si>
  <si>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</si>
  <si>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</si>
  <si>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</si>
  <si>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</si>
  <si>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</si>
  <si>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</si>
  <si>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</si>
  <si>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</si>
  <si>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</si>
  <si>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</si>
  <si>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</si>
  <si>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</si>
  <si>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</si>
  <si>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</si>
  <si>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</si>
  <si>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</si>
  <si>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</si>
  <si>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</si>
  <si>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</si>
  <si>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</si>
  <si>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</si>
  <si>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</si>
  <si>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</si>
  <si>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</si>
  <si>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</si>
  <si>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</si>
  <si>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</si>
  <si>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</si>
  <si>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</si>
  <si>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</si>
  <si>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</si>
  <si>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</si>
  <si>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</si>
  <si>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</si>
  <si>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</si>
  <si>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</si>
  <si>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</si>
  <si>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</si>
  <si>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</si>
  <si>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</si>
  <si>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</si>
  <si>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</si>
  <si>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</si>
  <si>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</si>
  <si>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</si>
  <si>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</si>
  <si>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</si>
  <si>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</si>
  <si>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</si>
  <si>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</si>
  <si>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</si>
  <si>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</si>
  <si>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</si>
  <si>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</si>
  <si>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</si>
  <si>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</si>
  <si>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</si>
  <si>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</si>
  <si>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</si>
  <si>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</si>
  <si>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</si>
  <si>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</si>
  <si>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</si>
  <si>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</si>
  <si>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</si>
  <si>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</si>
  <si>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</si>
  <si>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</si>
  <si>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</si>
  <si>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</si>
  <si>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</si>
  <si>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</si>
  <si>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</si>
  <si>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</si>
  <si>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</si>
  <si>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</si>
  <si>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</si>
  <si>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</si>
  <si>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</si>
  <si>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</si>
  <si>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</si>
  <si>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</si>
  <si>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</si>
  <si>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</si>
  <si>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</si>
  <si>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</si>
  <si>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</si>
  <si>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</si>
  <si>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</si>
  <si>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</si>
  <si>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</si>
  <si>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</si>
  <si>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</si>
  <si>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</si>
  <si>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</si>
  <si>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</si>
  <si>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</si>
  <si>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</si>
  <si>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</si>
  <si>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</si>
  <si>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</si>
  <si>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</si>
  <si>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</si>
  <si>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</si>
  <si>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</si>
  <si>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</si>
  <si>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</si>
  <si>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</si>
  <si>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</si>
  <si>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</si>
  <si>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</si>
  <si>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</si>
  <si>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</si>
  <si>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</si>
  <si>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</si>
  <si>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</si>
  <si>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</si>
  <si>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</si>
  <si>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</si>
  <si>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</si>
  <si>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</si>
  <si>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</si>
  <si>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</si>
  <si>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</si>
  <si>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</si>
  <si>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</si>
  <si>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</si>
  <si>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</si>
  <si>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</si>
  <si>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</si>
  <si>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</si>
  <si>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</si>
  <si>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</si>
  <si>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</si>
  <si>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</si>
  <si>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</si>
  <si>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</si>
  <si>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</si>
  <si>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</si>
  <si>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</si>
  <si>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</si>
  <si>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</si>
  <si>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</si>
  <si>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</si>
  <si>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</si>
  <si>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</si>
  <si>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</si>
  <si>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</si>
  <si>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</si>
  <si>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</si>
  <si>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</si>
  <si>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</si>
  <si>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</si>
  <si>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</si>
  <si>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</si>
  <si>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</si>
  <si>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</si>
  <si>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</si>
  <si>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</si>
  <si>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</si>
  <si>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</si>
  <si>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</si>
  <si>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</si>
  <si>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</si>
  <si>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</si>
  <si>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</si>
  <si>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</si>
  <si>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</si>
  <si>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</si>
  <si>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</si>
  <si>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</si>
  <si>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</si>
  <si>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</si>
  <si>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</si>
  <si>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</si>
  <si>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</si>
  <si>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</si>
  <si>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</si>
  <si>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</si>
  <si>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</si>
  <si>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</si>
  <si>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</si>
  <si>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</si>
  <si>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</si>
  <si>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</si>
  <si>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</si>
  <si>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</si>
  <si>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</si>
  <si>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</si>
  <si>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</si>
  <si>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</si>
  <si>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</si>
  <si>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</si>
  <si>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</si>
  <si>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</si>
  <si>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</si>
  <si>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</si>
  <si>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</si>
  <si>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</si>
  <si>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</si>
  <si>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</si>
  <si>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</si>
  <si>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</si>
  <si>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</si>
  <si>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</si>
  <si>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</si>
  <si>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</si>
  <si>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</si>
  <si>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</si>
  <si>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</si>
  <si>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</si>
  <si>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</si>
  <si>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</si>
  <si>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</si>
  <si>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</si>
  <si>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</si>
  <si>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</si>
  <si>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</si>
  <si>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</si>
  <si>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</si>
  <si>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</si>
  <si>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</si>
  <si>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</si>
  <si>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</si>
  <si>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</si>
  <si>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</si>
  <si>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</si>
  <si>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</si>
  <si>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</si>
  <si>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</si>
  <si>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</si>
  <si>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</si>
  <si>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</si>
  <si>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</si>
  <si>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</si>
  <si>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</si>
  <si>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</si>
  <si>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</si>
  <si>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</si>
  <si>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</si>
  <si>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</si>
  <si>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</si>
  <si>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</si>
  <si>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</si>
  <si>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</si>
  <si>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</si>
  <si>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</si>
  <si>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</si>
  <si>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</si>
  <si>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</si>
  <si>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</si>
  <si>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</si>
  <si>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</si>
  <si>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</si>
  <si>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</si>
  <si>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</si>
  <si>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</si>
  <si>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</si>
  <si>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</si>
  <si>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</si>
  <si>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</si>
  <si>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</si>
  <si>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</si>
  <si>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</si>
  <si>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</si>
  <si>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</si>
  <si>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</si>
  <si>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</si>
  <si>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</si>
  <si>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</si>
  <si>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</si>
  <si>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</si>
  <si>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</si>
  <si>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</si>
  <si>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</si>
  <si>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</si>
  <si>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</si>
  <si>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</si>
  <si>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</si>
  <si>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</si>
  <si>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</si>
  <si>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</si>
  <si>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</si>
  <si>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</si>
  <si>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</si>
  <si>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</si>
  <si>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</si>
  <si>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</si>
  <si>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</si>
  <si>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</si>
  <si>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</si>
  <si>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</si>
  <si>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</si>
  <si>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</si>
  <si>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</si>
  <si>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</si>
  <si>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</si>
  <si>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</si>
  <si>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</si>
  <si>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</si>
  <si>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</si>
  <si>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</si>
  <si>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</si>
  <si>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</si>
  <si>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</si>
  <si>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</si>
  <si>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</si>
  <si>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</si>
  <si>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</si>
  <si>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</si>
  <si>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</si>
  <si>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</si>
  <si>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</si>
  <si>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</si>
  <si>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</si>
  <si>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</si>
  <si>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</si>
  <si>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</si>
  <si>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</si>
  <si>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</si>
  <si>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</si>
  <si>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</si>
  <si>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</si>
  <si>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</si>
  <si>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</si>
  <si>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</si>
  <si>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</si>
  <si>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</si>
  <si>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</si>
  <si>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</si>
  <si>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</si>
  <si>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</si>
  <si>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</si>
  <si>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</si>
  <si>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</si>
  <si>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</si>
  <si>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</si>
  <si>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</si>
  <si>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</si>
  <si>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</si>
  <si>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</si>
  <si>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</si>
  <si>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</si>
  <si>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</si>
  <si>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</si>
  <si>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</si>
  <si>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</si>
  <si>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</si>
  <si>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</si>
  <si>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</si>
  <si>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</si>
  <si>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</si>
  <si>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</si>
  <si>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</si>
  <si>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</si>
  <si>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</si>
  <si>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</si>
  <si>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</si>
  <si>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</si>
  <si>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</si>
  <si>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</si>
  <si>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</si>
  <si>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</si>
  <si>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</si>
  <si>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</si>
  <si>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</si>
  <si>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</si>
  <si>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</si>
  <si>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</si>
  <si>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</si>
  <si>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</si>
  <si>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</si>
  <si>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</si>
  <si>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</si>
  <si>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</si>
  <si>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</si>
  <si>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</si>
  <si>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</si>
  <si>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</si>
  <si>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</si>
  <si>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</si>
  <si>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</si>
  <si>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</si>
  <si>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</si>
  <si>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</si>
  <si>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</si>
  <si>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</si>
  <si>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</si>
  <si>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</si>
  <si>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</si>
  <si>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</si>
  <si>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</si>
  <si>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</si>
  <si>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</si>
  <si>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</si>
  <si>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</si>
  <si>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</si>
  <si>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</si>
  <si>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</si>
  <si>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</si>
  <si>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</si>
  <si>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</si>
  <si>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</si>
  <si>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</si>
  <si>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</si>
  <si>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</si>
  <si>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</si>
  <si>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</si>
  <si>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</si>
  <si>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</si>
  <si>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</si>
  <si>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</si>
  <si>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</si>
  <si>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</si>
  <si>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</si>
  <si>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</si>
  <si>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</si>
  <si>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</si>
  <si>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</si>
  <si>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</si>
  <si>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</si>
  <si>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</si>
  <si>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</si>
  <si>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</si>
  <si>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</si>
  <si>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</si>
  <si>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</si>
  <si>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</si>
  <si>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</si>
  <si>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</si>
  <si>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</si>
  <si>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</si>
  <si>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</si>
  <si>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</si>
  <si>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</si>
  <si>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</si>
  <si>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</si>
  <si>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</si>
  <si>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</si>
  <si>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</si>
  <si>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</si>
  <si>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</si>
  <si>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</si>
  <si>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</si>
  <si>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</si>
  <si>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</si>
  <si>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</si>
  <si>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</si>
  <si>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</si>
  <si>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</si>
  <si>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</si>
  <si>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</si>
  <si>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</si>
  <si>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</si>
  <si>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</si>
  <si>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</si>
  <si>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</si>
  <si>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</si>
  <si>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</si>
  <si>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</si>
  <si>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</si>
  <si>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</si>
  <si>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</si>
  <si>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</si>
  <si>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</si>
  <si>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</si>
  <si>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</si>
  <si>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</si>
  <si>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</si>
  <si>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</si>
  <si>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</si>
  <si>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</si>
  <si>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</si>
  <si>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</si>
  <si>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</si>
  <si>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</si>
  <si>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</si>
  <si>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</si>
  <si>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</si>
  <si>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</si>
  <si>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</si>
  <si>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</si>
  <si>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</si>
  <si>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</si>
  <si>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</si>
  <si>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</si>
  <si>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</si>
  <si>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</si>
  <si>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</si>
  <si>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</si>
  <si>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</si>
  <si>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</si>
  <si>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</si>
  <si>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</si>
  <si>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</si>
  <si>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</si>
  <si>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</si>
  <si>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</si>
  <si>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</si>
  <si>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</si>
  <si>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</si>
  <si>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</si>
  <si>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</si>
  <si>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</si>
  <si>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</si>
  <si>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</si>
  <si>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</si>
  <si>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</si>
  <si>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</si>
  <si>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</si>
  <si>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</si>
  <si>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</si>
  <si>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</si>
  <si>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</si>
  <si>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</si>
  <si>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</si>
  <si>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</si>
  <si>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</si>
  <si>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</si>
  <si>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</si>
  <si>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</si>
  <si>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</si>
  <si>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</si>
  <si>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</si>
  <si>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</si>
  <si>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</si>
  <si>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</si>
  <si>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</si>
  <si>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</si>
  <si>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</si>
  <si>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</si>
  <si>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</si>
  <si>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</si>
  <si>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</si>
  <si>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</si>
  <si>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</si>
  <si>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</si>
  <si>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</si>
  <si>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</si>
  <si>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</si>
  <si>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</si>
  <si>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</si>
  <si>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</si>
  <si>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</si>
  <si>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</si>
  <si>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</si>
  <si>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</si>
  <si>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</si>
  <si>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</si>
  <si>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</si>
  <si>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</si>
  <si>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</si>
  <si>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</si>
  <si>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</si>
  <si>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</si>
  <si>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</si>
  <si>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</si>
  <si>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</si>
  <si>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</si>
  <si>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</si>
  <si>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</si>
  <si>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</si>
  <si>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</si>
  <si>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</si>
  <si>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</si>
  <si>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</si>
  <si>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</si>
  <si>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</si>
  <si>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</si>
  <si>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</si>
  <si>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</si>
  <si>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</si>
  <si>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</si>
  <si>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</si>
  <si>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</si>
  <si>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</si>
  <si>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</si>
  <si>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</si>
  <si>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</si>
  <si>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</si>
  <si>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</si>
  <si>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</si>
  <si>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</si>
  <si>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</si>
  <si>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</si>
  <si>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</si>
  <si>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</si>
  <si>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</si>
  <si>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</si>
  <si>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</si>
  <si>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</si>
  <si>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</si>
  <si>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</si>
  <si>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</si>
  <si>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</si>
  <si>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</si>
  <si>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</si>
  <si>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</si>
  <si>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</si>
  <si>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</si>
  <si>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</si>
  <si>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</si>
  <si>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</si>
  <si>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</si>
  <si>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</si>
  <si>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</si>
  <si>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</si>
  <si>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</si>
  <si>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</si>
  <si>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</si>
  <si>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</si>
  <si>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</si>
  <si>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</si>
  <si>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</si>
  <si>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</si>
  <si>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</si>
  <si>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</si>
  <si>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</si>
  <si>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</si>
  <si>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</si>
  <si>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</si>
  <si>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</si>
  <si>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</si>
  <si>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</si>
  <si>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</si>
  <si>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</si>
  <si>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</si>
  <si>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</si>
  <si>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</si>
  <si>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</si>
  <si>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</si>
  <si>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</si>
  <si>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</si>
  <si>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</si>
  <si>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</si>
  <si>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</si>
  <si>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</si>
  <si>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</si>
  <si>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</si>
  <si>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</si>
  <si>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</si>
  <si>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</si>
  <si>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</si>
  <si>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</si>
  <si>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</si>
  <si>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</si>
  <si>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</si>
  <si>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</si>
  <si>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</si>
  <si>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</si>
  <si>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</si>
  <si>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</si>
  <si>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</si>
  <si>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</si>
  <si>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</si>
  <si>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</si>
  <si>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</si>
  <si>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</si>
  <si>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</si>
  <si>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</si>
  <si>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</si>
  <si>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</si>
  <si>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</si>
  <si>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</si>
  <si>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</si>
  <si>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</si>
  <si>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</si>
  <si>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</si>
  <si>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</si>
  <si>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</si>
  <si>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</si>
  <si>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</si>
  <si>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</si>
  <si>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</si>
  <si>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</si>
  <si>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</si>
  <si>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</si>
  <si>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</si>
  <si>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</si>
  <si>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</si>
  <si>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</si>
  <si>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</si>
  <si>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</si>
  <si>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</si>
  <si>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</si>
  <si>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</si>
  <si>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</si>
  <si>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</si>
  <si>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</si>
  <si>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</si>
  <si>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</si>
  <si>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</si>
  <si>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</si>
  <si>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</si>
  <si>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</si>
  <si>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</si>
  <si>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</si>
  <si>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</si>
  <si>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</si>
  <si>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</si>
  <si>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</si>
  <si>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</si>
  <si>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</si>
  <si>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</si>
  <si>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</si>
  <si>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</si>
  <si>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</si>
  <si>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</si>
  <si>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</si>
  <si>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</si>
  <si>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</si>
  <si>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</si>
  <si>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</si>
  <si>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</si>
  <si>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</si>
  <si>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</si>
  <si>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</si>
  <si>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</si>
  <si>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</si>
  <si>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</si>
  <si>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</si>
  <si>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</si>
  <si>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</si>
  <si>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</si>
  <si>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</si>
  <si>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</si>
  <si>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</si>
  <si>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</si>
  <si>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</si>
  <si>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</si>
  <si>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</si>
  <si>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</si>
  <si>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</si>
  <si>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</si>
  <si>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</si>
  <si>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</si>
  <si>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</si>
  <si>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</si>
  <si>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</si>
  <si>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</si>
  <si>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</si>
  <si>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</si>
  <si>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</si>
  <si>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</si>
  <si>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</si>
  <si>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</si>
  <si>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</si>
  <si>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</si>
  <si>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</si>
  <si>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</si>
  <si>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</si>
  <si>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</si>
  <si>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</si>
  <si>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</si>
  <si>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</si>
  <si>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</si>
  <si>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</si>
  <si>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</si>
  <si>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</si>
  <si>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</si>
  <si>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</si>
  <si>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</si>
  <si>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</si>
  <si>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</si>
  <si>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</si>
  <si>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</si>
  <si>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</si>
  <si>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</si>
  <si>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</si>
  <si>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</si>
  <si>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</si>
  <si>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</si>
  <si>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</si>
  <si>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</si>
  <si>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</si>
  <si>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</si>
  <si>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</si>
  <si>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</si>
  <si>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</si>
  <si>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</si>
  <si>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</si>
  <si>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</si>
  <si>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</si>
  <si>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</si>
  <si>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</si>
  <si>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</si>
  <si>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</si>
  <si>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</si>
  <si>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</si>
  <si>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</si>
  <si>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</si>
  <si>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</si>
  <si>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</si>
  <si>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</si>
  <si>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</si>
  <si>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</si>
  <si>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</si>
  <si>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</si>
  <si>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</si>
  <si>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</si>
  <si>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</si>
  <si>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</si>
  <si>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</si>
  <si>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</si>
  <si>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</si>
  <si>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</si>
  <si>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</si>
  <si>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</si>
  <si>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</si>
  <si>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</si>
  <si>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</si>
  <si>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</si>
  <si>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</si>
  <si>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</si>
  <si>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</si>
  <si>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</si>
  <si>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</si>
  <si>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</si>
  <si>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</si>
  <si>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</si>
  <si>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</si>
  <si>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</si>
  <si>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</si>
  <si>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</si>
  <si>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</si>
  <si>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</si>
  <si>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</si>
  <si>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</si>
  <si>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</si>
  <si>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</si>
  <si>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</si>
  <si>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</si>
  <si>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</si>
  <si>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</si>
  <si>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</si>
  <si>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</si>
  <si>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</si>
  <si>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</si>
  <si>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</si>
  <si>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</si>
  <si>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</si>
  <si>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</si>
  <si>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</si>
  <si>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</si>
  <si>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</si>
  <si>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</si>
  <si>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</si>
  <si>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</si>
  <si>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</si>
  <si>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</si>
  <si>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</si>
  <si>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</si>
  <si>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</si>
  <si>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</si>
  <si>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</si>
  <si>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</si>
  <si>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</si>
  <si>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</si>
  <si>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</si>
  <si>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</si>
  <si>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</si>
  <si>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</si>
  <si>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</si>
  <si>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</si>
  <si>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</si>
  <si>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</si>
  <si>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</si>
  <si>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</si>
  <si>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</si>
  <si>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</si>
  <si>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</si>
  <si>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</si>
  <si>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</si>
  <si>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</si>
  <si>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</si>
  <si>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</si>
  <si>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</si>
  <si>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</si>
  <si>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</si>
  <si>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</si>
  <si>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</si>
  <si>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</si>
  <si>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</si>
  <si>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</si>
  <si>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</si>
  <si>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</si>
  <si>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</si>
  <si>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</si>
  <si>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</si>
  <si>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</si>
  <si>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</si>
  <si>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</si>
  <si>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</si>
  <si>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</si>
  <si>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</si>
  <si>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</si>
  <si>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</si>
  <si>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</si>
  <si>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</si>
  <si>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</si>
  <si>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</si>
  <si>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</si>
  <si>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</si>
  <si>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</si>
  <si>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</si>
  <si>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</si>
  <si>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</si>
  <si>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</si>
  <si>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</si>
  <si>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</si>
  <si>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</si>
  <si>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</si>
  <si>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</si>
  <si>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</si>
  <si>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</si>
  <si>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</si>
  <si>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</si>
  <si>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</si>
  <si>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</si>
  <si>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</si>
  <si>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</si>
  <si>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</si>
  <si>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</si>
  <si>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</si>
  <si>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</si>
  <si>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</si>
  <si>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</si>
  <si>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</si>
  <si>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</si>
  <si>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</si>
  <si>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</si>
  <si>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</si>
  <si>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</si>
  <si>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</si>
  <si>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</si>
  <si>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</si>
  <si>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</si>
  <si>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</si>
  <si>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</si>
  <si>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</si>
  <si>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</si>
  <si>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</si>
  <si>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</si>
  <si>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</si>
  <si>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</si>
  <si>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</si>
  <si>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</si>
  <si>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</si>
  <si>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</si>
  <si>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</si>
  <si>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</si>
  <si>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</si>
  <si>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</si>
  <si>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</si>
  <si>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</si>
  <si>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</si>
  <si>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</si>
  <si>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</si>
  <si>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</si>
  <si>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</si>
  <si>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</si>
  <si>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</si>
  <si>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</si>
  <si>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</si>
  <si>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</si>
  <si>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</si>
  <si>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</si>
  <si>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</si>
  <si>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</si>
  <si>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</si>
  <si>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</si>
  <si>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</si>
  <si>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</si>
  <si>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</si>
  <si>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</si>
  <si>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</si>
  <si>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</si>
  <si>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</si>
  <si>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</si>
  <si>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</si>
  <si>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</si>
  <si>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</si>
  <si>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</si>
  <si>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</si>
  <si>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</si>
  <si>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</si>
  <si>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</si>
  <si>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</si>
  <si>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</si>
  <si>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</si>
  <si>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</si>
  <si>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</si>
  <si>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</si>
  <si>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</si>
  <si>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</si>
  <si>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</si>
  <si>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</si>
  <si>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</si>
  <si>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</si>
  <si>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</si>
  <si>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</si>
  <si>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</si>
  <si>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</si>
  <si>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</si>
  <si>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</si>
  <si>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</si>
  <si>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</si>
  <si>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</si>
  <si>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</si>
  <si>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自然人</t>
  </si>
  <si>
    <t>办公项目</t>
  </si>
  <si>
    <t>无</t>
  </si>
  <si>
    <t>否</t>
  </si>
  <si>
    <t>现房</t>
  </si>
  <si>
    <t>是</t>
  </si>
  <si>
    <t>地上</t>
  </si>
  <si>
    <t>办公楼</t>
  </si>
  <si>
    <t>办公</t>
    <phoneticPr fontId="7" type="noConversion"/>
  </si>
  <si>
    <t>成新度</t>
  </si>
  <si>
    <t>收益法 (元)</t>
  </si>
  <si>
    <t>后沙峪镇</t>
    <phoneticPr fontId="3" type="noConversion"/>
  </si>
  <si>
    <t>押一</t>
  </si>
  <si>
    <t>钢混</t>
  </si>
  <si>
    <t>非生产用房</t>
  </si>
  <si>
    <t>楼面单价</t>
  </si>
  <si>
    <t>收益比率</t>
  </si>
  <si>
    <t>售价</t>
  </si>
  <si>
    <t>售价</t>
    <phoneticPr fontId="3" type="noConversion"/>
  </si>
  <si>
    <t>租金</t>
  </si>
  <si>
    <t>租金</t>
    <phoneticPr fontId="3" type="noConversion"/>
  </si>
  <si>
    <t>租售比</t>
    <phoneticPr fontId="3" type="noConversion"/>
  </si>
  <si>
    <t>单套模式</t>
  </si>
  <si>
    <t>绿地自由港</t>
    <phoneticPr fontId="3" type="noConversion"/>
  </si>
  <si>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</si>
  <si>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</si>
  <si>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</si>
  <si>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</si>
  <si>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</si>
  <si>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</si>
  <si>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</si>
  <si>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报价</t>
  </si>
  <si>
    <t>报价</t>
    <phoneticPr fontId="31" type="noConversion"/>
  </si>
  <si>
    <t>高区</t>
  </si>
  <si>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</si>
  <si>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</si>
  <si>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</si>
  <si>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</si>
  <si>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</si>
  <si>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</si>
  <si>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</si>
  <si>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</si>
  <si>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</si>
  <si>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</si>
  <si>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</si>
  <si>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</si>
  <si>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</si>
  <si>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</si>
  <si>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</si>
  <si>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</si>
  <si>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</si>
  <si>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</si>
  <si>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</si>
  <si>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</si>
  <si>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</si>
  <si>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标准层高</t>
  </si>
  <si>
    <t>标准层高</t>
    <phoneticPr fontId="31" type="noConversion"/>
  </si>
  <si>
    <t>一般</t>
  </si>
  <si>
    <t>较好</t>
  </si>
  <si>
    <t>商务金融用地</t>
  </si>
  <si>
    <t>自定义容积率</t>
  </si>
  <si>
    <t>不临65条商业街</t>
  </si>
  <si>
    <t>与级别开发程度不一致</t>
  </si>
  <si>
    <t>通路</t>
  </si>
  <si>
    <t>通电</t>
  </si>
  <si>
    <t>通讯</t>
  </si>
  <si>
    <t>通上水</t>
  </si>
  <si>
    <t>通下水</t>
  </si>
  <si>
    <t>通热</t>
  </si>
  <si>
    <t>平整</t>
  </si>
  <si>
    <t>中心城区以外</t>
  </si>
  <si>
    <t>较差</t>
  </si>
  <si>
    <t>未包含在土地购买价格中</t>
  </si>
  <si>
    <t>已包含在土地取得成本中</t>
  </si>
  <si>
    <t>情况4</t>
  </si>
  <si>
    <t>转让取得</t>
  </si>
  <si>
    <t>个人其他（无凭证）</t>
  </si>
  <si>
    <t>购房发票</t>
  </si>
  <si>
    <t>绿地自由港</t>
    <phoneticPr fontId="3" type="noConversion"/>
  </si>
  <si>
    <t>万科天竺中心</t>
    <phoneticPr fontId="3" type="noConversion"/>
  </si>
  <si>
    <t>北京东航中心</t>
    <phoneticPr fontId="3" type="noConversion"/>
  </si>
  <si>
    <t>好</t>
  </si>
  <si>
    <r>
      <rPr>
        <sz val="10"/>
        <color theme="9" tint="-0.249977111117893"/>
        <rFont val="宋体"/>
        <family val="3"/>
        <charset val="134"/>
      </rPr>
      <t>顺义区金航西路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314</t>
    </r>
    <r>
      <rPr>
        <sz val="10"/>
        <color theme="9" tint="-0.249977111117893"/>
        <rFont val="宋体"/>
        <family val="3"/>
        <charset val="134"/>
      </rPr>
      <t>办公用房</t>
    </r>
    <phoneticPr fontId="6" type="noConversion"/>
  </si>
  <si>
    <r>
      <rPr>
        <sz val="10"/>
        <color indexed="8"/>
        <rFont val="宋体"/>
        <family val="3"/>
        <charset val="134"/>
      </rPr>
      <t>年租金</t>
    </r>
    <r>
      <rPr>
        <sz val="10"/>
        <color indexed="8"/>
        <rFont val="Arial"/>
        <family val="2"/>
      </rPr>
      <t>28</t>
    </r>
    <r>
      <rPr>
        <sz val="10"/>
        <color indexed="8"/>
        <rFont val="宋体"/>
        <family val="3"/>
        <charset val="134"/>
      </rPr>
      <t>万</t>
    </r>
    <phoneticPr fontId="3" type="noConversion"/>
  </si>
  <si>
    <t>比较法-办公</t>
  </si>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</sst>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0" applyFont="1">
      <alignment vertical="center"/>
    </xf>
    <xf numFmtId="0" fontId="128" fillId="12"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9" fillId="18" borderId="1"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332305</xdr:colOff>
      <xdr:row>32</xdr:row>
      <xdr:rowOff>132669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561905" cy="5447619"/>
        </a:xfrm>
        <a:prstGeom prst="rect">
          <a:avLst/>
        </a:prstGeom>
      </xdr:spPr>
    </xdr:pic>
    <xdr:clientData/>
  </xdr:twoCellAnchor>
  <xdr:twoCellAnchor editAs="oneCell">
    <xdr:from>
      <xdr:col>0</xdr:col>
      <xdr:colOff>0</xdr:colOff>
      <xdr:row>34</xdr:row>
      <xdr:rowOff>0</xdr:rowOff>
    </xdr:from>
    <xdr:to>
      <xdr:col>14</xdr:col>
      <xdr:colOff>379753</xdr:colOff>
      <xdr:row>64</xdr:row>
      <xdr:rowOff>85072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9980953" cy="52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674820</xdr:colOff>
      <xdr:row>31</xdr:row>
      <xdr:rowOff>85072</xdr:rowOff>
    </xdr:to>
    <xdr:pic>
      <xdr:nvPicPr>
        <xdr:cNvPr id="16" name="图片 15"/>
        <xdr:cNvPicPr>
          <a:picLocks noChangeAspect="1"/>
        </xdr:cNvPicPr>
      </xdr:nvPicPr>
      <xdr:blipFill>
        <a:blip xmlns:r="http://schemas.openxmlformats.org/officeDocument/2006/relationships" r:embed="rId1"/>
        <a:stretch>
          <a:fillRect/>
        </a:stretch>
      </xdr:blipFill>
      <xdr:spPr>
        <a:xfrm>
          <a:off x="0" y="171450"/>
          <a:ext cx="11647620" cy="5228572"/>
        </a:xfrm>
        <a:prstGeom prst="rect">
          <a:avLst/>
        </a:prstGeom>
      </xdr:spPr>
    </xdr:pic>
    <xdr:clientData/>
  </xdr:twoCellAnchor>
  <xdr:twoCellAnchor editAs="oneCell">
    <xdr:from>
      <xdr:col>0</xdr:col>
      <xdr:colOff>0</xdr:colOff>
      <xdr:row>32</xdr:row>
      <xdr:rowOff>0</xdr:rowOff>
    </xdr:from>
    <xdr:to>
      <xdr:col>16</xdr:col>
      <xdr:colOff>446248</xdr:colOff>
      <xdr:row>62</xdr:row>
      <xdr:rowOff>94596</xdr:rowOff>
    </xdr:to>
    <xdr:pic>
      <xdr:nvPicPr>
        <xdr:cNvPr id="17" name="图片 16"/>
        <xdr:cNvPicPr>
          <a:picLocks noChangeAspect="1"/>
        </xdr:cNvPicPr>
      </xdr:nvPicPr>
      <xdr:blipFill>
        <a:blip xmlns:r="http://schemas.openxmlformats.org/officeDocument/2006/relationships" r:embed="rId2"/>
        <a:stretch>
          <a:fillRect/>
        </a:stretch>
      </xdr:blipFill>
      <xdr:spPr>
        <a:xfrm>
          <a:off x="0" y="5486400"/>
          <a:ext cx="11419048" cy="5238096"/>
        </a:xfrm>
        <a:prstGeom prst="rect">
          <a:avLst/>
        </a:prstGeom>
      </xdr:spPr>
    </xdr:pic>
    <xdr:clientData/>
  </xdr:twoCellAnchor>
  <xdr:twoCellAnchor editAs="oneCell">
    <xdr:from>
      <xdr:col>0</xdr:col>
      <xdr:colOff>0</xdr:colOff>
      <xdr:row>63</xdr:row>
      <xdr:rowOff>0</xdr:rowOff>
    </xdr:from>
    <xdr:to>
      <xdr:col>16</xdr:col>
      <xdr:colOff>227201</xdr:colOff>
      <xdr:row>93</xdr:row>
      <xdr:rowOff>56500</xdr:rowOff>
    </xdr:to>
    <xdr:pic>
      <xdr:nvPicPr>
        <xdr:cNvPr id="18" name="图片 17"/>
        <xdr:cNvPicPr>
          <a:picLocks noChangeAspect="1"/>
        </xdr:cNvPicPr>
      </xdr:nvPicPr>
      <xdr:blipFill>
        <a:blip xmlns:r="http://schemas.openxmlformats.org/officeDocument/2006/relationships" r:embed="rId3"/>
        <a:stretch>
          <a:fillRect/>
        </a:stretch>
      </xdr:blipFill>
      <xdr:spPr>
        <a:xfrm>
          <a:off x="0" y="10801350"/>
          <a:ext cx="11200001" cy="5200000"/>
        </a:xfrm>
        <a:prstGeom prst="rect">
          <a:avLst/>
        </a:prstGeom>
      </xdr:spPr>
    </xdr:pic>
    <xdr:clientData/>
  </xdr:twoCellAnchor>
  <xdr:twoCellAnchor editAs="oneCell">
    <xdr:from>
      <xdr:col>0</xdr:col>
      <xdr:colOff>0</xdr:colOff>
      <xdr:row>94</xdr:row>
      <xdr:rowOff>0</xdr:rowOff>
    </xdr:from>
    <xdr:to>
      <xdr:col>16</xdr:col>
      <xdr:colOff>293867</xdr:colOff>
      <xdr:row>124</xdr:row>
      <xdr:rowOff>27929</xdr:rowOff>
    </xdr:to>
    <xdr:pic>
      <xdr:nvPicPr>
        <xdr:cNvPr id="19" name="图片 18"/>
        <xdr:cNvPicPr>
          <a:picLocks noChangeAspect="1"/>
        </xdr:cNvPicPr>
      </xdr:nvPicPr>
      <xdr:blipFill>
        <a:blip xmlns:r="http://schemas.openxmlformats.org/officeDocument/2006/relationships" r:embed="rId4"/>
        <a:stretch>
          <a:fillRect/>
        </a:stretch>
      </xdr:blipFill>
      <xdr:spPr>
        <a:xfrm>
          <a:off x="0" y="16116300"/>
          <a:ext cx="11266667" cy="5171429"/>
        </a:xfrm>
        <a:prstGeom prst="rect">
          <a:avLst/>
        </a:prstGeom>
      </xdr:spPr>
    </xdr:pic>
    <xdr:clientData/>
  </xdr:twoCellAnchor>
  <xdr:twoCellAnchor editAs="oneCell">
    <xdr:from>
      <xdr:col>0</xdr:col>
      <xdr:colOff>0</xdr:colOff>
      <xdr:row>125</xdr:row>
      <xdr:rowOff>0</xdr:rowOff>
    </xdr:from>
    <xdr:to>
      <xdr:col>11</xdr:col>
      <xdr:colOff>465724</xdr:colOff>
      <xdr:row>153</xdr:row>
      <xdr:rowOff>27972</xdr:rowOff>
    </xdr:to>
    <xdr:pic>
      <xdr:nvPicPr>
        <xdr:cNvPr id="20" name="图片 19"/>
        <xdr:cNvPicPr>
          <a:picLocks noChangeAspect="1"/>
        </xdr:cNvPicPr>
      </xdr:nvPicPr>
      <xdr:blipFill>
        <a:blip xmlns:r="http://schemas.openxmlformats.org/officeDocument/2006/relationships" r:embed="rId5"/>
        <a:stretch>
          <a:fillRect/>
        </a:stretch>
      </xdr:blipFill>
      <xdr:spPr>
        <a:xfrm>
          <a:off x="0" y="21431250"/>
          <a:ext cx="8009524" cy="4828572"/>
        </a:xfrm>
        <a:prstGeom prst="rect">
          <a:avLst/>
        </a:prstGeom>
      </xdr:spPr>
    </xdr:pic>
    <xdr:clientData/>
  </xdr:twoCellAnchor>
  <xdr:twoCellAnchor editAs="oneCell">
    <xdr:from>
      <xdr:col>0</xdr:col>
      <xdr:colOff>0</xdr:colOff>
      <xdr:row>156</xdr:row>
      <xdr:rowOff>0</xdr:rowOff>
    </xdr:from>
    <xdr:to>
      <xdr:col>8</xdr:col>
      <xdr:colOff>151696</xdr:colOff>
      <xdr:row>188</xdr:row>
      <xdr:rowOff>151696</xdr:rowOff>
    </xdr:to>
    <xdr:pic>
      <xdr:nvPicPr>
        <xdr:cNvPr id="21" name="图片 20"/>
        <xdr:cNvPicPr>
          <a:picLocks noChangeAspect="1"/>
        </xdr:cNvPicPr>
      </xdr:nvPicPr>
      <xdr:blipFill>
        <a:blip xmlns:r="http://schemas.openxmlformats.org/officeDocument/2006/relationships" r:embed="rId6"/>
        <a:stretch>
          <a:fillRect/>
        </a:stretch>
      </xdr:blipFill>
      <xdr:spPr>
        <a:xfrm>
          <a:off x="0" y="26746200"/>
          <a:ext cx="5638096" cy="5638096"/>
        </a:xfrm>
        <a:prstGeom prst="rect">
          <a:avLst/>
        </a:prstGeom>
      </xdr:spPr>
    </xdr:pic>
    <xdr:clientData/>
  </xdr:twoCellAnchor>
  <xdr:twoCellAnchor editAs="oneCell">
    <xdr:from>
      <xdr:col>8</xdr:col>
      <xdr:colOff>238125</xdr:colOff>
      <xdr:row>155</xdr:row>
      <xdr:rowOff>123825</xdr:rowOff>
    </xdr:from>
    <xdr:to>
      <xdr:col>16</xdr:col>
      <xdr:colOff>646963</xdr:colOff>
      <xdr:row>188</xdr:row>
      <xdr:rowOff>113594</xdr:rowOff>
    </xdr:to>
    <xdr:pic>
      <xdr:nvPicPr>
        <xdr:cNvPr id="22" name="图片 21"/>
        <xdr:cNvPicPr>
          <a:picLocks noChangeAspect="1"/>
        </xdr:cNvPicPr>
      </xdr:nvPicPr>
      <xdr:blipFill>
        <a:blip xmlns:r="http://schemas.openxmlformats.org/officeDocument/2006/relationships" r:embed="rId7"/>
        <a:stretch>
          <a:fillRect/>
        </a:stretch>
      </xdr:blipFill>
      <xdr:spPr>
        <a:xfrm>
          <a:off x="5724525" y="26698575"/>
          <a:ext cx="5895238" cy="5647619"/>
        </a:xfrm>
        <a:prstGeom prst="rect">
          <a:avLst/>
        </a:prstGeom>
      </xdr:spPr>
    </xdr:pic>
    <xdr:clientData/>
  </xdr:twoCellAnchor>
  <xdr:twoCellAnchor editAs="oneCell">
    <xdr:from>
      <xdr:col>0</xdr:col>
      <xdr:colOff>0</xdr:colOff>
      <xdr:row>189</xdr:row>
      <xdr:rowOff>133350</xdr:rowOff>
    </xdr:from>
    <xdr:to>
      <xdr:col>8</xdr:col>
      <xdr:colOff>513600</xdr:colOff>
      <xdr:row>224</xdr:row>
      <xdr:rowOff>104029</xdr:rowOff>
    </xdr:to>
    <xdr:pic>
      <xdr:nvPicPr>
        <xdr:cNvPr id="23" name="图片 22"/>
        <xdr:cNvPicPr>
          <a:picLocks noChangeAspect="1"/>
        </xdr:cNvPicPr>
      </xdr:nvPicPr>
      <xdr:blipFill>
        <a:blip xmlns:r="http://schemas.openxmlformats.org/officeDocument/2006/relationships" r:embed="rId8"/>
        <a:stretch>
          <a:fillRect/>
        </a:stretch>
      </xdr:blipFill>
      <xdr:spPr>
        <a:xfrm>
          <a:off x="0" y="32537400"/>
          <a:ext cx="6000000" cy="5971429"/>
        </a:xfrm>
        <a:prstGeom prst="rect">
          <a:avLst/>
        </a:prstGeom>
      </xdr:spPr>
    </xdr:pic>
    <xdr:clientData/>
  </xdr:twoCellAnchor>
  <xdr:twoCellAnchor editAs="oneCell">
    <xdr:from>
      <xdr:col>9</xdr:col>
      <xdr:colOff>0</xdr:colOff>
      <xdr:row>190</xdr:row>
      <xdr:rowOff>0</xdr:rowOff>
    </xdr:from>
    <xdr:to>
      <xdr:col>17</xdr:col>
      <xdr:colOff>199315</xdr:colOff>
      <xdr:row>222</xdr:row>
      <xdr:rowOff>170743</xdr:rowOff>
    </xdr:to>
    <xdr:pic>
      <xdr:nvPicPr>
        <xdr:cNvPr id="24" name="图片 23"/>
        <xdr:cNvPicPr>
          <a:picLocks noChangeAspect="1"/>
        </xdr:cNvPicPr>
      </xdr:nvPicPr>
      <xdr:blipFill>
        <a:blip xmlns:r="http://schemas.openxmlformats.org/officeDocument/2006/relationships" r:embed="rId9"/>
        <a:stretch>
          <a:fillRect/>
        </a:stretch>
      </xdr:blipFill>
      <xdr:spPr>
        <a:xfrm>
          <a:off x="6172200" y="32575500"/>
          <a:ext cx="5685715" cy="5657143"/>
        </a:xfrm>
        <a:prstGeom prst="rect">
          <a:avLst/>
        </a:prstGeom>
      </xdr:spPr>
    </xdr:pic>
    <xdr:clientData/>
  </xdr:twoCellAnchor>
  <xdr:twoCellAnchor editAs="oneCell">
    <xdr:from>
      <xdr:col>0</xdr:col>
      <xdr:colOff>0</xdr:colOff>
      <xdr:row>226</xdr:row>
      <xdr:rowOff>0</xdr:rowOff>
    </xdr:from>
    <xdr:to>
      <xdr:col>16</xdr:col>
      <xdr:colOff>503391</xdr:colOff>
      <xdr:row>254</xdr:row>
      <xdr:rowOff>142257</xdr:rowOff>
    </xdr:to>
    <xdr:pic>
      <xdr:nvPicPr>
        <xdr:cNvPr id="25" name="图片 24"/>
        <xdr:cNvPicPr>
          <a:picLocks noChangeAspect="1"/>
        </xdr:cNvPicPr>
      </xdr:nvPicPr>
      <xdr:blipFill>
        <a:blip xmlns:r="http://schemas.openxmlformats.org/officeDocument/2006/relationships" r:embed="rId10"/>
        <a:stretch>
          <a:fillRect/>
        </a:stretch>
      </xdr:blipFill>
      <xdr:spPr>
        <a:xfrm>
          <a:off x="0" y="38747700"/>
          <a:ext cx="11476191"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北京市顺义区金航西路4号院1号楼3层314办公用房房地产抵押价值预评估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受贵公司委托，我公司对北京市顺义区金航西路4号院1号楼3层314办公用房房地产抵押价值进行了预评估。</v>
      </c>
    </row>
    <row r="7" spans="1:2" s="1203" customFormat="1">
      <c r="A7" s="1201" t="s">
        <v>566</v>
      </c>
      <c r="B7" s="1202" t="str">
        <f>'预评函-1'!A7</f>
        <v>估价对象为北京市顺义区金航西路4号院1号楼3层314办公用房房地产，为所有。根据《国有土地使用证》[]，估价对象（分摊）出让国有建设用地使用权面积为0平方米，建筑面积为154.24平方米。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金航西路4号院1号楼3层314办公用房房地产,属开发建设的办公项目，该项目尚在开发建设中。根据《国有土地使用证》[]，估价对象（分摊）出让国有建设用地使用权面积为0平方米，规划建筑面积为154.24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金航西路4号院1号楼3层314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2025年4月22日（评估专业人员实地查勘之日）</v>
      </c>
    </row>
    <row r="13" spans="1:2" s="1203" customFormat="1">
      <c r="A13" s="1201" t="s">
        <v>529</v>
      </c>
      <c r="B13" s="1202"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238</v>
      </c>
    </row>
    <row r="21" spans="1:2" s="1203" customFormat="1">
      <c r="A21" s="1201" t="s">
        <v>537</v>
      </c>
      <c r="B21" s="1202">
        <f ca="1">'预评函-2'!D7</f>
        <v>15443</v>
      </c>
    </row>
    <row r="22" spans="1:2" s="1203" customFormat="1">
      <c r="A22" s="1201" t="s">
        <v>538</v>
      </c>
      <c r="B22" s="1202" t="str">
        <f ca="1">'预评函-2'!D6</f>
        <v>贰佰叁拾捌万元整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238</v>
      </c>
    </row>
    <row r="31" spans="1:2" s="1203" customFormat="1">
      <c r="A31" s="1201" t="s">
        <v>576</v>
      </c>
      <c r="B31" s="1202">
        <f ca="1">'预评函-2'!D15</f>
        <v>15443</v>
      </c>
    </row>
    <row r="32" spans="1:2" s="1203" customFormat="1">
      <c r="A32" s="1201" t="s">
        <v>543</v>
      </c>
      <c r="B32" s="1202" t="str">
        <f ca="1">'预评函-2'!D14</f>
        <v>贰佰叁拾捌万元整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北京市顺义区金航西路4号院1号楼3层314办公用房房地产</v>
      </c>
    </row>
    <row r="42" spans="1:2" s="1203" customFormat="1">
      <c r="A42" s="1201" t="s">
        <v>590</v>
      </c>
      <c r="B42" s="1202" t="str">
        <f>'预评函-3'!B2</f>
        <v>建筑面积</v>
      </c>
    </row>
    <row r="43" spans="1:2" s="1203" customFormat="1">
      <c r="A43" s="1201" t="s">
        <v>591</v>
      </c>
      <c r="B43" s="1202">
        <f>'预评函-3'!B4</f>
        <v>154.24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129</v>
      </c>
    </row>
    <row r="48" spans="1:2" s="1203" customFormat="1">
      <c r="A48" s="1201" t="s">
        <v>549</v>
      </c>
      <c r="B48" s="1202">
        <f ca="1">'预评函-3'!E4</f>
        <v>8339</v>
      </c>
    </row>
    <row r="49" spans="1:2" s="1203" customFormat="1">
      <c r="A49" s="1201" t="s">
        <v>550</v>
      </c>
      <c r="B49" s="1202" t="str">
        <f ca="1">'预评函-3'!D5</f>
        <v>壹佰贰拾玖万元整</v>
      </c>
    </row>
    <row r="50" spans="1:2" s="1203" customFormat="1">
      <c r="A50" s="1201" t="s">
        <v>574</v>
      </c>
      <c r="B50" s="1202" t="str">
        <f>'预评函-3'!F2</f>
        <v>在建建筑物价值</v>
      </c>
    </row>
    <row r="51" spans="1:2" s="1203" customFormat="1">
      <c r="A51" s="1201" t="s">
        <v>551</v>
      </c>
      <c r="B51" s="1202">
        <f ca="1">'预评函-3'!F4</f>
        <v>110</v>
      </c>
    </row>
    <row r="52" spans="1:2" s="1203" customFormat="1">
      <c r="A52" s="1201" t="s">
        <v>552</v>
      </c>
      <c r="B52" s="1202">
        <f ca="1">'预评函-3'!G4</f>
        <v>7104</v>
      </c>
    </row>
    <row r="53" spans="1:2" s="1203" customFormat="1">
      <c r="A53" s="1201" t="s">
        <v>580</v>
      </c>
      <c r="B53" s="1202" t="str">
        <f ca="1">'预评函-3'!F5</f>
        <v>壹佰壹拾万元整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航西路4号院1号楼3层314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45769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1.66</v>
      </c>
      <c r="D5" s="3025">
        <f>IF(ISERROR(ROUND(POWER(1+E5,A5-C5)*(POWER(1+E5,C5)-1)/(POWER(1+E5,A5)-1),3)),0,ROUND(POWER(1+E5,A5-C5)*(POWER(1+E5,C5)-1)/(POWER(1+E5,A5)-1),4))</f>
        <v>7.9600000000000004E-2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11.66</v>
      </c>
      <c r="D6" s="3025">
        <f>IF(ISERROR(ROUND(POWER(1+E6,A6-C6)*(POWER(1+E6,C6)-1)/(POWER(1+E6,A6)-1),3)),0,ROUND(POWER(1+E6,A6-C6)*(POWER(1+E6,C6)-1)/(POWER(1+E6,A6)-1),4))</f>
        <v>0.42709999999999998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31.68</v>
      </c>
      <c r="D7" s="3025">
        <f>IF(ISERROR(ROUND(POWER(1+E7,A7-C7)*(POWER(1+E7,C7)-1)/(POWER(1+E7,A7)-1),3)),0,ROUND(POWER(1+E7,A7-C7)*(POWER(1+E7,C7)-1)/(POWER(1+E7,A7)-1),4))</f>
        <v>0.76019999999999999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6" t="str">
        <f>IF(B10="北京市","北京市",C10)&amp;F10&amp;IF(结果表!G1="在建","出让国有建设用地使用权及在建建筑物",IF(结果表!G1="土地","出让国有建设用地使用权",))&amp;B9&amp;"预评估"</f>
        <v>北京市顺义区金航西路4号院1号楼3层314办公用房房地产抵押价值预评估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北京市顺义区金航西路4号院1号楼3层314办公用房房地产抵押价值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北京市顺义区金航西路4号院1号楼3层314办公用房房地产</v>
      </c>
      <c r="T2" s="1745"/>
      <c r="U2" s="1745"/>
      <c r="V2" s="1745"/>
      <c r="W2" s="1745"/>
      <c r="X2" s="1745"/>
      <c r="Y2" s="1745"/>
      <c r="Z2" s="1745"/>
      <c r="AA2" s="1745"/>
      <c r="AB2" s="1745"/>
    </row>
    <row r="3" spans="1:30">
      <c r="A3" s="302" t="s">
        <v>2170</v>
      </c>
      <c r="B3" s="2373">
        <v>45769</v>
      </c>
      <c r="C3" s="2374" t="s">
        <v>2171</v>
      </c>
      <c r="D3" s="2373">
        <f>B3</f>
        <v>45769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3411</v>
      </c>
      <c r="C4" s="2376">
        <f ca="1">SUMIF(注册房地产估价师,B4,估价师及机构信息!B3:B24)</f>
        <v>1419970001</v>
      </c>
      <c r="D4" s="2375" t="s">
        <v>3412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3413</v>
      </c>
      <c r="C8" s="2390"/>
      <c r="D8" s="3529" t="s">
        <v>2177</v>
      </c>
      <c r="E8" s="2391" t="s">
        <v>3414</v>
      </c>
      <c r="F8" s="2392"/>
      <c r="G8" s="2663"/>
      <c r="H8" s="2663"/>
      <c r="I8" s="2663"/>
      <c r="J8" s="2439"/>
      <c r="K8" s="2614"/>
      <c r="L8" s="2613"/>
      <c r="M8" s="2613"/>
      <c r="N8" s="2439"/>
      <c r="O8" s="2450"/>
      <c r="P8" s="2439"/>
      <c r="Q8" s="2439"/>
      <c r="R8" s="2439"/>
    </row>
    <row r="9" spans="1:30" ht="13.5" thickBot="1">
      <c r="A9" s="2393" t="s">
        <v>2178</v>
      </c>
      <c r="B9" s="2394" t="s">
        <v>3414</v>
      </c>
      <c r="C9" s="2395"/>
      <c r="D9" s="3530"/>
      <c r="E9" s="2394"/>
      <c r="F9" s="2396"/>
      <c r="G9" s="2665"/>
      <c r="H9" s="2665"/>
      <c r="I9" s="2665"/>
      <c r="J9" s="2439"/>
      <c r="K9" s="2616"/>
      <c r="L9" s="2613"/>
      <c r="M9" s="2613"/>
      <c r="N9" s="2439"/>
      <c r="O9" s="2450"/>
      <c r="P9" s="2439"/>
      <c r="Q9" s="2439"/>
      <c r="R9" s="2439"/>
    </row>
    <row r="10" spans="1:30" ht="13.5" thickTop="1">
      <c r="A10" s="2397" t="s">
        <v>2179</v>
      </c>
      <c r="B10" s="2398" t="s">
        <v>3415</v>
      </c>
      <c r="C10" s="2399"/>
      <c r="D10" s="2382"/>
      <c r="E10" s="2400" t="s">
        <v>2180</v>
      </c>
      <c r="F10" s="2666" t="s">
        <v>3498</v>
      </c>
      <c r="G10" s="2667"/>
      <c r="H10" s="2668"/>
      <c r="I10" s="2669"/>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3331</v>
      </c>
      <c r="B13" s="2407" t="s">
        <v>2190</v>
      </c>
      <c r="C13" s="856"/>
      <c r="D13" s="856"/>
      <c r="E13" s="856">
        <v>59781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38.380000000000003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6"/>
      <c r="C16" s="3537"/>
      <c r="D16" s="3538"/>
      <c r="E16" s="2413" t="s">
        <v>2194</v>
      </c>
      <c r="F16" s="3539"/>
      <c r="G16" s="3540"/>
      <c r="H16" s="3540"/>
      <c r="I16" s="3541"/>
      <c r="J16" s="2439"/>
      <c r="K16" s="2617"/>
      <c r="L16" s="2451"/>
      <c r="M16" s="2451"/>
      <c r="N16" s="2509"/>
      <c r="O16" s="2451"/>
      <c r="P16" s="2509"/>
      <c r="Q16" s="2439"/>
      <c r="R16" s="2439"/>
    </row>
    <row r="17" spans="1:28">
      <c r="A17" s="313" t="s">
        <v>2195</v>
      </c>
      <c r="B17" s="302" t="s">
        <v>2196</v>
      </c>
      <c r="C17" s="8">
        <f>'数据-汇总表'!E3</f>
        <v>154.24</v>
      </c>
      <c r="D17" s="2322" t="s">
        <v>2197</v>
      </c>
      <c r="E17" s="3542" t="s">
        <v>2198</v>
      </c>
      <c r="F17" s="3543"/>
      <c r="G17" s="3543"/>
      <c r="H17" s="3543"/>
      <c r="I17" s="354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5" t="s">
        <v>2202</v>
      </c>
      <c r="F18" s="3546"/>
      <c r="G18" s="3546"/>
      <c r="H18" s="3546"/>
      <c r="I18" s="354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2" t="s">
        <v>2206</v>
      </c>
      <c r="C20" s="3533"/>
      <c r="D20" s="3534" t="s">
        <v>2207</v>
      </c>
      <c r="E20" s="3535"/>
      <c r="F20" s="2647" t="s">
        <v>1056</v>
      </c>
      <c r="G20" s="2664"/>
      <c r="H20" s="2664"/>
      <c r="I20" s="2664"/>
      <c r="J20" s="2439"/>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9" t="s">
        <v>2214</v>
      </c>
      <c r="B27" s="320" t="s">
        <v>2215</v>
      </c>
      <c r="C27" s="2416" t="s">
        <v>3417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2216</v>
      </c>
      <c r="C28" s="2418" t="s">
        <v>3418</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2217</v>
      </c>
      <c r="C29" s="2420" t="s">
        <v>3419</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2218</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2219</v>
      </c>
      <c r="B31" s="2422" t="s">
        <v>3420</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8" t="s">
        <v>2228</v>
      </c>
      <c r="T34" s="2428" t="str">
        <f>NUMBERSTRING(7-K34,1)&amp;"通"</f>
        <v>七通</v>
      </c>
      <c r="U34" s="2439"/>
      <c r="V34" s="2439"/>
    </row>
    <row r="35" spans="1:30">
      <c r="A35" s="2429"/>
      <c r="B35" s="3555" t="s">
        <v>2229</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264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8" sqref="I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154.24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154.24</v>
      </c>
      <c r="H5" s="13">
        <f t="shared" ref="H5:AT5" si="0">SUM(H13:H656)</f>
        <v>154.24</v>
      </c>
      <c r="I5" s="13">
        <f t="shared" si="0"/>
        <v>154.24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154.24</v>
      </c>
      <c r="BA5" s="15">
        <f t="shared" si="1"/>
        <v>154.24</v>
      </c>
      <c r="BB5" s="15">
        <f t="shared" si="1"/>
        <v>154.24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3421</v>
      </c>
      <c r="E13" s="13">
        <f>IF($C$3="是",ROUND($A$3*G13/$B$3,2),ROUND($A$3*(G13-AT13)/$B$3,2))</f>
        <v>0</v>
      </c>
      <c r="F13" s="29"/>
      <c r="G13" s="30">
        <f>H13+AC13+AT13</f>
        <v>154.24</v>
      </c>
      <c r="H13" s="17">
        <f>SUMIF(I$12:AB$12,"总值",I13:AB13)</f>
        <v>154.24</v>
      </c>
      <c r="I13" s="1626">
        <v>154.24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154.24</v>
      </c>
      <c r="BA13" s="13">
        <f>SUM(BB13:BK13)</f>
        <v>154.24</v>
      </c>
      <c r="BB13" s="13">
        <f>IF($D13="是",I13-J13,0)</f>
        <v>154.24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1" sqref="M1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9"/>
      <c r="G2" s="2650"/>
      <c r="H2" s="2651"/>
      <c r="I2" s="2325" t="s">
        <v>1132</v>
      </c>
      <c r="J2" s="2659"/>
      <c r="K2" s="2659"/>
      <c r="L2" s="2659"/>
      <c r="M2" s="2659"/>
      <c r="N2" s="2661"/>
      <c r="O2" s="2659"/>
      <c r="P2" s="2659"/>
    </row>
    <row r="3" spans="1:16" ht="15.75" thickBot="1">
      <c r="A3" s="3566" t="s">
        <v>1105</v>
      </c>
      <c r="B3" s="3566"/>
      <c r="C3" s="3566"/>
      <c r="D3" s="43">
        <f>'数据-基础表'!AY6</f>
        <v>0</v>
      </c>
      <c r="E3" s="43">
        <f>'数据-基础表'!AZ5</f>
        <v>154.24</v>
      </c>
      <c r="F3" s="2659"/>
      <c r="G3" s="1145"/>
      <c r="H3" s="1026" t="s">
        <v>1106</v>
      </c>
      <c r="I3" s="855" t="e">
        <f>ROUND('数据-基础表'!B3/'数据-基础表'!A3,2)</f>
        <v>#DIV/0!</v>
      </c>
      <c r="J3" s="2659"/>
      <c r="K3" s="2659"/>
      <c r="L3" s="2659"/>
      <c r="M3" s="2659"/>
      <c r="N3" s="2661"/>
      <c r="O3" s="2659"/>
      <c r="P3" s="2659"/>
    </row>
    <row r="4" spans="1:16" ht="15">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0" t="s">
        <v>1110</v>
      </c>
      <c r="C5" s="357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154.24</v>
      </c>
      <c r="F6" s="2659"/>
      <c r="G6" s="2653" t="s">
        <v>1112</v>
      </c>
      <c r="H6" s="1146" t="s">
        <v>1113</v>
      </c>
      <c r="I6" s="2654" t="e">
        <f>ROUND(F31/D31,2)</f>
        <v>#DIV/0!</v>
      </c>
      <c r="J6" s="2659"/>
      <c r="K6" s="2659"/>
      <c r="L6" s="2659"/>
      <c r="M6" s="2659"/>
      <c r="N6" s="2659"/>
      <c r="O6" s="2659"/>
      <c r="P6" s="2659"/>
    </row>
    <row r="7" spans="1:16" ht="15.75" thickBot="1">
      <c r="A7" s="3562"/>
      <c r="B7" s="3563"/>
      <c r="C7" s="3564"/>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154.24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154.24</v>
      </c>
      <c r="F16" s="2659"/>
      <c r="G16" s="2660"/>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3424</v>
      </c>
      <c r="D19" s="45">
        <f>ROUND($D$3*E19/$E$3,2)</f>
        <v>0</v>
      </c>
      <c r="E19" s="53">
        <f t="shared" ref="E19:E26" si="1">SUM(F19:G19)</f>
        <v>154.24</v>
      </c>
      <c r="F19" s="2795">
        <f>'数据-基础表'!I13</f>
        <v>154.24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154.24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154.24</v>
      </c>
      <c r="F27" s="1140">
        <f>IF(SUM(F19:F26)=E8,SUM(F19:F26),"地上面积有误")</f>
        <v>154.24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154.24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154.24</v>
      </c>
      <c r="F31" s="677">
        <f>F27+F30</f>
        <v>154.24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J27" sqref="J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59781</v>
      </c>
      <c r="F6" s="64">
        <f>SUMIF(项目基本情况!C$12:I$12,C6,项目基本情况!C$15:I$15)</f>
        <v>38.380000000000003</v>
      </c>
      <c r="G6" s="65">
        <f>IF(ISERROR(ROUND(POWER(1+H6,D6-F6)*(POWER(1+H6,F6)-1)/(POWER(1+H6,D6)-1),3)),0,ROUND(POWER(1+H6,D6-F6)*(POWER(1+H6,F6)-1)/(POWER(1+H6,D6)-1),3))</f>
        <v>0.92700000000000005</v>
      </c>
      <c r="H6" s="732">
        <v>0.05</v>
      </c>
      <c r="I6" s="732">
        <v>5.5E-2</v>
      </c>
      <c r="J6" s="66">
        <v>7.0000000000000007E-2</v>
      </c>
      <c r="K6" s="1030">
        <f>SUMIF('数据-汇总表'!C$19:C$33,A6,'数据-汇总表'!E$19:E$33)</f>
        <v>154.24</v>
      </c>
      <c r="L6" s="733">
        <v>4000</v>
      </c>
      <c r="M6" s="67">
        <f t="shared" ref="M6:M14" si="0">ROUND(K6*L6/10000,0)</f>
        <v>62</v>
      </c>
      <c r="N6" s="731">
        <f>ROUND(1-(1-0%)*(2025-N19)/60,2)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2.7</v>
      </c>
      <c r="V6" s="70">
        <v>0.02</v>
      </c>
      <c r="W6" s="70">
        <v>0.15</v>
      </c>
      <c r="X6" s="1040"/>
      <c r="Y6" s="71">
        <f>N6</f>
        <v>0.85</v>
      </c>
      <c r="Z6" s="72"/>
      <c r="AA6" s="66"/>
      <c r="AB6" s="66"/>
      <c r="AC6" s="1040"/>
      <c r="AD6" s="73"/>
      <c r="AE6" s="1041">
        <f ca="1">IF(AN6="",0,SUMIF(INDIRECT("'"&amp;AN6&amp;"'"&amp;"!E:E"),$AE$5,INDIRECT("'"&amp;AN6&amp;"'"&amp;"!F:F")))</f>
        <v>38.380000000000003</v>
      </c>
      <c r="AF6" s="1348"/>
      <c r="AG6" s="138">
        <f>IF(AF6="",0,AE6-AF6)</f>
        <v>0</v>
      </c>
      <c r="AH6" s="74"/>
      <c r="AI6" s="76">
        <v>365</v>
      </c>
      <c r="AJ6" s="77"/>
      <c r="AK6" s="85">
        <v>3.0000000000000001E-3</v>
      </c>
      <c r="AL6" s="79">
        <v>1E-3</v>
      </c>
      <c r="AM6" s="80">
        <v>5.0000000000000001E-3</v>
      </c>
      <c r="AN6" s="1715" t="s">
        <v>3426</v>
      </c>
      <c r="AO6" s="52">
        <f ca="1">SUMIF(INDIRECT("'"&amp;AN6&amp;"'"&amp;"!A:A"),"总价",INDIRECT("'"&amp;AN6&amp;"'"&amp;"!B:B"))</f>
        <v>244.20169999999999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0.05</v>
      </c>
      <c r="I16" s="91"/>
      <c r="J16" s="91"/>
      <c r="K16" s="92">
        <f>SUM(K6:K15)</f>
        <v>154.24</v>
      </c>
      <c r="L16" s="93">
        <f>ROUND(M16*10000/SUM(K6:K14),0)</f>
        <v>4020</v>
      </c>
      <c r="M16" s="93">
        <f>SUM(M6:M14)</f>
        <v>62</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t="s">
        <v>3499</v>
      </c>
      <c r="V18" s="2671"/>
      <c r="W18" s="2671">
        <f>28*10000/365/K16</f>
        <v>4.9735690331381797</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v>2016</v>
      </c>
      <c r="O19" s="2671"/>
      <c r="P19" s="2671"/>
      <c r="Q19" s="2671"/>
      <c r="R19" s="2671"/>
      <c r="S19" s="2671"/>
      <c r="T19" s="2671"/>
      <c r="U19" s="3477" t="s">
        <v>3434</v>
      </c>
      <c r="V19" s="2671">
        <f>'比较法-办公'!C50</f>
        <v>15052</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3477" t="s">
        <v>3436</v>
      </c>
      <c r="V20" s="2671">
        <f>'比较法-办公租金'!C50</f>
        <v>2.7</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3477" t="s">
        <v>3437</v>
      </c>
      <c r="V21" s="2671">
        <f>V20*365/V19</f>
        <v>6.547302684028701E-2</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476" t="s">
        <v>3427</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1" t="s">
        <v>2286</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154.24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45769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238</v>
      </c>
      <c r="C5" s="2512">
        <f ca="1">IF(B5=D14,结果表!H102,ROUND(B5*10000/$B$1,0))</f>
        <v>15443</v>
      </c>
      <c r="D5" s="2512" t="e">
        <f ca="1">ROUND(B5*10000/$B$2,0)</f>
        <v>#DIV/0!</v>
      </c>
      <c r="E5" s="2686"/>
      <c r="F5" s="2687"/>
      <c r="G5" s="2687"/>
      <c r="H5" s="2688"/>
      <c r="I5" s="2688"/>
      <c r="J5" s="2688"/>
      <c r="K5" s="2688"/>
    </row>
    <row r="6" spans="1:11" ht="16.5">
      <c r="A6" s="2512" t="s">
        <v>656</v>
      </c>
      <c r="B6" s="2512">
        <f ca="1">SUM(G14:G23)</f>
        <v>238</v>
      </c>
      <c r="C6" s="2512">
        <f ca="1">IF(B6=G14,结果表!H108,ROUND(B6*10000/$B$1,0))</f>
        <v>15443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221</v>
      </c>
      <c r="C8" s="2512" t="str">
        <f ca="1">IF(B8=I14,结果表!H112,ROUND(B8*10000/$B$1,0))</f>
        <v>——</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154.24</v>
      </c>
      <c r="C14" s="2518"/>
      <c r="D14" s="2518">
        <f ca="1">结果表!G19</f>
        <v>238</v>
      </c>
      <c r="E14" s="2518">
        <f ca="1">结果表!G20</f>
        <v>15443</v>
      </c>
      <c r="F14" s="2518" t="e">
        <f ca="1">ROUND(D14*10000/C14,0)</f>
        <v>#DIV/0!</v>
      </c>
      <c r="G14" s="2518">
        <f ca="1">D14</f>
        <v>238</v>
      </c>
      <c r="H14" s="2518"/>
      <c r="I14" s="2518">
        <f ca="1">结果表!P59</f>
        <v>221</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3" sqref="H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0" t="str">
        <f>项目基本情况!S2</f>
        <v>北京市顺义区金航西路4号院1号楼3层314办公用房房地产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54" t="s">
        <v>1265</v>
      </c>
      <c r="B4" s="1755" t="s">
        <v>1266</v>
      </c>
      <c r="C4" s="1756" t="s">
        <v>3500</v>
      </c>
      <c r="D4" s="1756" t="s">
        <v>3426</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643">
        <v>25</v>
      </c>
      <c r="C5" s="3646"/>
      <c r="D5" s="3634"/>
      <c r="E5" s="131" t="s">
        <v>1269</v>
      </c>
      <c r="F5" s="1757"/>
      <c r="G5" s="1757"/>
      <c r="H5" s="1757"/>
      <c r="I5" s="1373"/>
    </row>
    <row r="6" spans="1:12" ht="12.75">
      <c r="A6" s="3588"/>
      <c r="B6" s="3643"/>
      <c r="C6" s="3648"/>
      <c r="D6" s="3634"/>
      <c r="E6" s="131" t="s">
        <v>1270</v>
      </c>
      <c r="F6" s="1757"/>
      <c r="G6" s="1757"/>
      <c r="H6" s="1757"/>
      <c r="I6" s="1373"/>
    </row>
    <row r="7" spans="1:12" ht="12.75">
      <c r="A7" s="3588"/>
      <c r="B7" s="3643"/>
      <c r="C7" s="3647"/>
      <c r="D7" s="3634"/>
      <c r="E7" s="131" t="s">
        <v>1271</v>
      </c>
      <c r="F7" s="1757"/>
      <c r="G7" s="1757"/>
      <c r="H7" s="1757"/>
      <c r="I7" s="1373"/>
    </row>
    <row r="8" spans="1:12" ht="12.75">
      <c r="A8" s="3588" t="s">
        <v>1272</v>
      </c>
      <c r="B8" s="3643">
        <v>15</v>
      </c>
      <c r="C8" s="3646"/>
      <c r="D8" s="3634"/>
      <c r="E8" s="131" t="s">
        <v>1273</v>
      </c>
      <c r="F8" s="1757"/>
      <c r="G8" s="1757"/>
      <c r="H8" s="1757"/>
      <c r="I8" s="1373"/>
    </row>
    <row r="9" spans="1:12" ht="12.75">
      <c r="A9" s="3588"/>
      <c r="B9" s="3643"/>
      <c r="C9" s="3647"/>
      <c r="D9" s="3634"/>
      <c r="E9" s="131" t="s">
        <v>1274</v>
      </c>
      <c r="F9" s="1757"/>
      <c r="G9" s="1757"/>
      <c r="H9" s="1757"/>
      <c r="I9" s="1373"/>
    </row>
    <row r="10" spans="1:12" ht="12.75">
      <c r="A10" s="3588" t="s">
        <v>1275</v>
      </c>
      <c r="B10" s="3643">
        <v>15</v>
      </c>
      <c r="C10" s="3646"/>
      <c r="D10" s="3634"/>
      <c r="E10" s="131" t="s">
        <v>1276</v>
      </c>
      <c r="F10" s="1757"/>
      <c r="G10" s="1757"/>
      <c r="H10" s="1757"/>
      <c r="I10" s="1373"/>
    </row>
    <row r="11" spans="1:12" ht="12.75">
      <c r="A11" s="3588"/>
      <c r="B11" s="3643"/>
      <c r="C11" s="3647"/>
      <c r="D11" s="3634"/>
      <c r="E11" s="131" t="s">
        <v>1277</v>
      </c>
      <c r="F11" s="1757"/>
      <c r="G11" s="1757"/>
      <c r="H11" s="1757"/>
      <c r="I11" s="1373"/>
    </row>
    <row r="12" spans="1:12" ht="12.75">
      <c r="A12" s="3588" t="s">
        <v>1278</v>
      </c>
      <c r="B12" s="3643">
        <v>15</v>
      </c>
      <c r="C12" s="3646"/>
      <c r="D12" s="3634"/>
      <c r="E12" s="131" t="s">
        <v>1279</v>
      </c>
      <c r="F12" s="1757"/>
      <c r="G12" s="1757"/>
      <c r="H12" s="1757"/>
      <c r="I12" s="1373"/>
    </row>
    <row r="13" spans="1:12" ht="12.75">
      <c r="A13" s="3588"/>
      <c r="B13" s="3643"/>
      <c r="C13" s="3647"/>
      <c r="D13" s="3634"/>
      <c r="E13" s="131" t="s">
        <v>1280</v>
      </c>
      <c r="F13" s="1757"/>
      <c r="G13" s="1757"/>
      <c r="H13" s="1757"/>
      <c r="I13" s="1373"/>
    </row>
    <row r="14" spans="1:12" ht="12.75">
      <c r="A14" s="3588" t="s">
        <v>1281</v>
      </c>
      <c r="B14" s="3643">
        <v>30</v>
      </c>
      <c r="C14" s="3646">
        <v>5</v>
      </c>
      <c r="D14" s="3634">
        <v>5</v>
      </c>
      <c r="E14" s="131" t="s">
        <v>1282</v>
      </c>
      <c r="F14" s="1757"/>
      <c r="G14" s="1757"/>
      <c r="H14" s="1757"/>
      <c r="I14" s="1373"/>
    </row>
    <row r="15" spans="1:12" ht="12.75">
      <c r="A15" s="3588"/>
      <c r="B15" s="3643"/>
      <c r="C15" s="3648"/>
      <c r="D15" s="3634"/>
      <c r="E15" s="131" t="s">
        <v>1283</v>
      </c>
      <c r="F15" s="1757"/>
      <c r="G15" s="1757"/>
      <c r="H15" s="1757"/>
      <c r="I15" s="1373"/>
    </row>
    <row r="16" spans="1:12" ht="12.75">
      <c r="A16" s="3588"/>
      <c r="B16" s="3643"/>
      <c r="C16" s="3647"/>
      <c r="D16" s="363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5" t="s">
        <v>2131</v>
      </c>
      <c r="F18" s="3666"/>
      <c r="G18" s="3666"/>
      <c r="H18" s="3666"/>
      <c r="I18" s="3666"/>
      <c r="K18" s="302" t="s">
        <v>1289</v>
      </c>
      <c r="L18" s="302">
        <f>IF(C1="",'数据-汇总表'!E3,SUMIF(项目类型,C1,'数据-汇总表'!E17:E26)+SUMIF(项目类型,C1,'数据-汇总表'!I17:I26))</f>
        <v>154.24</v>
      </c>
      <c r="M18" s="302">
        <f>IF(C1="",'数据-汇总表'!E3,SUMIF(项目类型,C1,'数据-汇总表'!E17:E26))</f>
        <v>154.24</v>
      </c>
    </row>
    <row r="19" spans="1:36" ht="15">
      <c r="A19" s="1761" t="s">
        <v>1290</v>
      </c>
      <c r="B19" s="1762" t="s">
        <v>1291</v>
      </c>
      <c r="C19" s="134">
        <f ca="1">SUMIF(INDIRECT("'"&amp;C4&amp;"'"&amp;"!A:A"),结果表!B19,INDIRECT("'"&amp;C4&amp;"'"&amp;"!B:B"))</f>
        <v>232.16200000000001</v>
      </c>
      <c r="D19" s="135">
        <f ca="1">SUMIF(INDIRECT("'"&amp;D4&amp;"'"&amp;"!A:A"),结果表!B19,INDIRECT("'"&amp;D4&amp;"'"&amp;"!B:B"))</f>
        <v>244.20169999999999</v>
      </c>
      <c r="E19" s="1761" t="s">
        <v>1292</v>
      </c>
      <c r="F19" s="1762" t="s">
        <v>1291</v>
      </c>
      <c r="G19" s="136">
        <f ca="1">ROUND(C19*$C$18+D19*$D$18,0)</f>
        <v>238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15052</v>
      </c>
      <c r="D20" s="138">
        <f ca="1">SUMIF(INDIRECT("'"&amp;D4&amp;"'"&amp;"!A:A"),结果表!B20,INDIRECT("'"&amp;D4&amp;"'"&amp;"!B:B"))</f>
        <v>15833</v>
      </c>
      <c r="E20" s="1764"/>
      <c r="F20" s="1026" t="s">
        <v>1295</v>
      </c>
      <c r="G20" s="139">
        <f ca="1">ROUND(C20*$C$18+D20*$D$18,0)</f>
        <v>15443</v>
      </c>
      <c r="H20" s="808" t="s">
        <v>1296</v>
      </c>
      <c r="I20" s="129"/>
      <c r="J20" s="725">
        <v>17000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5.1859046700148959E-2</v>
      </c>
      <c r="E22" s="129"/>
      <c r="F22" s="129"/>
      <c r="G22" s="129"/>
      <c r="H22" s="129"/>
      <c r="I22" s="129"/>
    </row>
    <row r="23" spans="1:36" ht="13.5" thickBot="1">
      <c r="A23" s="1747"/>
      <c r="B23" s="1747"/>
      <c r="C23" s="1747"/>
      <c r="D23" s="1747"/>
      <c r="E23" s="129"/>
      <c r="F23" s="129"/>
      <c r="G23" s="129"/>
      <c r="H23" s="129"/>
      <c r="I23" s="129"/>
    </row>
    <row r="24" spans="1:36" ht="14.25">
      <c r="A24" s="3658" t="s">
        <v>1299</v>
      </c>
      <c r="B24" s="1762" t="s">
        <v>1291</v>
      </c>
      <c r="C24" s="136">
        <f>IF(B30=0,0,D30)</f>
        <v>0</v>
      </c>
      <c r="D24" s="1769"/>
      <c r="E24" s="129"/>
      <c r="F24" s="129"/>
      <c r="G24" s="129"/>
      <c r="H24" s="129"/>
      <c r="I24" s="129"/>
    </row>
    <row r="25" spans="1:36" ht="14.25">
      <c r="A25" s="36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15443</v>
      </c>
      <c r="D32" s="1775" t="s">
        <v>3431</v>
      </c>
      <c r="E32" s="129"/>
      <c r="F32" s="129"/>
      <c r="G32" s="129"/>
      <c r="H32" s="129"/>
      <c r="I32" s="129"/>
    </row>
    <row r="33" spans="1:15" ht="15">
      <c r="A33" s="786" t="s">
        <v>1306</v>
      </c>
      <c r="B33" s="1776"/>
      <c r="C33" s="1777" t="s">
        <v>3432</v>
      </c>
      <c r="D33" s="1778" t="s">
        <v>3426</v>
      </c>
      <c r="E33" s="1779" t="s">
        <v>1307</v>
      </c>
      <c r="F33" s="1780" t="str">
        <f>IF(D32="楼面单价","取值（单价）","取值（总价）")</f>
        <v>取值（单价）</v>
      </c>
      <c r="G33" s="129"/>
      <c r="H33" s="129"/>
      <c r="I33" s="129"/>
    </row>
    <row r="34" spans="1:15" ht="15">
      <c r="A34" s="1781"/>
      <c r="B34" s="1782" t="s">
        <v>1308</v>
      </c>
      <c r="C34" s="148">
        <f ca="1">IF(C33="自定义",F34,C32-C35)</f>
        <v>8339</v>
      </c>
      <c r="D34" s="861">
        <f ca="1">IF(C33="自定义",ROUND(C34/C32,3),IF(C33="收益比率",SUMIF(INDIRECT("'"&amp;D33&amp;"'"&amp;"!b:b"),"土地收益比率",INDIRECT("'"&amp;D33&amp;"'"&amp;"!c:c")),SUMIF(INDIRECT("'"&amp;D33&amp;"'"&amp;"!b:b"),"土地成本比率",INDIRECT("'"&amp;D33&amp;"'"&amp;"!c:c"))))</f>
        <v>0.54</v>
      </c>
      <c r="E34" s="1783" t="s">
        <v>1309</v>
      </c>
      <c r="F34" s="1330"/>
      <c r="G34" s="129"/>
      <c r="H34" s="129"/>
      <c r="I34" s="129"/>
    </row>
    <row r="35" spans="1:15" ht="15.75" thickBot="1">
      <c r="A35" s="1784"/>
      <c r="B35" s="1785" t="s">
        <v>1310</v>
      </c>
      <c r="C35" s="1170">
        <f ca="1">IF(C33="自定义",F35,ROUND(C32*D35,0))</f>
        <v>7104</v>
      </c>
      <c r="D35" s="1171">
        <f ca="1">IF(C33="自定义",ROUND(C35/C32,3),IF(C33="收益比率",SUMIF(INDIRECT("'"&amp;D33&amp;"'"&amp;"!b:b"),"建筑物收益比率",INDIRECT("'"&amp;D33&amp;"'"&amp;"!c:c")),SUMIF(INDIRECT("'"&amp;D33&amp;"'"&amp;"!b:b"),"建筑物成本比率",INDIRECT("'"&amp;D33&amp;"'"&amp;"!c:c"))))</f>
        <v>0.46</v>
      </c>
      <c r="E35" s="1786" t="s">
        <v>1311</v>
      </c>
      <c r="F35" s="154"/>
      <c r="G35" s="129"/>
      <c r="H35" s="129"/>
      <c r="I35" s="129"/>
    </row>
    <row r="36" spans="1:15" ht="15.75" thickBot="1">
      <c r="A36" s="3635" t="s">
        <v>1312</v>
      </c>
      <c r="B36" s="1787" t="s">
        <v>1313</v>
      </c>
      <c r="C36" s="145"/>
      <c r="D36" s="1788"/>
      <c r="E36" s="1789"/>
      <c r="F36" s="1790"/>
      <c r="G36" s="129"/>
      <c r="H36" s="129"/>
      <c r="I36" s="129"/>
    </row>
    <row r="37" spans="1:15" ht="15.75" thickBot="1">
      <c r="A37" s="3636"/>
      <c r="B37" s="1674" t="s">
        <v>1314</v>
      </c>
      <c r="C37" s="147"/>
      <c r="D37" s="1139"/>
      <c r="E37" s="1139"/>
      <c r="F37" s="1790"/>
      <c r="G37" s="129"/>
      <c r="H37" s="129"/>
      <c r="I37" s="129"/>
    </row>
    <row r="38" spans="1:15" ht="15.75" thickBot="1">
      <c r="A38" s="363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5" t="s">
        <v>1326</v>
      </c>
      <c r="B45" s="3656"/>
      <c r="C45" s="3657"/>
      <c r="D45" s="155">
        <f ca="1">ROUND(H101*F45,0)</f>
        <v>238</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6"/>
      <c r="I46" s="159"/>
      <c r="J46" s="2523">
        <v>1</v>
      </c>
      <c r="K46" s="3576" t="s">
        <v>1331</v>
      </c>
      <c r="L46" s="3576"/>
      <c r="M46" s="3577"/>
      <c r="N46" s="3577"/>
      <c r="O46" s="3577"/>
    </row>
    <row r="47" spans="1:15" ht="12" customHeight="1">
      <c r="A47" s="160" t="s">
        <v>1332</v>
      </c>
      <c r="B47" s="161"/>
      <c r="C47" s="162"/>
      <c r="D47" s="1087" t="s">
        <v>1333</v>
      </c>
      <c r="E47" s="302" t="s">
        <v>1334</v>
      </c>
      <c r="F47" s="163" t="s">
        <v>1335</v>
      </c>
      <c r="G47" s="2546" t="s">
        <v>1336</v>
      </c>
      <c r="H47" s="2547"/>
      <c r="I47" s="159"/>
      <c r="J47" s="2523">
        <v>2</v>
      </c>
      <c r="K47" s="3576" t="s">
        <v>1337</v>
      </c>
      <c r="L47" s="3576"/>
      <c r="M47" s="3578">
        <f>'数据-取费表'!B2</f>
        <v>45769</v>
      </c>
      <c r="N47" s="3578"/>
      <c r="O47" s="3578"/>
    </row>
    <row r="48" spans="1:15" ht="25.5">
      <c r="A48" s="3638" t="s">
        <v>1338</v>
      </c>
      <c r="B48" s="3639"/>
      <c r="C48" s="3639"/>
      <c r="D48" s="2324">
        <f ca="1">IF(H48="情况1",0,IF(H48="情况2",D52,IF(H48="情况3",D53,IF(H48="情况4",D54))))</f>
        <v>12.49</v>
      </c>
      <c r="E48" s="2334" t="str">
        <f>IF(H48="情况4","(销售额-原购置价)×税（费）率","销售额×税（费）率")</f>
        <v>(销售额-原购置价)×税（费）率</v>
      </c>
      <c r="F48" s="2548">
        <f>IF(H48="情况1","免征",'数据-取费表'!B41)</f>
        <v>5.5000000000000007E-2</v>
      </c>
      <c r="G48" s="2549" t="s">
        <v>1339</v>
      </c>
      <c r="H48" s="2550" t="s">
        <v>3490</v>
      </c>
      <c r="I48" s="1806"/>
      <c r="J48" s="2523">
        <v>3</v>
      </c>
      <c r="K48" s="3576" t="s">
        <v>1340</v>
      </c>
      <c r="L48" s="3576"/>
      <c r="M48" s="3579">
        <f ca="1">H101</f>
        <v>238</v>
      </c>
      <c r="N48" s="3579"/>
      <c r="O48" s="3579"/>
    </row>
    <row r="49" spans="1:35" ht="25.5" customHeight="1">
      <c r="A49" s="2333" t="s">
        <v>1341</v>
      </c>
      <c r="B49" s="3624" t="s">
        <v>1342</v>
      </c>
      <c r="C49" s="3624"/>
      <c r="D49" s="1590">
        <v>0</v>
      </c>
      <c r="E49" s="324" t="s">
        <v>1343</v>
      </c>
      <c r="F49" s="2424" t="s">
        <v>28</v>
      </c>
      <c r="G49" s="3607"/>
      <c r="H49" s="2310" t="s">
        <v>2134</v>
      </c>
      <c r="I49" s="2311"/>
      <c r="J49" s="2523">
        <v>4</v>
      </c>
      <c r="K49" s="3576" t="str">
        <f>IF(项目基本情况!E8="房地产抵押价值","房地产抵押价值","抵押担保权已注销时的房地产抵押价值")</f>
        <v>房地产抵押价值</v>
      </c>
      <c r="L49" s="3576"/>
      <c r="M49" s="3579">
        <f ca="1">IF(项目基本情况!E8="房地产抵押价值",H107,H109)</f>
        <v>238</v>
      </c>
      <c r="N49" s="3579"/>
      <c r="O49" s="3579"/>
    </row>
    <row r="50" spans="1:35" ht="25.5" customHeight="1">
      <c r="A50" s="2551"/>
      <c r="B50" s="3624" t="s">
        <v>1344</v>
      </c>
      <c r="C50" s="3624"/>
      <c r="D50" s="2552"/>
      <c r="E50" s="332"/>
      <c r="F50" s="2424"/>
      <c r="G50" s="3608"/>
      <c r="H50" s="2312" t="s">
        <v>2135</v>
      </c>
      <c r="I50" s="2311"/>
      <c r="J50" s="3575" t="s">
        <v>1345</v>
      </c>
      <c r="K50" s="3575"/>
      <c r="L50" s="3575"/>
      <c r="M50" s="3575"/>
      <c r="N50" s="3575"/>
      <c r="O50" s="3575"/>
    </row>
    <row r="51" spans="1:35" ht="20.45" customHeight="1">
      <c r="A51" s="2553"/>
      <c r="B51" s="3624" t="s">
        <v>1346</v>
      </c>
      <c r="C51" s="3624"/>
      <c r="D51" s="1087"/>
      <c r="E51" s="327"/>
      <c r="F51" s="2424"/>
      <c r="G51" s="3609"/>
      <c r="H51" s="2312" t="s">
        <v>2136</v>
      </c>
      <c r="I51" s="2311"/>
      <c r="J51" s="2524" t="s">
        <v>1347</v>
      </c>
      <c r="K51" s="3576" t="s">
        <v>1348</v>
      </c>
      <c r="L51" s="3576"/>
      <c r="M51" s="2524" t="s">
        <v>1349</v>
      </c>
      <c r="N51" s="2524" t="s">
        <v>1350</v>
      </c>
      <c r="O51" s="2524" t="s">
        <v>1351</v>
      </c>
    </row>
    <row r="52" spans="1:35" ht="24" customHeight="1">
      <c r="A52" s="2335" t="s">
        <v>1352</v>
      </c>
      <c r="B52" s="3624" t="s">
        <v>1353</v>
      </c>
      <c r="C52" s="3624"/>
      <c r="D52" s="1087">
        <f ca="1">ROUND(D45*'数据-取费表'!B41/(1+'数据-取费表'!C42),0)</f>
        <v>12</v>
      </c>
      <c r="E52" s="2334" t="s">
        <v>1354</v>
      </c>
      <c r="F52" s="2554">
        <f>'数据-取费表'!B41</f>
        <v>5.5000000000000007E-2</v>
      </c>
      <c r="G52" s="2555"/>
      <c r="H52" s="2544"/>
      <c r="I52" s="1807"/>
      <c r="J52" s="2523">
        <v>1</v>
      </c>
      <c r="K52" s="3601" t="s">
        <v>1355</v>
      </c>
      <c r="L52" s="3601"/>
      <c r="M52" s="2525">
        <f ca="1">D48</f>
        <v>12.49</v>
      </c>
      <c r="N52" s="2523" t="str">
        <f>E48</f>
        <v>(销售额-原购置价)×税（费）率</v>
      </c>
      <c r="O52" s="2526">
        <f>F48</f>
        <v>5.5000000000000007E-2</v>
      </c>
      <c r="P52" s="725">
        <f ca="1">M52</f>
        <v>12.49</v>
      </c>
    </row>
    <row r="53" spans="1:35" ht="12" customHeight="1">
      <c r="A53" s="2335" t="s">
        <v>1356</v>
      </c>
      <c r="B53" s="3625" t="s">
        <v>2291</v>
      </c>
      <c r="C53" s="3626"/>
      <c r="D53" s="1087">
        <f ca="1">ROUND(D45*'数据-取费表'!B41/(1+'数据-取费表'!C42),0)</f>
        <v>12</v>
      </c>
      <c r="E53" s="2334" t="s">
        <v>1354</v>
      </c>
      <c r="F53" s="2554">
        <f>'数据-取费表'!B41</f>
        <v>5.5000000000000007E-2</v>
      </c>
      <c r="G53" s="2555"/>
      <c r="H53" s="2544"/>
      <c r="I53" s="1807"/>
      <c r="J53" s="2523">
        <v>2</v>
      </c>
      <c r="K53" s="3601" t="s">
        <v>1357</v>
      </c>
      <c r="L53" s="3601"/>
      <c r="M53" s="2525">
        <f t="shared" ref="M53:O54" ca="1" si="0">D55</f>
        <v>0.12</v>
      </c>
      <c r="N53" s="2523" t="str">
        <f t="shared" si="0"/>
        <v>销售额×税（费）率</v>
      </c>
      <c r="O53" s="2526">
        <f t="shared" si="0"/>
        <v>5.0000000000000001E-4</v>
      </c>
      <c r="P53" s="725">
        <f ca="1">M53</f>
        <v>0.12</v>
      </c>
    </row>
    <row r="54" spans="1:35" ht="12" customHeight="1">
      <c r="A54" s="2335" t="s">
        <v>1358</v>
      </c>
      <c r="B54" s="3625" t="s">
        <v>2292</v>
      </c>
      <c r="C54" s="3626"/>
      <c r="D54" s="1087">
        <f ca="1">C68</f>
        <v>12.49</v>
      </c>
      <c r="E54" s="327" t="s">
        <v>1359</v>
      </c>
      <c r="F54" s="2554">
        <f>'数据-取费表'!B41</f>
        <v>5.5000000000000007E-2</v>
      </c>
      <c r="G54" s="2555"/>
      <c r="H54" s="2556"/>
      <c r="I54" s="1807"/>
      <c r="J54" s="2523">
        <v>3</v>
      </c>
      <c r="K54" s="3601" t="s">
        <v>1360</v>
      </c>
      <c r="L54" s="3601"/>
      <c r="M54" s="2525">
        <f t="shared" ca="1" si="0"/>
        <v>135</v>
      </c>
      <c r="N54" s="2523" t="str">
        <f t="shared" si="0"/>
        <v>增值额×税（费）率</v>
      </c>
      <c r="O54" s="2527" t="str">
        <f t="shared" si="0"/>
        <v>——</v>
      </c>
      <c r="P54" s="725">
        <f ca="1">ROUND(D45/1.05*1%,2)</f>
        <v>2.27</v>
      </c>
    </row>
    <row r="55" spans="1:35" ht="24" customHeight="1">
      <c r="A55" s="3661" t="s">
        <v>1361</v>
      </c>
      <c r="B55" s="3639"/>
      <c r="C55" s="3639"/>
      <c r="D55" s="2324">
        <f ca="1">IF(H55="个人住宅",0,ROUND(D45*I55,2))</f>
        <v>0.12</v>
      </c>
      <c r="E55" s="2334" t="s">
        <v>1362</v>
      </c>
      <c r="F55" s="2554">
        <f>IF(H55="正常",I55,"免征")</f>
        <v>5.0000000000000001E-4</v>
      </c>
      <c r="G55" s="2555"/>
      <c r="H55" s="2550" t="s">
        <v>3440</v>
      </c>
      <c r="I55" s="165">
        <f>'数据-取费表'!B49</f>
        <v>5.0000000000000001E-4</v>
      </c>
      <c r="J55" s="2523">
        <f>IF(H59="非个人房产","",4)</f>
        <v>4</v>
      </c>
      <c r="K55" s="3601" t="str">
        <f>IF(H59="非个人房产","——","个人所得税")</f>
        <v>个人所得税</v>
      </c>
      <c r="L55" s="3601"/>
      <c r="M55" s="2528">
        <f ca="1">D59</f>
        <v>2.38</v>
      </c>
      <c r="N55" s="2040" t="str">
        <f>E59</f>
        <v>销售额×税（费）率</v>
      </c>
      <c r="O55" s="2529">
        <f>F59</f>
        <v>0.01</v>
      </c>
      <c r="P55" s="725">
        <f ca="1">M55</f>
        <v>2.38</v>
      </c>
    </row>
    <row r="56" spans="1:35" ht="24.75">
      <c r="A56" s="3661" t="s">
        <v>1363</v>
      </c>
      <c r="B56" s="3639"/>
      <c r="C56" s="3639"/>
      <c r="D56" s="2324">
        <f ca="1">IF(H56="个人住宅",D57,D58)</f>
        <v>135</v>
      </c>
      <c r="E56" s="2334" t="s">
        <v>1364</v>
      </c>
      <c r="F56" s="2554" t="str">
        <f>IF(H56="正常",F58,"免征")</f>
        <v>——</v>
      </c>
      <c r="G56" s="2557" t="s">
        <v>1365</v>
      </c>
      <c r="H56" s="2558" t="s">
        <v>3440</v>
      </c>
      <c r="I56" s="1808"/>
      <c r="J56" s="2523" t="str">
        <f>IF(项目基本情况!K6="上海银行",IF(J55="",4,J55+1),"")</f>
        <v/>
      </c>
      <c r="K56" s="3582" t="str">
        <f>IF(项目基本情况!K6="上海银行","其他处置费用","")</f>
        <v/>
      </c>
      <c r="L56" s="3583"/>
      <c r="M56" s="2525" t="str">
        <f>IF(项目基本情况!K6="上海银行",M69,"")</f>
        <v/>
      </c>
      <c r="N56" s="3582" t="str">
        <f>IF(项目基本情况!K6="上海银行","包含处置中涉及的律师、诉讼、拍卖、评估等费用","")</f>
        <v/>
      </c>
      <c r="O56" s="3585"/>
      <c r="P56" s="725">
        <f ca="1">SUM(P52:P55)</f>
        <v>17.259999999999998</v>
      </c>
    </row>
    <row r="57" spans="1:35" ht="12.75">
      <c r="A57" s="2335" t="s">
        <v>1341</v>
      </c>
      <c r="B57" s="3625" t="s">
        <v>1366</v>
      </c>
      <c r="C57" s="3626"/>
      <c r="D57" s="1590">
        <v>0</v>
      </c>
      <c r="E57" s="324" t="s">
        <v>1343</v>
      </c>
      <c r="F57" s="302"/>
      <c r="G57" s="2555"/>
      <c r="H57" s="2559"/>
      <c r="I57" s="1808"/>
      <c r="J57" s="3601">
        <f>IF(AND(J55="",J56=""),4,IF(项目基本情况!K6="上海银行",结果表!J56+1,结果表!J55+1))</f>
        <v>5</v>
      </c>
      <c r="K57" s="3601" t="s">
        <v>1367</v>
      </c>
      <c r="L57" s="2530" t="s">
        <v>1368</v>
      </c>
      <c r="M57" s="2531"/>
      <c r="N57" s="2532">
        <f ca="1">SUMIF(M52:M56,"&lt;9e307")</f>
        <v>149.99</v>
      </c>
      <c r="O57" s="2533"/>
      <c r="P57" s="2690"/>
    </row>
    <row r="58" spans="1:35" ht="24.75">
      <c r="A58" s="2335" t="s">
        <v>1352</v>
      </c>
      <c r="B58" s="3625" t="s">
        <v>1369</v>
      </c>
      <c r="C58" s="3624"/>
      <c r="D58" s="2324">
        <f ca="1">IF(H58="转让取得",C81,C97)</f>
        <v>135</v>
      </c>
      <c r="E58" s="2334" t="s">
        <v>1364</v>
      </c>
      <c r="F58" s="302" t="s">
        <v>28</v>
      </c>
      <c r="G58" s="2555"/>
      <c r="H58" s="2558" t="s">
        <v>3491</v>
      </c>
      <c r="I58" s="1808"/>
      <c r="J58" s="3601"/>
      <c r="K58" s="3601"/>
      <c r="L58" s="2530" t="s">
        <v>1370</v>
      </c>
      <c r="M58" s="2534"/>
      <c r="N58" s="2535" t="str">
        <f ca="1">NUMBERSTRING(INT(N57*10000),2)&amp;"元整"</f>
        <v>壹佰肆拾玖万玖仟玖佰元整</v>
      </c>
      <c r="O58" s="2536"/>
    </row>
    <row r="59" spans="1:35" ht="26.25" thickBot="1">
      <c r="A59" s="3605" t="s">
        <v>1371</v>
      </c>
      <c r="B59" s="3606"/>
      <c r="C59" s="3606"/>
      <c r="D59" s="2560">
        <f ca="1">IF(H59="非个人房产","——",IF(H59="个人住宅（满五唯一有凭证）",0,IF(H59="个人其他（无凭证）",ROUND(D45*F59,2),ROUND(C67*F59,0))))</f>
        <v>2.38</v>
      </c>
      <c r="E59" s="2561" t="str">
        <f>IF(H59="非个人房产","——",IF(H59="个人其他（无凭证）","销售额×税（费）率",IF(H59="个人住宅（满五唯一有凭证）","免征","差额计税")))</f>
        <v>销售额×税（费）率</v>
      </c>
      <c r="F59" s="2562">
        <f>IF(OR(H59="非个人房产",H59="个人住宅（满五唯一有凭证）"),"——",IF(H59="个人其他（有凭证）",20%,1%))</f>
        <v>0.01</v>
      </c>
      <c r="G59" s="2563" t="s">
        <v>1365</v>
      </c>
      <c r="H59" s="2314" t="s">
        <v>3492</v>
      </c>
      <c r="I59" s="2313" t="s">
        <v>2137</v>
      </c>
      <c r="J59" s="3603">
        <f>J57+1</f>
        <v>6</v>
      </c>
      <c r="K59" s="3601" t="s">
        <v>1372</v>
      </c>
      <c r="L59" s="2523" t="s">
        <v>1368</v>
      </c>
      <c r="M59" s="2537"/>
      <c r="N59" s="2538">
        <f ca="1">M49-N57</f>
        <v>88.009999999999991</v>
      </c>
      <c r="O59" s="2539"/>
      <c r="P59" s="725">
        <f ca="1">ROUND(M49-P56,0)</f>
        <v>221</v>
      </c>
    </row>
    <row r="60" spans="1:35" ht="12" customHeight="1">
      <c r="A60" s="1809"/>
      <c r="B60" s="1747"/>
      <c r="C60" s="1747"/>
      <c r="D60" s="1747"/>
      <c r="E60" s="1578"/>
      <c r="F60" s="1808"/>
      <c r="G60" s="1808"/>
      <c r="H60" s="1810"/>
      <c r="I60" s="129"/>
      <c r="J60" s="3604"/>
      <c r="K60" s="3601"/>
      <c r="L60" s="2530" t="s">
        <v>1370</v>
      </c>
      <c r="M60" s="2534"/>
      <c r="N60" s="2535" t="str">
        <f ca="1">NUMBERSTRING(INT(N59*10000),2)&amp;"元整"</f>
        <v>捌拾捌万零壹佰元整</v>
      </c>
      <c r="O60" s="2536"/>
    </row>
    <row r="61" spans="1:35" ht="13.5" thickBot="1">
      <c r="A61" s="3660" t="s">
        <v>1373</v>
      </c>
      <c r="B61" s="3660"/>
      <c r="C61" s="3660"/>
      <c r="D61" s="3660"/>
      <c r="E61" s="3660"/>
      <c r="F61" s="1808"/>
      <c r="G61" s="1808"/>
      <c r="H61" s="1810"/>
      <c r="I61" s="129"/>
      <c r="J61" s="2523">
        <f>J59+1</f>
        <v>7</v>
      </c>
      <c r="K61" s="3601" t="s">
        <v>1374</v>
      </c>
      <c r="L61" s="3601"/>
      <c r="M61" s="2540"/>
      <c r="N61" s="2541">
        <f ca="1">ROUND(N59*10000/'数据-汇总表'!E3,0)</f>
        <v>5706</v>
      </c>
      <c r="O61" s="2542"/>
      <c r="P61" s="725">
        <f ca="1">ROUND(P59*10000/'数据-汇总表'!E3,0)</f>
        <v>14328</v>
      </c>
    </row>
    <row r="62" spans="1:35" ht="12.75">
      <c r="A62" s="3620" t="s">
        <v>1375</v>
      </c>
      <c r="B62" s="3621"/>
      <c r="C62" s="2021"/>
      <c r="D62" s="2021" t="s">
        <v>1376</v>
      </c>
      <c r="E62" s="166" t="s">
        <v>1377</v>
      </c>
      <c r="F62" s="1808"/>
      <c r="G62" s="1808"/>
      <c r="H62" s="1810"/>
      <c r="I62" s="129"/>
    </row>
    <row r="63" spans="1:35" ht="12.75">
      <c r="A63" s="173" t="s">
        <v>330</v>
      </c>
      <c r="B63" s="167" t="s">
        <v>1378</v>
      </c>
      <c r="C63" s="2564">
        <f ca="1">ROUND((C64+C65)/(1+'数据-取费表'!C42),0)</f>
        <v>227</v>
      </c>
      <c r="D63" s="167"/>
      <c r="E63" s="168"/>
      <c r="F63" s="1808"/>
      <c r="G63" s="1808"/>
      <c r="H63" s="1810"/>
      <c r="I63" s="129"/>
      <c r="J63" s="3584" t="s">
        <v>1379</v>
      </c>
      <c r="K63" s="1332" t="s">
        <v>1380</v>
      </c>
      <c r="L63" s="1332">
        <f ca="1">IF(M49&gt;10000,M49*0.5%,IF(AND(M49&gt;1000,M49&lt;=10000),M49*1%,IF(AND(M49&gt;100,M49&lt;=1000),M49*3%,IF(AND(M49&gt;10,M49&lt;=100),M49*5%,M49*8%))))</f>
        <v>7.14</v>
      </c>
      <c r="M63" s="302">
        <f ca="1">ROUND(L63,1)</f>
        <v>7.1</v>
      </c>
      <c r="N63" s="2543"/>
      <c r="Z63" s="1752"/>
      <c r="AI63" s="1753"/>
    </row>
    <row r="64" spans="1:35" ht="14.25" customHeight="1">
      <c r="A64" s="169" t="s">
        <v>325</v>
      </c>
      <c r="B64" s="170" t="s">
        <v>1381</v>
      </c>
      <c r="C64" s="2565">
        <f ca="1">D45</f>
        <v>238</v>
      </c>
      <c r="D64" s="170" t="s">
        <v>26</v>
      </c>
      <c r="E64" s="172"/>
      <c r="F64" s="1808"/>
      <c r="G64" s="1808"/>
      <c r="H64" s="1810"/>
      <c r="I64" s="129"/>
      <c r="J64" s="3584"/>
      <c r="K64" s="1332" t="s">
        <v>1382</v>
      </c>
      <c r="L64" s="1332">
        <f ca="1">IF(M49&gt;2000,M49*0.5%,IF(AND(M49&gt;1000,M49&lt;=2000),M49*0.6%,IF(AND(M49&gt;500,M49&lt;=1000),M49*0.7%,IF(AND(M49&gt;200,M49&lt;=500),M49*0.8%,IF(AND(M49&gt;100,M49&lt;=200),M49*0.9%,IF(AND(M49&gt;50,M49&lt;=100),M49*1%,IF(AND(M49&gt;20,M49&lt;=50),M49*1.5%,IF(AND(M49&gt;10,M49&lt;=20),M49*2%,IF(AND(M49&gt;1,M49&lt;=10),M49*2.5%)))))))))</f>
        <v>1.9040000000000001</v>
      </c>
      <c r="M64" s="302">
        <f t="shared" ref="M64:M65" ca="1" si="1">ROUND(L64,1)</f>
        <v>1.9</v>
      </c>
      <c r="N64" s="2544" t="s">
        <v>1383</v>
      </c>
      <c r="Z64" s="1752"/>
      <c r="AI64" s="1753"/>
    </row>
    <row r="65" spans="1:35" ht="14.25" customHeight="1">
      <c r="A65" s="169" t="s">
        <v>326</v>
      </c>
      <c r="B65" s="170" t="s">
        <v>1384</v>
      </c>
      <c r="C65" s="2566"/>
      <c r="D65" s="170"/>
      <c r="E65" s="172"/>
      <c r="F65" s="1808"/>
      <c r="G65" s="1808"/>
      <c r="H65" s="1810"/>
      <c r="I65" s="129"/>
      <c r="J65" s="3584"/>
      <c r="K65" s="1332" t="s">
        <v>1385</v>
      </c>
      <c r="L65" s="1332">
        <f ca="1">IF(M49&gt;1000,M49*0.1%,IF(AND(M49&gt;500,M49&lt;=1000),M49*0.5%,IF(AND(M49&gt;50,M49&lt;=500),M49*1%,IF(AND(M49&gt;1,M49&lt;=50),M49*1.5%))))</f>
        <v>2.38</v>
      </c>
      <c r="M65" s="302">
        <f t="shared" ca="1" si="1"/>
        <v>2.4</v>
      </c>
      <c r="N65" s="2544" t="s">
        <v>1383</v>
      </c>
      <c r="Z65" s="1752"/>
      <c r="AI65" s="1753"/>
    </row>
    <row r="66" spans="1:35" ht="14.25" customHeight="1">
      <c r="A66" s="173" t="s">
        <v>327</v>
      </c>
      <c r="B66" s="174" t="s">
        <v>1386</v>
      </c>
      <c r="C66" s="2567"/>
      <c r="D66" s="174" t="s">
        <v>26</v>
      </c>
      <c r="E66" s="1338" t="s">
        <v>671</v>
      </c>
      <c r="F66" s="1808"/>
      <c r="G66" s="1808"/>
      <c r="H66" s="1810"/>
      <c r="I66" s="129"/>
      <c r="J66" s="3584"/>
      <c r="K66" s="1332" t="s">
        <v>1387</v>
      </c>
      <c r="L66" s="1332">
        <f ca="1">M49*0.5%</f>
        <v>1.19</v>
      </c>
      <c r="M66" s="302">
        <f ca="1">IF(L66&gt;0.5,0.5,ROUND(L66,0))</f>
        <v>0.5</v>
      </c>
      <c r="N66" s="2544" t="s">
        <v>1388</v>
      </c>
      <c r="Z66" s="1752"/>
      <c r="AI66" s="1753"/>
    </row>
    <row r="67" spans="1:35" ht="14.25" customHeight="1">
      <c r="A67" s="173" t="s">
        <v>328</v>
      </c>
      <c r="B67" s="174" t="s">
        <v>1389</v>
      </c>
      <c r="C67" s="2568">
        <f ca="1">C63-C66</f>
        <v>227</v>
      </c>
      <c r="D67" s="170" t="s">
        <v>26</v>
      </c>
      <c r="E67" s="172"/>
      <c r="F67" s="1808"/>
      <c r="G67" s="1808"/>
      <c r="H67" s="1810"/>
      <c r="I67" s="129"/>
      <c r="J67" s="3584"/>
      <c r="K67" s="1332" t="s">
        <v>1390</v>
      </c>
      <c r="L67" s="1332">
        <f ca="1">IF(M49&gt;=10000,(8.25+(M49-10000)*0.01%),IF(AND(M49&gt;=8000,M49&lt;10000),(7.85+(M49-8000)*0.02%),IF(AND(M49&gt;=5000,M49&lt;8000),(6.65+(M49-5000)*0.04%),IF(AND(M49&gt;=2000,M49&lt;5000),(4.25+(PM49-2000)*0.08%),IF(AND(M49&gt;=1000,M49&lt;2000),(2.75+(M49-1000)*0.15%),IF(AND(M49&gt;=100,M49&lt;1000),(0.5+(M49-100)*0.25%),IF(AND(M49&gt;0,M49&lt;100),M49*0.5%)))))))</f>
        <v>0.84499999999999997</v>
      </c>
      <c r="M67" s="302">
        <f ca="1">ROUND(L67*0.9,1)</f>
        <v>0.8</v>
      </c>
      <c r="N67" s="2543"/>
      <c r="Z67" s="1752"/>
      <c r="AI67" s="1753"/>
    </row>
    <row r="68" spans="1:35" ht="14.25" customHeight="1" thickBot="1">
      <c r="A68" s="176" t="s">
        <v>329</v>
      </c>
      <c r="B68" s="177" t="s">
        <v>1391</v>
      </c>
      <c r="C68" s="2569">
        <f ca="1">IF(C67&lt;=0,0,ROUND(C67*D68,2))</f>
        <v>12.49</v>
      </c>
      <c r="D68" s="2570">
        <f>'数据-取费表'!B41</f>
        <v>5.5000000000000007E-2</v>
      </c>
      <c r="E68" s="178"/>
      <c r="F68" s="1808"/>
      <c r="G68" s="1808"/>
      <c r="H68" s="1810"/>
      <c r="I68" s="129"/>
      <c r="J68" s="3584"/>
      <c r="K68" s="1332" t="s">
        <v>1392</v>
      </c>
      <c r="L68" s="1332">
        <f ca="1">IF(M49&gt;10000,M49*0.5%,IF(AND(M49&gt;5000,M49&lt;=10000),M49*1%,IF(AND(M49&gt;1000,M49&lt;=5000),M49*2%,IF(AND(M49&gt;200,M49&lt;=1000),M49*3%,M49*5%))))</f>
        <v>7.14</v>
      </c>
      <c r="M68" s="302">
        <f ca="1">ROUND(L68,1)</f>
        <v>7.1</v>
      </c>
      <c r="N68" s="2543"/>
      <c r="Z68" s="1752"/>
      <c r="AI68" s="1753"/>
    </row>
    <row r="69" spans="1:35" s="1772" customFormat="1" ht="16.5" customHeight="1">
      <c r="A69" s="1811"/>
      <c r="B69" s="1812"/>
      <c r="C69" s="1813"/>
      <c r="D69" s="1814"/>
      <c r="E69" s="1815"/>
      <c r="F69" s="1578"/>
      <c r="G69" s="1578"/>
      <c r="H69" s="1577"/>
      <c r="I69" s="1747"/>
      <c r="J69" s="3584"/>
      <c r="K69" s="1332" t="s">
        <v>1393</v>
      </c>
      <c r="L69" s="1332"/>
      <c r="M69" s="302">
        <f ca="1">ROUND(SUM(M63:M68),0)</f>
        <v>20</v>
      </c>
      <c r="N69" s="2545">
        <f ca="1">M69/M49</f>
        <v>8.4033613445378158E-2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1394</v>
      </c>
      <c r="B70" s="3629"/>
      <c r="C70" s="3629"/>
      <c r="D70" s="3629"/>
      <c r="E70" s="3629"/>
      <c r="F70" s="3629"/>
      <c r="G70" s="3629"/>
      <c r="H70" s="362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0" t="s">
        <v>1375</v>
      </c>
      <c r="B71" s="362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t="s">
        <v>3493</v>
      </c>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5" t="s">
        <v>1402</v>
      </c>
      <c r="F76" s="3624"/>
      <c r="G76" s="3624"/>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617" t="s">
        <v>1406</v>
      </c>
      <c r="F78" s="3618"/>
      <c r="G78" s="3618"/>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6" t="s">
        <v>2129</v>
      </c>
      <c r="H90" s="358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7" t="s">
        <v>1422</v>
      </c>
      <c r="F92" s="3618"/>
      <c r="G92" s="3618"/>
      <c r="H92" s="361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617" t="s">
        <v>1406</v>
      </c>
      <c r="F93" s="3618"/>
      <c r="G93" s="3618"/>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2" t="s">
        <v>1426</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85" t="str">
        <f>C4</f>
        <v>比较法-办公</v>
      </c>
      <c r="D101" s="2586" t="str">
        <f>D4</f>
        <v>收益法 (元)</v>
      </c>
      <c r="E101" s="3580" t="s">
        <v>1431</v>
      </c>
      <c r="F101" s="3581"/>
      <c r="G101" s="1827" t="s">
        <v>1432</v>
      </c>
      <c r="H101" s="2595">
        <f ca="1">H118</f>
        <v>238</v>
      </c>
      <c r="I101" s="129"/>
    </row>
    <row r="102" spans="1:35" ht="18.75" customHeight="1">
      <c r="A102" s="3612" t="s">
        <v>1433</v>
      </c>
      <c r="B102" s="2584" t="s">
        <v>1432</v>
      </c>
      <c r="C102" s="2585">
        <f ca="1">IF(D32="楼面单价",ROUND(C19,0),C19)</f>
        <v>232</v>
      </c>
      <c r="D102" s="2586">
        <f ca="1">IF(D32="楼面单价",ROUND(D19,0),D19)</f>
        <v>244</v>
      </c>
      <c r="E102" s="3580"/>
      <c r="F102" s="3581"/>
      <c r="G102" s="1827" t="s">
        <v>1434</v>
      </c>
      <c r="H102" s="2555">
        <f ca="1">I118</f>
        <v>15443</v>
      </c>
      <c r="I102" s="129"/>
    </row>
    <row r="103" spans="1:35" ht="42.75" customHeight="1">
      <c r="A103" s="3612"/>
      <c r="B103" s="2584" t="s">
        <v>1434</v>
      </c>
      <c r="C103" s="2587">
        <f ca="1">C20</f>
        <v>15052</v>
      </c>
      <c r="D103" s="2588">
        <f ca="1">D20</f>
        <v>15833</v>
      </c>
      <c r="E103" s="3573" t="s">
        <v>1435</v>
      </c>
      <c r="F103" s="3574"/>
      <c r="G103" s="1828" t="s">
        <v>1436</v>
      </c>
      <c r="H103" s="2595">
        <f>IF(D36="正常操作",H104+H105+H106,H105+H106)</f>
        <v>0</v>
      </c>
      <c r="I103" s="129"/>
    </row>
    <row r="104" spans="1:35" ht="18.75" customHeight="1">
      <c r="A104" s="3612" t="s">
        <v>1437</v>
      </c>
      <c r="B104" s="2589" t="s">
        <v>1432</v>
      </c>
      <c r="C104" s="2590">
        <f ca="1">H118</f>
        <v>238</v>
      </c>
      <c r="D104" s="2591"/>
      <c r="E104" s="1674" t="s">
        <v>1438</v>
      </c>
      <c r="F104" s="1666"/>
      <c r="G104" s="1828" t="s">
        <v>1436</v>
      </c>
      <c r="H104" s="2596">
        <f>IF(D36="同一抵押权人同一抵押物续贷",C36&amp;"（续贷，未扣减，详见特别提示）",C36)</f>
        <v>0</v>
      </c>
      <c r="I104" s="129"/>
    </row>
    <row r="105" spans="1:35" ht="18.75" customHeight="1" thickBot="1">
      <c r="A105" s="3622"/>
      <c r="B105" s="2592" t="s">
        <v>1434</v>
      </c>
      <c r="C105" s="2593">
        <f ca="1">I118</f>
        <v>15443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581"/>
      <c r="G107" s="1827" t="s">
        <v>1432</v>
      </c>
      <c r="H107" s="2595">
        <f ca="1">IF(E107="——","——",H101-H103)</f>
        <v>238</v>
      </c>
      <c r="I107" s="129"/>
    </row>
    <row r="108" spans="1:35" ht="18.75" customHeight="1">
      <c r="A108" s="129"/>
      <c r="B108" s="129"/>
      <c r="C108" s="129"/>
      <c r="D108" s="129"/>
      <c r="E108" s="3613"/>
      <c r="F108" s="3581"/>
      <c r="G108" s="1827" t="s">
        <v>1434</v>
      </c>
      <c r="H108" s="2555">
        <f ca="1">IF(H107=H101,H102,ROUND(H107*10000/'数据-汇总表'!E3,0))</f>
        <v>15443</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613"/>
      <c r="F110" s="3581"/>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623" t="s">
        <v>1440</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北京市顺义区金航西路4号院1号楼3层314办公用房房地产</v>
      </c>
      <c r="B118" s="2329">
        <f>M18</f>
        <v>154.24</v>
      </c>
      <c r="C118" s="2329">
        <f>M19</f>
        <v>0</v>
      </c>
      <c r="D118" s="2329">
        <f ca="1">ROUND(IF(D32="总价",C34,E118*B118/10000),0)</f>
        <v>129</v>
      </c>
      <c r="E118" s="2329">
        <f ca="1">ROUND(IF(C33="自定义",IF(D32="楼面单价",C34,D118*10000/B118),I118-G118),0)</f>
        <v>8339</v>
      </c>
      <c r="F118" s="2329">
        <f ca="1">ROUND(IF(D32="总价",C35,G118*B118/10000),0)</f>
        <v>110</v>
      </c>
      <c r="G118" s="2329">
        <f ca="1">ROUND(IF(D32="楼面单价",C35,F118*10000/B118),0)</f>
        <v>7104</v>
      </c>
      <c r="H118" s="2329">
        <f ca="1">ROUND(IF(D32="总价",C32,I118*B118/10000),0)</f>
        <v>238</v>
      </c>
      <c r="I118" s="2329">
        <f ca="1">ROUND(IF(D32="楼面单价",C32,H118*10000/B118),0)</f>
        <v>15443</v>
      </c>
    </row>
    <row r="119" spans="1:27" ht="18.75" customHeight="1">
      <c r="A119" s="3588" t="s">
        <v>1452</v>
      </c>
      <c r="B119" s="3588"/>
      <c r="C119" s="3588"/>
      <c r="D119" s="3594" t="str">
        <f ca="1">NUMBERSTRING(INT(D118*10000),2)&amp;"元整"</f>
        <v>壹佰贰拾玖万元整</v>
      </c>
      <c r="E119" s="3595"/>
      <c r="F119" s="3594" t="str">
        <f ca="1">NUMBERSTRING(INT(F118*10000),2)&amp;"元整"</f>
        <v>壹佰壹拾万元整</v>
      </c>
      <c r="G119" s="3595"/>
      <c r="H119" s="3594" t="str">
        <f ca="1">NUMBERSTRING(INT(H118*10000),2)&amp;"元整"</f>
        <v>贰佰叁拾捌万元整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6"/>
      <c r="C121" s="3595"/>
      <c r="D121" s="3594" t="str">
        <f>IF(D120=0,"零元整",NUMBERSTRING(INT(D120*10000),2)&amp;"元整")</f>
        <v>零元整</v>
      </c>
      <c r="E121" s="3596"/>
      <c r="F121" s="3596"/>
      <c r="G121" s="3596"/>
      <c r="H121" s="3596"/>
      <c r="I121" s="3595"/>
      <c r="AA121" s="725"/>
    </row>
    <row r="122" spans="1:27" ht="18.75" customHeight="1">
      <c r="A122" s="3600" t="str">
        <f>IF(项目基本情况!B9="房地产市场价值","",MID(E107,3,LEN(E107)-2))</f>
        <v>房地产抵押价值</v>
      </c>
      <c r="B122" s="3600"/>
      <c r="C122" s="3600"/>
      <c r="D122" s="3589">
        <f ca="1">H107</f>
        <v>238</v>
      </c>
      <c r="E122" s="3590"/>
      <c r="F122" s="3590"/>
      <c r="G122" s="3590"/>
      <c r="H122" s="3590"/>
      <c r="I122" s="3591"/>
      <c r="AA122" s="725"/>
    </row>
    <row r="123" spans="1:27" ht="18.75" customHeight="1">
      <c r="A123" s="3588" t="s">
        <v>1452</v>
      </c>
      <c r="B123" s="3588"/>
      <c r="C123" s="3588"/>
      <c r="D123" s="3594" t="str">
        <f ca="1">NUMBERSTRING(INT(D122*10000),2)&amp;"元整"</f>
        <v>贰佰叁拾捌万元整</v>
      </c>
      <c r="E123" s="3596"/>
      <c r="F123" s="3596"/>
      <c r="G123" s="3596"/>
      <c r="H123" s="3596"/>
      <c r="I123" s="3595"/>
      <c r="AA123" s="725"/>
    </row>
    <row r="124" spans="1:27" ht="18.75" customHeight="1">
      <c r="A124" s="3600" t="str">
        <f>IF(项目基本情况!B9="房地产市场价值","",MID(E109,3,LEN(E109)-2))</f>
        <v/>
      </c>
      <c r="B124" s="3600"/>
      <c r="C124" s="3600"/>
      <c r="D124" s="3589" t="str">
        <f>H109</f>
        <v>——</v>
      </c>
      <c r="E124" s="3590"/>
      <c r="F124" s="3590"/>
      <c r="G124" s="3590"/>
      <c r="H124" s="3590"/>
      <c r="I124" s="3591"/>
      <c r="AA124" s="725"/>
    </row>
    <row r="125" spans="1:27" ht="18.75" customHeight="1">
      <c r="A125" s="3588" t="s">
        <v>1452</v>
      </c>
      <c r="B125" s="3588"/>
      <c r="C125" s="3588"/>
      <c r="D125" s="3594" t="e">
        <f>NUMBERSTRING(INT(D124*10000),2)&amp;"元整"</f>
        <v>#VALUE!</v>
      </c>
      <c r="E125" s="3596"/>
      <c r="F125" s="3596"/>
      <c r="G125" s="3596"/>
      <c r="H125" s="3596"/>
      <c r="I125" s="3595"/>
      <c r="AA125" s="725"/>
    </row>
    <row r="126" spans="1:27" ht="18.75" customHeight="1">
      <c r="A126" s="3600" t="str">
        <f>IF(项目基本情况!B9="房地产市场价值","",MID(E111,3,LEN(E111)-2))</f>
        <v/>
      </c>
      <c r="B126" s="3600"/>
      <c r="C126" s="3600"/>
      <c r="D126" s="3589" t="str">
        <f>H111</f>
        <v>——</v>
      </c>
      <c r="E126" s="3590"/>
      <c r="F126" s="3590"/>
      <c r="G126" s="3590"/>
      <c r="H126" s="3590"/>
      <c r="I126" s="3591"/>
      <c r="AA126" s="725"/>
    </row>
    <row r="127" spans="1:27" ht="18.75" customHeight="1">
      <c r="A127" s="3588" t="s">
        <v>1452</v>
      </c>
      <c r="B127" s="3588"/>
      <c r="C127" s="3588"/>
      <c r="D127" s="3594" t="e">
        <f>NUMBERSTRING(INT(D126*10000),2)&amp;"元整"</f>
        <v>#VALUE!</v>
      </c>
      <c r="E127" s="3596"/>
      <c r="F127" s="3596"/>
      <c r="G127" s="3596"/>
      <c r="H127" s="3596"/>
      <c r="I127" s="3595"/>
      <c r="AA127" s="725"/>
    </row>
    <row r="128" spans="1:27" ht="21.75" customHeight="1">
      <c r="A128" s="3597" t="s">
        <v>1453</v>
      </c>
      <c r="B128" s="3597"/>
      <c r="C128" s="3597"/>
      <c r="D128" s="3597"/>
      <c r="E128" s="3597"/>
      <c r="F128" s="3597"/>
      <c r="G128" s="3597"/>
      <c r="H128" s="3597"/>
      <c r="I128" s="35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154.24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154.24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62</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154.24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11</v>
      </c>
      <c r="D45" s="235">
        <f ca="1">C47</f>
        <v>3.0000000000000001E-3</v>
      </c>
      <c r="E45" s="236" t="s">
        <v>1539</v>
      </c>
      <c r="F45" s="246">
        <f ca="1">F27</f>
        <v>0.15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90</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77</v>
      </c>
      <c r="D51" s="232"/>
      <c r="E51" s="232"/>
      <c r="F51" s="264"/>
      <c r="G51" s="234" t="s">
        <v>1560</v>
      </c>
    </row>
    <row r="52" spans="1:7" s="208" customFormat="1" ht="16.5" thickBot="1">
      <c r="A52" s="265" t="s">
        <v>1561</v>
      </c>
      <c r="B52" s="266"/>
      <c r="C52" s="267">
        <f ca="1">C31+C51</f>
        <v>80</v>
      </c>
      <c r="D52" s="266"/>
      <c r="E52" s="266"/>
      <c r="F52" s="266"/>
      <c r="G52" s="268"/>
    </row>
    <row r="55" spans="1:7" ht="15">
      <c r="B55" s="270" t="s">
        <v>1562</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北京市顺义区金航西路4号院1号楼3层314办公用房房地产抵押价值预评估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258.82709999999997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16781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1361847.76</v>
      </c>
      <c r="D5" s="211" t="s">
        <v>1469</v>
      </c>
      <c r="E5" s="212" t="s">
        <v>1470</v>
      </c>
      <c r="F5" s="212" t="s">
        <v>1471</v>
      </c>
      <c r="G5" s="213"/>
    </row>
    <row r="6" spans="1:8" s="214" customFormat="1" ht="13.5" customHeight="1">
      <c r="A6" s="778" t="s">
        <v>1472</v>
      </c>
      <c r="B6" s="215" t="s">
        <v>1473</v>
      </c>
      <c r="C6" s="216">
        <f ca="1">基准地价修正!C33*'成本法 (元)'!D10</f>
        <v>1291605.76</v>
      </c>
      <c r="D6" s="217"/>
      <c r="E6" s="218"/>
      <c r="F6" s="218"/>
      <c r="G6" s="219"/>
    </row>
    <row r="7" spans="1:8" s="214" customFormat="1" ht="13.5" customHeight="1">
      <c r="A7" s="778" t="s">
        <v>1474</v>
      </c>
      <c r="B7" s="215" t="s">
        <v>1475</v>
      </c>
      <c r="C7" s="220">
        <f ca="1">ROUND(C6*F7,0)</f>
        <v>39394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30848</v>
      </c>
      <c r="D8" s="222"/>
      <c r="E8" s="220"/>
      <c r="F8" s="221"/>
      <c r="G8" s="1856" t="s">
        <v>3488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30848</v>
      </c>
      <c r="D10" s="845">
        <f ca="1">IF(B1="",'数据-汇总表'!E6,IF(INDIRECT("'数据-取费表'!c"&amp;$G$1)="住宅",INDIRECT("'数据-取费表'!s"&amp;$G$1),INDIRECT("'数据-取费表'!k"&amp;$G$1)+INDIRECT("'数据-取费表'!s"&amp;$G$1)))</f>
        <v>154.24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154.24</v>
      </c>
      <c r="E19" s="211">
        <f>'数据-取费表'!B31</f>
        <v>200</v>
      </c>
      <c r="F19" s="231"/>
      <c r="G19" s="1856" t="s">
        <v>3489</v>
      </c>
    </row>
    <row r="20" spans="1:7" s="214" customFormat="1" ht="13.5" customHeight="1">
      <c r="A20" s="255" t="s">
        <v>1574</v>
      </c>
      <c r="B20" s="210" t="s">
        <v>1575</v>
      </c>
      <c r="C20" s="232">
        <f ca="1">ROUND((C5+C19)*F20,0)</f>
        <v>27237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86587</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85743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844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208363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208363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1822548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690995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616960</v>
      </c>
      <c r="D34" s="217"/>
      <c r="E34" s="220"/>
      <c r="F34" s="257"/>
      <c r="G34" s="219"/>
    </row>
    <row r="35" spans="1:7" ht="13.5" customHeight="1">
      <c r="A35" s="780" t="s">
        <v>351</v>
      </c>
      <c r="B35" s="215" t="s">
        <v>1527</v>
      </c>
      <c r="C35" s="220">
        <f ca="1">ROUND(C34*F35,0)</f>
        <v>30848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30848</v>
      </c>
      <c r="D37" s="217">
        <f ca="1">D19</f>
        <v>154.24</v>
      </c>
      <c r="E37" s="249">
        <f>'数据-取费表'!B35</f>
        <v>200</v>
      </c>
      <c r="F37" s="259"/>
      <c r="G37" s="261"/>
    </row>
    <row r="38" spans="1:7" ht="13.5" customHeight="1">
      <c r="A38" s="780" t="s">
        <v>354</v>
      </c>
      <c r="B38" s="215" t="s">
        <v>1533</v>
      </c>
      <c r="C38" s="220">
        <f ca="1">ROUND(C34*F38,0)</f>
        <v>12339</v>
      </c>
      <c r="D38" s="220"/>
      <c r="E38" s="220"/>
      <c r="F38" s="259">
        <f>'数据-取费表'!B36</f>
        <v>0.02</v>
      </c>
      <c r="G38" s="219" t="s">
        <v>1528</v>
      </c>
    </row>
    <row r="39" spans="1:7" s="214" customFormat="1" ht="13.5" customHeight="1">
      <c r="A39" s="255" t="s">
        <v>1534</v>
      </c>
      <c r="B39" s="210" t="s">
        <v>1535</v>
      </c>
      <c r="C39" s="232">
        <f ca="1">ROUND(C33*F20,0)</f>
        <v>13820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21849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21421</v>
      </c>
      <c r="D42" s="238"/>
      <c r="E42" s="238"/>
      <c r="F42" s="239"/>
      <c r="G42" s="3667" t="s">
        <v>1591</v>
      </c>
    </row>
    <row r="43" spans="1:7" ht="13.5" customHeight="1">
      <c r="A43" s="780" t="s">
        <v>347</v>
      </c>
      <c r="B43" s="215" t="s">
        <v>1545</v>
      </c>
      <c r="C43" s="238">
        <f ca="1">ROUND(IF('数据-取费表'!B22&lt;=1,C39*F22*'数据-取费表'!B20/2,C39*(POWER((1+F22),'数据-取费表'!B20/2)-1)),0)</f>
        <v>428</v>
      </c>
      <c r="D43" s="238"/>
      <c r="E43" s="238"/>
      <c r="F43" s="239"/>
      <c r="G43" s="3668"/>
    </row>
    <row r="44" spans="1:7" ht="13.5" customHeight="1">
      <c r="A44" s="780"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105722</v>
      </c>
      <c r="D45" s="235">
        <f ca="1">C47</f>
        <v>3.0000000000000001E-3</v>
      </c>
      <c r="E45" s="236" t="s">
        <v>1539</v>
      </c>
      <c r="F45" s="246">
        <f ca="1">F27</f>
        <v>0.15</v>
      </c>
      <c r="G45" s="247" t="s">
        <v>1548</v>
      </c>
    </row>
    <row r="46" spans="1:7" s="214" customFormat="1" ht="13.5" customHeight="1">
      <c r="A46" s="780" t="s">
        <v>346</v>
      </c>
      <c r="B46" s="248" t="s">
        <v>1549</v>
      </c>
      <c r="C46" s="249">
        <f ca="1">ROUND((C33+C39)*F27,0)</f>
        <v>105722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900851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765723</v>
      </c>
      <c r="D51" s="232"/>
      <c r="E51" s="232"/>
      <c r="F51" s="264"/>
      <c r="G51" s="234" t="s">
        <v>1560</v>
      </c>
    </row>
    <row r="52" spans="1:7" s="208" customFormat="1" ht="16.5" thickBot="1">
      <c r="A52" s="265" t="s">
        <v>1561</v>
      </c>
      <c r="B52" s="266"/>
      <c r="C52" s="267">
        <f ca="1">C31+C51</f>
        <v>2588271</v>
      </c>
      <c r="D52" s="266"/>
      <c r="E52" s="266"/>
      <c r="F52" s="266"/>
      <c r="G52" s="268"/>
    </row>
    <row r="55" spans="1:7" ht="15">
      <c r="B55" s="270" t="s">
        <v>1562</v>
      </c>
      <c r="C55" s="271"/>
    </row>
    <row r="56" spans="1:7">
      <c r="B56" s="273" t="s">
        <v>802</v>
      </c>
      <c r="C56" s="275">
        <f ca="1">1-C57</f>
        <v>0.70399999999999996</v>
      </c>
    </row>
    <row r="57" spans="1:7">
      <c r="B57" s="273" t="s">
        <v>803</v>
      </c>
      <c r="C57" s="274">
        <f ca="1">ROUND(C51/C52,3)</f>
        <v>0.29599999999999999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-195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154.24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154.24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154.24</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154.24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129</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12578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8364</v>
      </c>
      <c r="C3" s="1999" t="s">
        <v>1941</v>
      </c>
      <c r="D3" s="2000" t="s">
        <v>1942</v>
      </c>
      <c r="E3" s="3420" t="s">
        <v>3475</v>
      </c>
      <c r="F3" s="2004" t="s">
        <v>3476</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9914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82"/>
      <c r="B4" s="3683"/>
      <c r="C4" s="3683"/>
      <c r="D4" s="3684"/>
      <c r="E4" s="3684"/>
      <c r="F4" s="3684"/>
      <c r="G4" s="3684"/>
      <c r="H4" s="3684"/>
      <c r="I4" s="3684"/>
      <c r="J4" s="368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8379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8684</v>
      </c>
      <c r="D5" s="1339">
        <f>ROUND(C6*C17+C20,0)</f>
        <v>8684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7390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7102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3477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9" t="s">
        <v>1960</v>
      </c>
      <c r="X8" s="368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1"/>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6" t="s">
        <v>3254</v>
      </c>
      <c r="B20" s="167" t="s">
        <v>1994</v>
      </c>
      <c r="C20" s="3325">
        <f>ROUND(IF(F21="与级别开发程度一致",0,(G21-E21)/C21),0)</f>
        <v>-16</v>
      </c>
      <c r="D20" s="3341" t="s">
        <v>1998</v>
      </c>
      <c r="E20" s="3342"/>
      <c r="F20" s="3692" t="s">
        <v>1995</v>
      </c>
      <c r="G20" s="3693"/>
      <c r="H20" s="3326" t="s">
        <v>3479</v>
      </c>
      <c r="I20" s="3326" t="s">
        <v>3480</v>
      </c>
      <c r="J20" s="3327" t="s">
        <v>3481</v>
      </c>
      <c r="K20" s="2047" t="s">
        <v>3482</v>
      </c>
      <c r="L20" s="2047" t="s">
        <v>3483</v>
      </c>
      <c r="M20" s="2047" t="s">
        <v>3484</v>
      </c>
      <c r="N20" s="2047" t="s">
        <v>3485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2054" t="s">
        <v>2002</v>
      </c>
      <c r="E23" s="761">
        <v>44197</v>
      </c>
      <c r="F23" s="2054" t="s">
        <v>2003</v>
      </c>
      <c r="G23" s="762">
        <f>'数据-取费表'!B2</f>
        <v>45769</v>
      </c>
      <c r="H23" s="3343" t="s">
        <v>3255</v>
      </c>
      <c r="I23" s="3344" t="str">
        <f>IF(H23="季度增幅（自定义）",SUMIF(N25:N28,E2,O25:O28),"")</f>
        <v/>
      </c>
      <c r="J23" s="3446" t="s">
        <v>3486</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0.93630000000000002</v>
      </c>
      <c r="D24" s="2060" t="s">
        <v>2007</v>
      </c>
      <c r="E24" s="1335">
        <f>存贷款利率!E27/100</f>
        <v>4.3499999999999997E-2</v>
      </c>
      <c r="F24" s="2060" t="s">
        <v>1999</v>
      </c>
      <c r="G24" s="768">
        <f>SUMIF(M30:Q30,E2,M33:Q33)</f>
        <v>5.5E-2</v>
      </c>
      <c r="H24" s="2060" t="s">
        <v>2008</v>
      </c>
      <c r="I24" s="769">
        <f>SUMIF('数据-取费表'!C6:C15,E2,'数据-取费表'!F6:F15)/COUNTIF('数据-取费表'!C6:C15,E2)</f>
        <v>38.380000000000003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129</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8374</v>
      </c>
      <c r="D33" s="2098">
        <f>'数据-基础表'!I13</f>
        <v>154.24</v>
      </c>
      <c r="E33" s="773">
        <f>ROUND(C33*D33/10000,0)</f>
        <v>129</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2094</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0"/>
      <c r="B37" s="2113" t="s">
        <v>2036</v>
      </c>
      <c r="C37" s="175">
        <f>ROUND(D5*C22*C23*C24*C28*F37,0)</f>
        <v>5025</v>
      </c>
      <c r="D37" s="2098"/>
      <c r="E37" s="171">
        <f>ROUND(C37*D37/10000,0)</f>
        <v>0</v>
      </c>
      <c r="F37" s="171">
        <f>SUMIF(修正!A57:A68,G2,修正!B57:B68)</f>
        <v>0.6</v>
      </c>
      <c r="G37" s="171">
        <f>ROUND(IF(E2="工业",C37*$M$42,C37*$M$41),0)</f>
        <v>1256</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1"/>
      <c r="B38" s="2041" t="s">
        <v>2037</v>
      </c>
      <c r="C38" s="175">
        <f>ROUND(D5*C22*C23*C24*C28*F38,0)</f>
        <v>2512</v>
      </c>
      <c r="D38" s="2098"/>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91"/>
      <c r="B39" s="2041" t="s">
        <v>3258</v>
      </c>
      <c r="C39" s="175">
        <f>ROUND(D5*C22*C23*C24*C28*F39,0)</f>
        <v>2094</v>
      </c>
      <c r="D39" s="2098"/>
      <c r="E39" s="171">
        <f t="shared" si="4"/>
        <v>0</v>
      </c>
      <c r="F39" s="171">
        <f>SUMIF(修正!A57:A68,G2,修正!D57:D68)</f>
        <v>0.25</v>
      </c>
      <c r="G39" s="171">
        <f>ROUND(IF(E2="工业",C39*$M$42,C39*$M$41),0)</f>
        <v>524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2094</v>
      </c>
      <c r="D40" s="2098"/>
      <c r="E40" s="171">
        <f t="shared" si="4"/>
        <v>0</v>
      </c>
      <c r="F40" s="175">
        <f>SUMIF(修正!A57:A68,G2,修正!E57:E68)</f>
        <v>0.25</v>
      </c>
      <c r="G40" s="171">
        <f>ROUND(IF(E2="工业",C40*$M$42,C40*$M$41),0)</f>
        <v>524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1.0226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3473</v>
      </c>
      <c r="D61" s="1065">
        <f t="shared" ref="D61:D69" si="12">SUMIF($J$60:$N$60,C61,J61:N61)</f>
        <v>0</v>
      </c>
      <c r="E61" s="744">
        <f>ROUND(SUM(D61:D69),4)</f>
        <v>2.2599999999999999E-2</v>
      </c>
      <c r="F61" s="1814">
        <f>IF(E2="办公",SUMIF(L1:L12,G2,N1:N12),"——")</f>
        <v>0.13</v>
      </c>
      <c r="G61" s="1063">
        <f>H61</f>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3473</v>
      </c>
      <c r="D62" s="1065">
        <f t="shared" si="12"/>
        <v>0</v>
      </c>
      <c r="E62" s="745"/>
      <c r="F62" s="1814"/>
      <c r="G62" s="1063">
        <f t="shared" ref="G62:G69" si="17">H62</f>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t="s">
        <v>3474</v>
      </c>
      <c r="D63" s="1065">
        <f t="shared" si="12"/>
        <v>7.1000000000000004E-3</v>
      </c>
      <c r="E63" s="745"/>
      <c r="F63" s="1814"/>
      <c r="G63" s="1063">
        <f t="shared" si="17"/>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3474</v>
      </c>
      <c r="D64" s="1065">
        <f t="shared" si="12"/>
        <v>3.2000000000000002E-3</v>
      </c>
      <c r="E64" s="745"/>
      <c r="F64" s="1814"/>
      <c r="G64" s="1063">
        <f t="shared" si="17"/>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3487</v>
      </c>
      <c r="D65" s="1065">
        <f t="shared" si="12"/>
        <v>-3.2000000000000002E-3</v>
      </c>
      <c r="E65" s="745"/>
      <c r="F65" s="1814"/>
      <c r="G65" s="1063">
        <f t="shared" si="17"/>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3474</v>
      </c>
      <c r="D66" s="1065">
        <f t="shared" si="12"/>
        <v>3.8999999999999998E-3</v>
      </c>
      <c r="E66" s="745"/>
      <c r="F66" s="1814"/>
      <c r="G66" s="1063">
        <f t="shared" si="17"/>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3473</v>
      </c>
      <c r="D67" s="1065">
        <f t="shared" si="12"/>
        <v>0</v>
      </c>
      <c r="E67" s="745"/>
      <c r="F67" s="1814"/>
      <c r="G67" s="1063">
        <f t="shared" si="17"/>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3483" t="s">
        <v>3497</v>
      </c>
      <c r="D68" s="1065">
        <f t="shared" si="12"/>
        <v>1.1599999999999999E-2</v>
      </c>
      <c r="E68" s="745"/>
      <c r="F68" s="1814"/>
      <c r="G68" s="1063">
        <f t="shared" si="17"/>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3473</v>
      </c>
      <c r="D69" s="1065">
        <f t="shared" si="12"/>
        <v>0</v>
      </c>
      <c r="E69" s="746"/>
      <c r="F69" s="1814"/>
      <c r="G69" s="1063">
        <f t="shared" si="17"/>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3269</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88" t="s">
        <v>3293</v>
      </c>
      <c r="B103" s="3688"/>
      <c r="C103" s="3688"/>
      <c r="D103" s="3688"/>
      <c r="E103" s="3688"/>
      <c r="F103" s="3688"/>
      <c r="G103" s="3688"/>
      <c r="H103" s="3688"/>
      <c r="I103" s="3688"/>
      <c r="J103" s="3688"/>
      <c r="K103" s="3390"/>
      <c r="L103" s="3390"/>
      <c r="M103" s="3390"/>
      <c r="N103" s="3390"/>
    </row>
    <row r="104" spans="1:14">
      <c r="A104" s="3689" t="s">
        <v>3294</v>
      </c>
      <c r="B104" s="3689" t="s">
        <v>3295</v>
      </c>
      <c r="C104" s="3391" t="s">
        <v>3296</v>
      </c>
      <c r="D104" s="3392"/>
      <c r="E104" s="3392"/>
      <c r="F104" s="3392"/>
      <c r="G104" s="3392"/>
      <c r="H104" s="3392"/>
      <c r="I104" s="3392"/>
      <c r="J104" s="3393"/>
      <c r="K104" s="3394"/>
      <c r="L104" s="3394"/>
      <c r="M104" s="3394"/>
      <c r="N104" s="3394"/>
    </row>
    <row r="105" spans="1:14">
      <c r="A105" s="3689"/>
      <c r="B105" s="3689"/>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5"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6"/>
      <c r="B111" s="3395" t="s">
        <v>3267</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7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78" t="s">
        <v>3310</v>
      </c>
      <c r="B113" s="3678"/>
      <c r="C113" s="3678"/>
      <c r="D113" s="3678"/>
      <c r="E113" s="3678"/>
      <c r="F113" s="3678"/>
      <c r="G113" s="3678"/>
      <c r="H113" s="3678"/>
      <c r="I113" s="3678"/>
      <c r="J113" s="36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2.5</v>
      </c>
      <c r="C116" s="3400" t="s">
        <v>3312</v>
      </c>
      <c r="D116" s="3401">
        <f>SUMPRODUCT((A118:A122=F116)*(B117:M117=H116)*B118:M122)</f>
        <v>0.90600000000000003</v>
      </c>
      <c r="E116" s="2000" t="s">
        <v>3313</v>
      </c>
      <c r="F116" s="3402" t="str">
        <f>E2</f>
        <v>办公</v>
      </c>
      <c r="G116" s="2000" t="s">
        <v>3314</v>
      </c>
      <c r="H116" s="3402" t="str">
        <f>G2</f>
        <v>七级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3329</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3438</v>
      </c>
      <c r="F1" s="1879" t="s">
        <v>3433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232.16200000000001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15052</v>
      </c>
      <c r="C3" s="354" t="s">
        <v>1768</v>
      </c>
      <c r="D3" s="353">
        <f>IF(D1="",'数据-汇总表'!E3,SUMIF('数据-汇总表'!$C19:$C33,D1,'数据-汇总表'!$E19:$E33))</f>
        <v>154.24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699" t="s">
        <v>1771</v>
      </c>
      <c r="S4" s="3700"/>
      <c r="T4" s="3699" t="s">
        <v>1772</v>
      </c>
      <c r="U4" s="3700"/>
      <c r="V4" s="3725" t="s">
        <v>1773</v>
      </c>
      <c r="W4" s="3725"/>
      <c r="X4" s="1958"/>
      <c r="Y4" s="3699" t="s">
        <v>1775</v>
      </c>
      <c r="Z4" s="3700"/>
      <c r="AA4" s="3694" t="s">
        <v>1771</v>
      </c>
      <c r="AB4" s="3694" t="s">
        <v>1772</v>
      </c>
      <c r="AC4" s="3710" t="s">
        <v>1773</v>
      </c>
    </row>
    <row r="5" spans="1:29" ht="15">
      <c r="A5" s="358"/>
      <c r="B5" s="359"/>
      <c r="C5" s="3703" t="s">
        <v>3439</v>
      </c>
      <c r="D5" s="3704"/>
      <c r="E5" s="3703" t="s">
        <v>3439</v>
      </c>
      <c r="F5" s="3704"/>
      <c r="G5" s="3703" t="s">
        <v>3439</v>
      </c>
      <c r="H5" s="3704"/>
      <c r="I5" s="3703" t="s">
        <v>3439</v>
      </c>
      <c r="J5" s="3704"/>
      <c r="K5" s="559"/>
      <c r="L5" s="2715"/>
      <c r="M5" s="2716"/>
      <c r="N5" s="2716"/>
      <c r="O5" s="2716"/>
      <c r="P5" s="3719"/>
      <c r="Q5" s="3720"/>
      <c r="R5" s="3701"/>
      <c r="S5" s="3702"/>
      <c r="T5" s="3701"/>
      <c r="U5" s="3702"/>
      <c r="V5" s="3726"/>
      <c r="W5" s="3726"/>
      <c r="X5" s="1355"/>
      <c r="Y5" s="3701"/>
      <c r="Z5" s="3702"/>
      <c r="AA5" s="3695"/>
      <c r="AB5" s="3695"/>
      <c r="AC5" s="3711"/>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21"/>
      <c r="Q6" s="3722"/>
      <c r="R6" s="3701"/>
      <c r="S6" s="3702"/>
      <c r="T6" s="3723"/>
      <c r="U6" s="3724"/>
      <c r="V6" s="3726"/>
      <c r="W6" s="3726"/>
      <c r="X6" s="1355"/>
      <c r="Y6" s="3723"/>
      <c r="Z6" s="3724"/>
      <c r="AA6" s="3696"/>
      <c r="AB6" s="3696"/>
      <c r="AC6" s="3712"/>
    </row>
    <row r="7" spans="1:29" s="108" customFormat="1" ht="15.75" thickBot="1">
      <c r="A7" s="362" t="s">
        <v>1679</v>
      </c>
      <c r="B7" s="363"/>
      <c r="C7" s="364">
        <f>'数据-取费表'!B2</f>
        <v>45769</v>
      </c>
      <c r="D7" s="365">
        <v>100</v>
      </c>
      <c r="E7" s="366">
        <f>C7</f>
        <v>45769</v>
      </c>
      <c r="F7" s="367">
        <f>SUMIF(59:59,YEAR(E7)&amp;"-"&amp;MONTH(E7),60:60)</f>
        <v>100</v>
      </c>
      <c r="G7" s="366">
        <f>C7</f>
        <v>45769</v>
      </c>
      <c r="H7" s="365">
        <f>SUMIF(59:59,YEAR(G7)&amp;"-"&amp;MONTH(G7),60:60)</f>
        <v>100</v>
      </c>
      <c r="I7" s="366">
        <f>C7</f>
        <v>45769</v>
      </c>
      <c r="J7" s="365">
        <f>SUMIF(59:59,YEAR(I7)&amp;"-"&amp;MONTH(I7),60:60)</f>
        <v>100</v>
      </c>
      <c r="K7" s="560"/>
      <c r="L7" s="2717"/>
      <c r="M7" s="2718"/>
      <c r="N7" s="2718"/>
      <c r="O7" s="2718"/>
      <c r="P7" s="3727" t="s">
        <v>1680</v>
      </c>
      <c r="Q7" s="3728"/>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1959">
        <f>D7/J7</f>
        <v>1</v>
      </c>
    </row>
    <row r="8" spans="1:29" s="108" customFormat="1" ht="15.75" thickBot="1">
      <c r="A8" s="362" t="s">
        <v>1681</v>
      </c>
      <c r="B8" s="363"/>
      <c r="C8" s="368" t="s">
        <v>3440</v>
      </c>
      <c r="D8" s="365">
        <v>100</v>
      </c>
      <c r="E8" s="368" t="s">
        <v>3447</v>
      </c>
      <c r="F8" s="367">
        <f>SUMIF(62:62,E8,63:63)-SUMIF(62:62,C8,63:63)+100</f>
        <v>102</v>
      </c>
      <c r="G8" s="368" t="s">
        <v>3447</v>
      </c>
      <c r="H8" s="365">
        <f>SUMIF(62:62,G8,63:63)-SUMIF(62:62,C8,63:63)+100</f>
        <v>102</v>
      </c>
      <c r="I8" s="368" t="s">
        <v>3447</v>
      </c>
      <c r="J8" s="365">
        <f>SUMIF(62:62,I8,63:63)-SUMIF(62:62,C8,63:63)+100</f>
        <v>102</v>
      </c>
      <c r="K8" s="560"/>
      <c r="L8" s="2717"/>
      <c r="M8" s="2718"/>
      <c r="N8" s="2718"/>
      <c r="O8" s="2718"/>
      <c r="P8" s="3727" t="s">
        <v>1683</v>
      </c>
      <c r="Q8" s="3698"/>
      <c r="R8" s="701" t="s">
        <v>14</v>
      </c>
      <c r="S8" s="702">
        <f t="shared" si="0"/>
        <v>102</v>
      </c>
      <c r="T8" s="701" t="s">
        <v>14</v>
      </c>
      <c r="U8" s="702">
        <f t="shared" si="1"/>
        <v>102</v>
      </c>
      <c r="V8" s="701" t="s">
        <v>14</v>
      </c>
      <c r="W8" s="702">
        <f t="shared" si="2"/>
        <v>102</v>
      </c>
      <c r="X8" s="703"/>
      <c r="Y8" s="3697" t="s">
        <v>1683</v>
      </c>
      <c r="Z8" s="3698"/>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8"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1959">
        <f t="shared" si="5"/>
        <v>1</v>
      </c>
    </row>
    <row r="10" spans="1:29" s="378" customFormat="1" ht="27">
      <c r="A10" s="374"/>
      <c r="B10" s="375" t="s">
        <v>1688</v>
      </c>
      <c r="C10" s="3434" t="str">
        <f>D66</f>
        <v>40（含）~30</v>
      </c>
      <c r="D10" s="127">
        <v>100</v>
      </c>
      <c r="E10" s="3434" t="str">
        <f>D66</f>
        <v>40（含）~30</v>
      </c>
      <c r="F10" s="127">
        <f>SUMIF(66:66,E10,67:67)-SUMIF(66:66,C10,67:67)+100</f>
        <v>100</v>
      </c>
      <c r="G10" s="3435" t="str">
        <f>D66</f>
        <v>40（含）~30</v>
      </c>
      <c r="H10" s="127">
        <f>SUMIF(66:66,G10,67:67)-SUMIF(66:66,C10,67:67)+100</f>
        <v>100</v>
      </c>
      <c r="I10" s="3434" t="str">
        <f>D66</f>
        <v>40（含）~30</v>
      </c>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29"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t="s">
        <v>3473</v>
      </c>
      <c r="D16" s="399"/>
      <c r="E16" s="1904" t="s">
        <v>3473</v>
      </c>
      <c r="F16" s="399"/>
      <c r="G16" s="1904" t="s">
        <v>3473</v>
      </c>
      <c r="H16" s="401"/>
      <c r="I16" s="1904" t="s">
        <v>3473</v>
      </c>
      <c r="J16" s="399"/>
      <c r="K16" s="564"/>
      <c r="L16" s="2722"/>
      <c r="M16" s="2716"/>
      <c r="N16" s="2716"/>
      <c r="O16" s="2716"/>
      <c r="P16" s="3730"/>
      <c r="Q16" s="1352"/>
      <c r="R16" s="705"/>
      <c r="S16" s="706"/>
      <c r="T16" s="705"/>
      <c r="U16" s="706"/>
      <c r="V16" s="705"/>
      <c r="W16" s="706"/>
      <c r="X16" s="1355"/>
      <c r="Y16" s="373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30"/>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t="s">
        <v>3473</v>
      </c>
      <c r="D18" s="401"/>
      <c r="E18" s="1964" t="s">
        <v>3473</v>
      </c>
      <c r="F18" s="401"/>
      <c r="G18" s="1964" t="s">
        <v>3473</v>
      </c>
      <c r="H18" s="399"/>
      <c r="I18" s="1964" t="s">
        <v>3473</v>
      </c>
      <c r="J18" s="399"/>
      <c r="K18" s="564"/>
      <c r="L18" s="2722"/>
      <c r="M18" s="2716"/>
      <c r="N18" s="2716"/>
      <c r="O18" s="2716"/>
      <c r="P18" s="3730"/>
      <c r="Q18" s="1352"/>
      <c r="R18" s="705"/>
      <c r="S18" s="706"/>
      <c r="T18" s="705"/>
      <c r="U18" s="706"/>
      <c r="V18" s="705"/>
      <c r="W18" s="706"/>
      <c r="X18" s="1355"/>
      <c r="Y18" s="373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t="s">
        <v>3473</v>
      </c>
      <c r="D20" s="399"/>
      <c r="E20" s="1904" t="s">
        <v>3473</v>
      </c>
      <c r="F20" s="399"/>
      <c r="G20" s="1904" t="s">
        <v>3473</v>
      </c>
      <c r="H20" s="399"/>
      <c r="I20" s="1904" t="s">
        <v>3473</v>
      </c>
      <c r="J20" s="399"/>
      <c r="K20" s="564"/>
      <c r="L20" s="2722"/>
      <c r="M20" s="2716"/>
      <c r="N20" s="2716"/>
      <c r="O20" s="2716"/>
      <c r="P20" s="3730"/>
      <c r="Q20" s="1352"/>
      <c r="R20" s="705"/>
      <c r="S20" s="706"/>
      <c r="T20" s="705"/>
      <c r="U20" s="706"/>
      <c r="V20" s="705"/>
      <c r="W20" s="706"/>
      <c r="X20" s="1355"/>
      <c r="Y20" s="373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t="s">
        <v>3467</v>
      </c>
      <c r="D22" s="399"/>
      <c r="E22" s="1964" t="s">
        <v>3467</v>
      </c>
      <c r="F22" s="399"/>
      <c r="G22" s="1964" t="s">
        <v>3467</v>
      </c>
      <c r="H22" s="399"/>
      <c r="I22" s="1964" t="s">
        <v>3467</v>
      </c>
      <c r="J22" s="399"/>
      <c r="K22" s="1130"/>
      <c r="L22" s="2722"/>
      <c r="M22" s="2716"/>
      <c r="N22" s="2716"/>
      <c r="O22" s="2716"/>
      <c r="P22" s="3730"/>
      <c r="Q22" s="1352"/>
      <c r="R22" s="705"/>
      <c r="S22" s="706"/>
      <c r="T22" s="705"/>
      <c r="U22" s="706"/>
      <c r="V22" s="705"/>
      <c r="W22" s="706"/>
      <c r="X22" s="1355"/>
      <c r="Y22" s="373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730"/>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t="s">
        <v>3473</v>
      </c>
      <c r="D24" s="399"/>
      <c r="E24" s="1904" t="s">
        <v>3473</v>
      </c>
      <c r="F24" s="399"/>
      <c r="G24" s="1904" t="s">
        <v>3473</v>
      </c>
      <c r="H24" s="399"/>
      <c r="I24" s="1904" t="s">
        <v>3473</v>
      </c>
      <c r="J24" s="399"/>
      <c r="K24" s="564"/>
      <c r="L24" s="2722"/>
      <c r="M24" s="2716"/>
      <c r="N24" s="2716"/>
      <c r="O24" s="2716"/>
      <c r="P24" s="3730"/>
      <c r="Q24" s="1352"/>
      <c r="R24" s="705"/>
      <c r="S24" s="706"/>
      <c r="T24" s="705"/>
      <c r="U24" s="706"/>
      <c r="V24" s="705"/>
      <c r="W24" s="706"/>
      <c r="X24" s="1355"/>
      <c r="Y24" s="373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0"/>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0"/>
      <c r="Q26" s="1352"/>
      <c r="R26" s="705"/>
      <c r="S26" s="706"/>
      <c r="T26" s="705"/>
      <c r="U26" s="706"/>
      <c r="V26" s="705"/>
      <c r="W26" s="706"/>
      <c r="X26" s="1355"/>
      <c r="Y26" s="3732"/>
      <c r="Z26" s="1356"/>
      <c r="AA26" s="1353">
        <v>1</v>
      </c>
      <c r="AB26" s="1353">
        <v>1</v>
      </c>
      <c r="AC26" s="1962">
        <v>1</v>
      </c>
    </row>
    <row r="27" spans="1:29" ht="15">
      <c r="A27" s="379"/>
      <c r="B27" s="580" t="s">
        <v>1783</v>
      </c>
      <c r="C27" s="582" t="s">
        <v>3452</v>
      </c>
      <c r="D27" s="386">
        <v>100</v>
      </c>
      <c r="E27" s="565" t="s">
        <v>3449</v>
      </c>
      <c r="F27" s="386">
        <f>SUMIF(89:89,E27,90:90)-SUMIF(89:89,C27,90:90)+100</f>
        <v>102</v>
      </c>
      <c r="G27" s="582" t="s">
        <v>3452</v>
      </c>
      <c r="H27" s="386">
        <f>SUMIF(89:89,G27,90:90)-SUMIF(89:89,C27,90:90)+100</f>
        <v>100</v>
      </c>
      <c r="I27" s="565" t="s">
        <v>3449</v>
      </c>
      <c r="J27" s="386">
        <f>SUMIF(89:89,I27,90:90)-SUMIF(89:89,C27,90:90)+100</f>
        <v>102</v>
      </c>
      <c r="K27" s="561">
        <v>1</v>
      </c>
      <c r="L27" s="2722"/>
      <c r="M27" s="2716"/>
      <c r="N27" s="2716"/>
      <c r="O27" s="2716"/>
      <c r="P27" s="3730"/>
      <c r="Q27" s="1352" t="str">
        <f t="shared" ref="Q27:Q47" si="11">B27</f>
        <v>楼层</v>
      </c>
      <c r="R27" s="705" t="s">
        <v>14</v>
      </c>
      <c r="S27" s="706">
        <f>F27</f>
        <v>102</v>
      </c>
      <c r="T27" s="705" t="s">
        <v>14</v>
      </c>
      <c r="U27" s="706">
        <f>H27</f>
        <v>100</v>
      </c>
      <c r="V27" s="705" t="s">
        <v>14</v>
      </c>
      <c r="W27" s="706">
        <f>J27</f>
        <v>102</v>
      </c>
      <c r="X27" s="1355"/>
      <c r="Y27" s="3732"/>
      <c r="Z27" s="1356" t="str">
        <f>Q27</f>
        <v>楼层</v>
      </c>
      <c r="AA27" s="1353">
        <f t="shared" si="3"/>
        <v>0.98039215686274506</v>
      </c>
      <c r="AB27" s="1353">
        <f t="shared" si="4"/>
        <v>1</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0"/>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0"/>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1817</v>
      </c>
      <c r="C33" s="1967" t="s">
        <v>3454</v>
      </c>
      <c r="D33" s="418">
        <v>100</v>
      </c>
      <c r="E33" s="1967" t="s">
        <v>3454</v>
      </c>
      <c r="F33" s="412">
        <f>SUMIF(101:101,E33,102:102)-SUMIF(101:101,C33,102:102)+100</f>
        <v>100</v>
      </c>
      <c r="G33" s="1967" t="s">
        <v>3454</v>
      </c>
      <c r="H33" s="386">
        <f>SUMIF(101:101,G33,102:102)-SUMIF(101:101,C33,102:102)+100</f>
        <v>100</v>
      </c>
      <c r="I33" s="1967" t="s">
        <v>3454</v>
      </c>
      <c r="J33" s="418">
        <f>SUMIF(101:101,I33,102:102)-SUMIF(101:101,C33,102:102)+100</f>
        <v>100</v>
      </c>
      <c r="K33" s="561">
        <v>2</v>
      </c>
      <c r="L33" s="2722"/>
      <c r="M33" s="2716"/>
      <c r="N33" s="2716"/>
      <c r="O33" s="2716"/>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f>'数据-汇总表'!E3</f>
        <v>154.24</v>
      </c>
      <c r="D34" s="127">
        <v>100</v>
      </c>
      <c r="E34" s="420">
        <v>154.11000000000001</v>
      </c>
      <c r="F34" s="376">
        <f>LOOKUP(E34,104:104,105:105)-LOOKUP(C34,104:104,105:105)+100</f>
        <v>100</v>
      </c>
      <c r="G34" s="420">
        <v>149.46</v>
      </c>
      <c r="H34" s="127">
        <f>LOOKUP(G34,104:104,105:105)-LOOKUP(C34,104:104,105:105)+100</f>
        <v>100</v>
      </c>
      <c r="I34" s="420">
        <v>138.16</v>
      </c>
      <c r="J34" s="127">
        <f>LOOKUP(I34,104:104,105:105)-LOOKUP(C34,104:104,105:105)+100</f>
        <v>100</v>
      </c>
      <c r="K34" s="562"/>
      <c r="L34" s="2721"/>
      <c r="M34" s="2723"/>
      <c r="N34" s="2723"/>
      <c r="O34" s="2723"/>
      <c r="P34" s="3734"/>
      <c r="Q34" s="707" t="str">
        <f t="shared" si="11"/>
        <v>项目建筑规模</v>
      </c>
      <c r="R34" s="708" t="s">
        <v>14</v>
      </c>
      <c r="S34" s="709">
        <f t="shared" si="12"/>
        <v>100</v>
      </c>
      <c r="T34" s="708" t="s">
        <v>14</v>
      </c>
      <c r="U34" s="709">
        <f t="shared" si="13"/>
        <v>100</v>
      </c>
      <c r="V34" s="708" t="s">
        <v>14</v>
      </c>
      <c r="W34" s="709">
        <f t="shared" si="14"/>
        <v>100</v>
      </c>
      <c r="X34" s="710"/>
      <c r="Y34" s="3736"/>
      <c r="Z34" s="711" t="str">
        <f t="shared" si="15"/>
        <v>项目建筑规模</v>
      </c>
      <c r="AA34" s="1353">
        <f t="shared" si="3"/>
        <v>1</v>
      </c>
      <c r="AB34" s="1353">
        <f t="shared" si="4"/>
        <v>1</v>
      </c>
      <c r="AC34" s="1962">
        <f t="shared" si="5"/>
        <v>1</v>
      </c>
    </row>
    <row r="35" spans="1:29" ht="15">
      <c r="A35" s="423"/>
      <c r="B35" s="375" t="s">
        <v>1698</v>
      </c>
      <c r="C35" s="411" t="s">
        <v>3429</v>
      </c>
      <c r="D35" s="386">
        <v>100</v>
      </c>
      <c r="E35" s="411" t="s">
        <v>3429</v>
      </c>
      <c r="F35" s="412">
        <f>SUMIF(106:106,E35,107:107)-SUMIF(106:106,C35,107:107)+100</f>
        <v>100</v>
      </c>
      <c r="G35" s="411" t="s">
        <v>3429</v>
      </c>
      <c r="H35" s="386">
        <f>SUMIF(106:106,G35,107:107)-SUMIF(106:106,C35,107:107)+100</f>
        <v>100</v>
      </c>
      <c r="I35" s="411" t="s">
        <v>3429</v>
      </c>
      <c r="J35" s="386">
        <f>SUMIF(106:106,I35,107:107)-SUMIF(106:106,C35,107:107)+100</f>
        <v>100</v>
      </c>
      <c r="K35" s="561">
        <v>1</v>
      </c>
      <c r="L35" s="2722"/>
      <c r="M35" s="2716"/>
      <c r="N35" s="2716"/>
      <c r="O35" s="2716"/>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1785</v>
      </c>
      <c r="C36" s="411" t="s">
        <v>3457</v>
      </c>
      <c r="D36" s="386">
        <v>100</v>
      </c>
      <c r="E36" s="411" t="s">
        <v>3457</v>
      </c>
      <c r="F36" s="412">
        <f>SUMIF(108:108,E36,109:109)-SUMIF(108:108,C36,109:109)+100</f>
        <v>100</v>
      </c>
      <c r="G36" s="411" t="s">
        <v>3457</v>
      </c>
      <c r="H36" s="386">
        <f>SUMIF(108:108,G36,109:109)-SUMIF(108:108,C36,109:109)+100</f>
        <v>100</v>
      </c>
      <c r="I36" s="411" t="s">
        <v>3457</v>
      </c>
      <c r="J36" s="386">
        <f>SUMIF(108:108,I36,109:109)-SUMIF(108:108,C36,109:109)+100</f>
        <v>100</v>
      </c>
      <c r="K36" s="561">
        <v>1</v>
      </c>
      <c r="L36" s="2722"/>
      <c r="M36" s="2716"/>
      <c r="N36" s="2716"/>
      <c r="O36" s="2716"/>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v>1</v>
      </c>
      <c r="L37" s="2722"/>
      <c r="M37" s="2716"/>
      <c r="N37" s="2716"/>
      <c r="O37" s="2716"/>
      <c r="P37" s="3734"/>
      <c r="Q37" s="1352" t="str">
        <f t="shared" si="11"/>
        <v>成新度</v>
      </c>
      <c r="R37" s="705" t="s">
        <v>14</v>
      </c>
      <c r="S37" s="706">
        <f t="shared" si="12"/>
        <v>100</v>
      </c>
      <c r="T37" s="705" t="s">
        <v>14</v>
      </c>
      <c r="U37" s="706">
        <f t="shared" si="13"/>
        <v>100</v>
      </c>
      <c r="V37" s="705" t="s">
        <v>14</v>
      </c>
      <c r="W37" s="706">
        <f t="shared" si="14"/>
        <v>100</v>
      </c>
      <c r="X37" s="1355"/>
      <c r="Y37" s="3736"/>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1819</v>
      </c>
      <c r="C39" s="411" t="s">
        <v>3464</v>
      </c>
      <c r="D39" s="386">
        <v>100</v>
      </c>
      <c r="E39" s="411" t="s">
        <v>3464</v>
      </c>
      <c r="F39" s="412">
        <f>SUMIF(115:115,E39,116:116)-SUMIF(115:115,C39,116:116)+100</f>
        <v>100</v>
      </c>
      <c r="G39" s="411" t="s">
        <v>3464</v>
      </c>
      <c r="H39" s="386">
        <f>SUMIF(115:115,G39,116:116)-SUMIF(115:115,C39,116:116)+100</f>
        <v>100</v>
      </c>
      <c r="I39" s="411" t="s">
        <v>3464</v>
      </c>
      <c r="J39" s="386">
        <f>SUMIF(115:115,I39,116:116)-SUMIF(115:115,C39,116:116)+100</f>
        <v>100</v>
      </c>
      <c r="K39" s="561">
        <v>1</v>
      </c>
      <c r="L39" s="2722"/>
      <c r="M39" s="2716"/>
      <c r="N39" s="2716"/>
      <c r="O39" s="2716"/>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1789</v>
      </c>
      <c r="C41" s="565" t="s">
        <v>3471</v>
      </c>
      <c r="D41" s="386">
        <v>100</v>
      </c>
      <c r="E41" s="565" t="s">
        <v>3471</v>
      </c>
      <c r="F41" s="412">
        <f>SUMIF(119:119,E41,120:120)-SUMIF(119:119,C41,120:120)+100</f>
        <v>100</v>
      </c>
      <c r="G41" s="565" t="s">
        <v>3471</v>
      </c>
      <c r="H41" s="386">
        <f>SUMIF(119:119,G41,120:120)-SUMIF(119:119,C41,120:120)+100</f>
        <v>100</v>
      </c>
      <c r="I41" s="565" t="s">
        <v>3471</v>
      </c>
      <c r="J41" s="386">
        <f>SUMIF(119:119,I41,120:120)-SUMIF(119:119,C41,120:120)+100</f>
        <v>100</v>
      </c>
      <c r="K41" s="561">
        <v>2</v>
      </c>
      <c r="L41" s="2722"/>
      <c r="M41" s="2716"/>
      <c r="N41" s="2716"/>
      <c r="O41" s="2716"/>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1792</v>
      </c>
      <c r="C43" s="411" t="s">
        <v>3460</v>
      </c>
      <c r="D43" s="386">
        <v>100</v>
      </c>
      <c r="E43" s="411" t="s">
        <v>3460</v>
      </c>
      <c r="F43" s="412">
        <f>SUMIF(123:123,E43,124:124)-SUMIF(123:123,C43,124:124)+100</f>
        <v>100</v>
      </c>
      <c r="G43" s="411" t="s">
        <v>3460</v>
      </c>
      <c r="H43" s="386">
        <f>SUMIF(123:123,G43,124:124)-SUMIF(123:123,C43,124:124)+100</f>
        <v>100</v>
      </c>
      <c r="I43" s="411" t="s">
        <v>3462</v>
      </c>
      <c r="J43" s="386">
        <f>SUMIF(123:123,I43,124:124)-SUMIF(123:123,C43,124:124)+100</f>
        <v>99</v>
      </c>
      <c r="K43" s="561">
        <v>1</v>
      </c>
      <c r="L43" s="2722"/>
      <c r="M43" s="2716"/>
      <c r="N43" s="2716"/>
      <c r="O43" s="2716"/>
      <c r="P43" s="3734"/>
      <c r="Q43" s="1352" t="str">
        <f t="shared" si="11"/>
        <v>内部装修</v>
      </c>
      <c r="R43" s="705" t="s">
        <v>14</v>
      </c>
      <c r="S43" s="706">
        <f t="shared" si="12"/>
        <v>100</v>
      </c>
      <c r="T43" s="705" t="s">
        <v>14</v>
      </c>
      <c r="U43" s="706">
        <f t="shared" si="13"/>
        <v>100</v>
      </c>
      <c r="V43" s="705" t="s">
        <v>14</v>
      </c>
      <c r="W43" s="706">
        <f t="shared" si="14"/>
        <v>99</v>
      </c>
      <c r="X43" s="1355"/>
      <c r="Y43" s="3736"/>
      <c r="Z43" s="1356" t="str">
        <f t="shared" si="15"/>
        <v>内部装修</v>
      </c>
      <c r="AA43" s="1353">
        <f t="shared" si="3"/>
        <v>1</v>
      </c>
      <c r="AB43" s="1353">
        <f t="shared" si="4"/>
        <v>1</v>
      </c>
      <c r="AC43" s="1962">
        <f t="shared" si="5"/>
        <v>1.0101010101010102</v>
      </c>
    </row>
    <row r="44" spans="1:29" ht="15">
      <c r="A44" s="423"/>
      <c r="B44" s="375" t="s">
        <v>1707</v>
      </c>
      <c r="C44" s="411" t="s">
        <v>3474</v>
      </c>
      <c r="D44" s="386">
        <v>100</v>
      </c>
      <c r="E44" s="411" t="s">
        <v>3474</v>
      </c>
      <c r="F44" s="412">
        <f>SUMIF(125:125,E44,126:126)-SUMIF(125:125,C44,126:126)+100</f>
        <v>100</v>
      </c>
      <c r="G44" s="411" t="s">
        <v>3474</v>
      </c>
      <c r="H44" s="386">
        <f>SUMIF(125:125,G44,126:126)-SUMIF(125:125,C44,126:126)+100</f>
        <v>100</v>
      </c>
      <c r="I44" s="411" t="s">
        <v>3474</v>
      </c>
      <c r="J44" s="386">
        <f>SUMIF(125:125,I44,126:126)-SUMIF(125:125,C44,126:126)+100</f>
        <v>100</v>
      </c>
      <c r="K44" s="561">
        <v>1</v>
      </c>
      <c r="L44" s="2722"/>
      <c r="M44" s="2716"/>
      <c r="N44" s="2716"/>
      <c r="O44" s="2716"/>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5">
      <c r="A48" s="430" t="s">
        <v>1708</v>
      </c>
      <c r="B48" s="431"/>
      <c r="C48" s="1154" t="s">
        <v>0</v>
      </c>
      <c r="D48" s="1155"/>
      <c r="E48" s="1156">
        <v>14990</v>
      </c>
      <c r="F48" s="1157"/>
      <c r="G48" s="1158">
        <v>15523</v>
      </c>
      <c r="H48" s="1159"/>
      <c r="I48" s="1156">
        <v>15996</v>
      </c>
      <c r="J48" s="436"/>
      <c r="K48" s="714"/>
      <c r="L48" s="2724"/>
      <c r="M48" s="2716"/>
      <c r="N48" s="2716"/>
      <c r="O48" s="2716"/>
      <c r="P48" s="3709" t="str">
        <f>A48</f>
        <v>成交单价（元/平方米）</v>
      </c>
      <c r="Q48" s="3738"/>
      <c r="R48" s="3739">
        <f>E48</f>
        <v>14990</v>
      </c>
      <c r="S48" s="3739"/>
      <c r="T48" s="3739">
        <f>G48</f>
        <v>15523</v>
      </c>
      <c r="U48" s="3739"/>
      <c r="V48" s="3739">
        <f>I48</f>
        <v>15996</v>
      </c>
      <c r="W48" s="3739"/>
      <c r="X48" s="397"/>
      <c r="Y48" s="712"/>
      <c r="Z48" s="397"/>
      <c r="AA48" s="397"/>
      <c r="AB48" s="397"/>
      <c r="AC48" s="578"/>
    </row>
    <row r="49" spans="1:29" ht="15.75" thickBot="1">
      <c r="A49" s="437" t="s">
        <v>1793</v>
      </c>
      <c r="B49" s="438"/>
      <c r="C49" s="1160">
        <f>R50</f>
        <v>15052</v>
      </c>
      <c r="D49" s="2317" t="s">
        <v>2138</v>
      </c>
      <c r="E49" s="1161">
        <f>R49</f>
        <v>14408</v>
      </c>
      <c r="F49" s="2318"/>
      <c r="G49" s="1160">
        <f>T49</f>
        <v>15219</v>
      </c>
      <c r="H49" s="2318"/>
      <c r="I49" s="1161">
        <f>V49</f>
        <v>15530</v>
      </c>
      <c r="J49" s="2318"/>
      <c r="K49" s="2320">
        <f>F49+H49+J49</f>
        <v>0</v>
      </c>
      <c r="L49" s="2724"/>
      <c r="M49" s="2716"/>
      <c r="N49" s="2716"/>
      <c r="O49" s="2716"/>
      <c r="P49" s="3709" t="str">
        <f>A49</f>
        <v>比较价值（元/平方米）</v>
      </c>
      <c r="Q49" s="3738"/>
      <c r="R49" s="3739">
        <f>IF(F1="售价",ROUND(PRODUCT(R48,AA7:AA47),0),ROUND(PRODUCT(R48,AA7:AA47),1))</f>
        <v>14408</v>
      </c>
      <c r="S49" s="3739"/>
      <c r="T49" s="3739">
        <f>IF(F1="售价",ROUND(PRODUCT(T48,AB7:AB47),0),ROUND(PRODUCT(T48,AB7:AB47),1))</f>
        <v>15219</v>
      </c>
      <c r="U49" s="3739"/>
      <c r="V49" s="3739">
        <f>IF(F1="售价",ROUND(PRODUCT(V48,AC7:AC47),0),ROUND(PRODUCT(V48,AC7:AC47),1))</f>
        <v>15530</v>
      </c>
      <c r="W49" s="3739"/>
      <c r="X49" s="397"/>
      <c r="Y49" s="397"/>
      <c r="Z49" s="397"/>
      <c r="AA49" s="397"/>
      <c r="AB49" s="397"/>
      <c r="AC49" s="578"/>
    </row>
    <row r="50" spans="1:29" ht="15.75" thickBot="1">
      <c r="A50" s="441" t="s">
        <v>1794</v>
      </c>
      <c r="B50" s="442"/>
      <c r="C50" s="1163">
        <f>R50</f>
        <v>15052</v>
      </c>
      <c r="D50" s="1163"/>
      <c r="E50" s="1163"/>
      <c r="F50" s="1163"/>
      <c r="G50" s="1163"/>
      <c r="H50" s="1163"/>
      <c r="I50" s="1163"/>
      <c r="J50" s="443"/>
      <c r="K50" s="715"/>
      <c r="L50" s="2724"/>
      <c r="M50" s="2716"/>
      <c r="N50" s="2716"/>
      <c r="O50" s="2716"/>
      <c r="P50" s="3740" t="str">
        <f>A50</f>
        <v>估价对象XX用房的比较价值（楼面单价，元/平方米）</v>
      </c>
      <c r="Q50" s="3741"/>
      <c r="R50" s="3742">
        <f>IF(F1="售价",ROUND(IF(D49="简单平均",AVERAGE(R49:V49),R49*F49+T49*H49+V49*J49),0),ROUND(IF(D49="简单平均",AVERAGE(R49:V49),R49*F49+T49*H49+V49*J49),1))</f>
        <v>15052</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4.0394225430316455E-2</v>
      </c>
      <c r="F53" s="449" t="str">
        <f>IF(OR(E53&gt;=0.3,E53&lt;=-0.3),"超过30%","")</f>
        <v/>
      </c>
      <c r="G53" s="448">
        <f>IF(G48&lt;G49,G49/G48-1,G48/G49-1)</f>
        <v>1.9975031210986316E-2</v>
      </c>
      <c r="H53" s="449" t="str">
        <f>IF(OR(G53&gt;=0.3,G53&lt;=-0.3),"超过30%","")</f>
        <v/>
      </c>
      <c r="I53" s="448">
        <f>IF(I48&lt;I49,I49/I48-1,I48/I49-1)</f>
        <v>3.0006439150032094E-2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5.6288173237090566E-2</v>
      </c>
      <c r="F54" s="449" t="str">
        <f>IF(OR(E54&gt;=0.2,E54&lt;=-0.2),"超过20%","")</f>
        <v/>
      </c>
      <c r="G54" s="448">
        <f>IF(G49&lt;I49,I49/G49-1,G49/I49-1)</f>
        <v>2.043498258755494E-2</v>
      </c>
      <c r="H54" s="449" t="str">
        <f>IF(OR(G54&gt;=0.2,G54&lt;=-0.2),"超过20%","")</f>
        <v/>
      </c>
      <c r="I54" s="448">
        <f>IF(I49&lt;E49,E49/I49-1,I49/E49-1)</f>
        <v>7.7873403664630692E-2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3.5557038025350263E-2</v>
      </c>
      <c r="F55" s="449" t="str">
        <f>IF(OR(E55&gt;=0.3,E55&lt;=-0.3),"超过30%","")</f>
        <v/>
      </c>
      <c r="G55" s="448">
        <f>IF(G48&lt;I48,I48/G48-1,G48/I48-1)</f>
        <v>3.0470914127423754E-2</v>
      </c>
      <c r="H55" s="449" t="str">
        <f>IF(OR(G55&gt;=0.3,G55&lt;=-0.3),"超过30%","")</f>
        <v/>
      </c>
      <c r="I55" s="448">
        <f>IF(I48&lt;E48,E48/I48-1,I48/E48-1)</f>
        <v>6.7111407605070061E-2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79" t="s">
        <v>3448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3442</v>
      </c>
      <c r="D66" s="532" t="s">
        <v>3443</v>
      </c>
      <c r="E66" s="532" t="s">
        <v>3444</v>
      </c>
      <c r="F66" s="532" t="s">
        <v>3445</v>
      </c>
      <c r="G66" s="532" t="s">
        <v>3446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3450</v>
      </c>
      <c r="D89" s="3480" t="s">
        <v>3451</v>
      </c>
      <c r="E89" s="3480" t="s">
        <v>3453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1" t="s">
        <v>3455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4">D104&amp;"(含)"&amp;"-"&amp;E104</f>
        <v>300(含)-600</v>
      </c>
      <c r="E103" s="527" t="str">
        <f t="shared" si="24"/>
        <v>600(含)-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600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0" t="s">
        <v>3456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0" t="s">
        <v>3458</v>
      </c>
      <c r="D108" s="3480" t="s">
        <v>3459</v>
      </c>
      <c r="E108" s="3480" t="s">
        <v>3461</v>
      </c>
      <c r="F108" s="3482" t="s">
        <v>3463</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0" t="s">
        <v>3465</v>
      </c>
      <c r="D115" s="3480" t="s">
        <v>3466</v>
      </c>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80" t="s">
        <v>3468</v>
      </c>
      <c r="D117" s="3480" t="s">
        <v>3469</v>
      </c>
      <c r="E117" s="3480" t="s">
        <v>3470</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2" t="s">
        <v>3472</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0" t="s">
        <v>3458</v>
      </c>
      <c r="D123" s="3480" t="s">
        <v>3459</v>
      </c>
      <c r="E123" s="3480" t="s">
        <v>3461</v>
      </c>
      <c r="F123" s="3482" t="s">
        <v>3463</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38.380000000000003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244.20169999999999</v>
      </c>
      <c r="C2" s="1387" t="s">
        <v>879</v>
      </c>
      <c r="D2" s="1471">
        <f ca="1">C40+J29+L46</f>
        <v>2442017</v>
      </c>
      <c r="E2" s="1388" t="s">
        <v>880</v>
      </c>
      <c r="F2" s="1389"/>
      <c r="G2" s="2706"/>
      <c r="H2" s="2695"/>
      <c r="I2" s="2695"/>
      <c r="J2" s="2695"/>
      <c r="K2" s="2696"/>
      <c r="L2" s="2695"/>
      <c r="M2" s="2695"/>
    </row>
    <row r="3" spans="1:37" ht="18" customHeight="1" thickBot="1">
      <c r="A3" s="1390" t="s">
        <v>881</v>
      </c>
      <c r="B3" s="1391">
        <f ca="1">IF(ISERROR(D2/F43),0,ROUND(D2/F43,0))</f>
        <v>15833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129365</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129203</v>
      </c>
      <c r="D6" s="155" t="s">
        <v>2106</v>
      </c>
      <c r="E6" s="302" t="s">
        <v>696</v>
      </c>
      <c r="F6" s="303">
        <f ca="1">INDIRECT("'数据-取费表'!u"&amp;$G$1)</f>
        <v>2.7</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154.24</v>
      </c>
      <c r="G7" s="1384"/>
      <c r="H7" s="304"/>
      <c r="I7" s="3673"/>
      <c r="J7" s="306"/>
      <c r="K7" s="307"/>
      <c r="L7" s="302" t="s">
        <v>697</v>
      </c>
      <c r="M7" s="303">
        <f ca="1">F7</f>
        <v>154.24</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0.15</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162</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765723</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616960</v>
      </c>
      <c r="D14" s="1345" t="s">
        <v>708</v>
      </c>
      <c r="E14" s="1342"/>
      <c r="F14" s="319"/>
      <c r="G14" s="1384"/>
      <c r="H14" s="982" t="s">
        <v>398</v>
      </c>
      <c r="I14" s="302" t="s">
        <v>709</v>
      </c>
      <c r="J14" s="21">
        <f ca="1">C29</f>
        <v>900851</v>
      </c>
      <c r="K14" s="12"/>
      <c r="L14" s="807"/>
      <c r="M14" s="808"/>
    </row>
    <row r="15" spans="1:37" s="1397" customFormat="1" ht="18" customHeight="1" thickBot="1">
      <c r="A15" s="982" t="s">
        <v>399</v>
      </c>
      <c r="B15" s="302" t="s">
        <v>710</v>
      </c>
      <c r="C15" s="21">
        <f ca="1">ROUND(C14*F15,0)</f>
        <v>30848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2703</v>
      </c>
      <c r="K16" s="1087" t="s">
        <v>715</v>
      </c>
      <c r="L16" s="1088"/>
      <c r="M16" s="1072"/>
    </row>
    <row r="17" spans="1:37" s="1397" customFormat="1" ht="18" customHeight="1">
      <c r="A17" s="982" t="s">
        <v>681</v>
      </c>
      <c r="B17" s="302" t="s">
        <v>716</v>
      </c>
      <c r="C17" s="21">
        <f ca="1">ROUND(F17*(F43+INDIRECT("'数据-取费表'!S"&amp;$G$1)),0)</f>
        <v>30848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12339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690995</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13820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2703</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21849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-2703</v>
      </c>
      <c r="K25" s="1095" t="s">
        <v>753</v>
      </c>
      <c r="L25" s="1096"/>
      <c r="M25" s="1097"/>
    </row>
    <row r="26" spans="1:37" ht="18" customHeight="1">
      <c r="A26" s="982" t="s">
        <v>397</v>
      </c>
      <c r="B26" s="302" t="s">
        <v>754</v>
      </c>
      <c r="C26" s="21">
        <f ca="1">ROUND((C19+C20)*F26,0)</f>
        <v>105722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900851</v>
      </c>
      <c r="D29" s="1092"/>
      <c r="E29" s="1090"/>
      <c r="F29" s="1093"/>
      <c r="G29" s="1396"/>
      <c r="H29" s="334" t="s">
        <v>396</v>
      </c>
      <c r="I29" s="335" t="s">
        <v>768</v>
      </c>
      <c r="J29" s="336">
        <f ca="1">ROUND(J26/(1+F40)^F41,0)</f>
        <v>0</v>
      </c>
      <c r="K29" s="337" t="s">
        <v>769</v>
      </c>
      <c r="L29" s="338"/>
      <c r="M29" s="339">
        <f ca="1">INDIRECT("'数据-取费表'!k"&amp;$G$1)</f>
        <v>154.24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12730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8614</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2703</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766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647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116635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2419565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38.380000000000003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15687</v>
      </c>
      <c r="D43" s="337" t="s">
        <v>777</v>
      </c>
      <c r="E43" s="338" t="s">
        <v>778</v>
      </c>
      <c r="F43" s="339">
        <f ca="1">INDIRECT("'数据-取费表'!k"&amp;$G$1)</f>
        <v>154.24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-247.45580000000001</v>
      </c>
      <c r="D45" s="3432" t="s">
        <v>3352</v>
      </c>
      <c r="E45" s="1400"/>
      <c r="F45" s="1400"/>
      <c r="O45" s="1403" t="s">
        <v>808</v>
      </c>
      <c r="P45" s="1461"/>
      <c r="Q45" s="1461"/>
      <c r="R45" s="1461"/>
    </row>
    <row r="46" spans="1:18" s="1384" customFormat="1" ht="13.5" thickBot="1">
      <c r="A46" s="1404" t="s">
        <v>809</v>
      </c>
      <c r="C46" s="1405">
        <f ca="1">ROUND(C45,0)</f>
        <v>-247</v>
      </c>
      <c r="D46" s="1406" t="str">
        <f>C2</f>
        <v>万元</v>
      </c>
      <c r="I46" s="1407" t="s">
        <v>810</v>
      </c>
      <c r="J46" s="1408"/>
      <c r="K46" s="1409"/>
      <c r="L46" s="1410">
        <f ca="1">IF(M47="住宅",0,IF(L48&gt;J51,L60,J60))</f>
        <v>22452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3429</v>
      </c>
      <c r="K47" s="1416" t="s">
        <v>816</v>
      </c>
      <c r="L47" s="1417">
        <f ca="1">INDIRECT("'数据-取费表'!d"&amp;$G$1)</f>
        <v>50</v>
      </c>
      <c r="M47" s="1380" t="str">
        <f>IF(ISNUMBER(FIND("住宅",C1)),"住宅","非住宅")</f>
        <v>非住宅</v>
      </c>
      <c r="O47" s="1418" t="s">
        <v>403</v>
      </c>
      <c r="P47" s="1419" t="s">
        <v>817</v>
      </c>
      <c r="Q47" s="1420">
        <f ca="1">C40+J29</f>
        <v>2419565</v>
      </c>
      <c r="R47" s="1420" t="s">
        <v>818</v>
      </c>
    </row>
    <row r="48" spans="1:18" s="1384" customFormat="1" ht="28.5" thickBot="1">
      <c r="A48" s="1110" t="s">
        <v>438</v>
      </c>
      <c r="B48" s="300" t="s">
        <v>692</v>
      </c>
      <c r="C48" s="1359">
        <f ca="1">C49+C53+C55</f>
        <v>0</v>
      </c>
      <c r="D48" s="1112"/>
      <c r="E48" s="1113"/>
      <c r="F48" s="962"/>
      <c r="G48" s="722"/>
      <c r="H48" s="723"/>
      <c r="I48" s="1421" t="s">
        <v>819</v>
      </c>
      <c r="J48" s="1422" t="s">
        <v>3430</v>
      </c>
      <c r="K48" s="1423" t="s">
        <v>820</v>
      </c>
      <c r="L48" s="1424">
        <f ca="1">INDIRECT("'数据-取费表'!f"&amp;$G$1)</f>
        <v>38.380000000000003</v>
      </c>
      <c r="O48" s="1418" t="s">
        <v>404</v>
      </c>
      <c r="P48" s="1419" t="s">
        <v>821</v>
      </c>
      <c r="Q48" s="1420">
        <f ca="1">J60</f>
        <v>22452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2016</v>
      </c>
      <c r="K49" s="1423" t="s">
        <v>824</v>
      </c>
      <c r="L49" s="1427"/>
      <c r="O49" s="1428" t="s">
        <v>405</v>
      </c>
      <c r="P49" s="1419" t="s">
        <v>825</v>
      </c>
      <c r="Q49" s="1420">
        <f ca="1">C29</f>
        <v>900851</v>
      </c>
      <c r="R49" s="1420" t="s">
        <v>818</v>
      </c>
    </row>
    <row r="50" spans="1:18" s="1384" customFormat="1" ht="13.5" thickBot="1">
      <c r="A50" s="976"/>
      <c r="B50" s="979"/>
      <c r="C50" s="980"/>
      <c r="D50" s="953"/>
      <c r="E50" s="1056" t="s">
        <v>697</v>
      </c>
      <c r="F50" s="1057">
        <f ca="1">F7</f>
        <v>154.24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1155986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38.380000000000003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38.380000000000003</v>
      </c>
      <c r="K53" s="3670" t="s">
        <v>837</v>
      </c>
      <c r="L53" s="3671"/>
      <c r="O53" s="1418" t="s">
        <v>409</v>
      </c>
      <c r="P53" s="1419" t="s">
        <v>838</v>
      </c>
      <c r="Q53" s="1420">
        <f ca="1">Q47+Q48</f>
        <v>2442017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765723</v>
      </c>
      <c r="D56" s="1447"/>
      <c r="E56" s="1448"/>
      <c r="F56" s="1440"/>
      <c r="I56" s="1449" t="s">
        <v>842</v>
      </c>
      <c r="J56" s="1450" t="s">
        <v>3419</v>
      </c>
      <c r="K56" s="1421" t="s">
        <v>843</v>
      </c>
      <c r="L56" s="1424" t="str">
        <f ca="1">IF(L48&lt;J51,"——",L48-J51)</f>
        <v>——</v>
      </c>
      <c r="O56" s="1418" t="s">
        <v>403</v>
      </c>
      <c r="P56" s="1419" t="s">
        <v>817</v>
      </c>
      <c r="Q56" s="1420">
        <f ca="1">C40+J29</f>
        <v>2419565</v>
      </c>
      <c r="R56" s="1420" t="s">
        <v>818</v>
      </c>
    </row>
    <row r="57" spans="1:18" s="1384" customFormat="1" ht="24.75" thickBot="1">
      <c r="A57" s="1451"/>
      <c r="B57" s="950" t="s">
        <v>767</v>
      </c>
      <c r="C57" s="238">
        <f ca="1">C29</f>
        <v>900851</v>
      </c>
      <c r="D57" s="1452"/>
      <c r="E57" s="1453"/>
      <c r="F57" s="1454"/>
      <c r="I57" s="1455" t="s">
        <v>844</v>
      </c>
      <c r="J57" s="1456">
        <f ca="1">IF(OR(M47="住宅",J51&lt;L48,J56="是"),"——",J51-L48)</f>
        <v>12.619999999999997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3469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360340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22452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2419565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2703</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766</v>
      </c>
      <c r="D65" s="964" t="s">
        <v>743</v>
      </c>
      <c r="E65" s="950" t="s">
        <v>744</v>
      </c>
      <c r="F65" s="330">
        <f t="shared" ca="1" si="0"/>
        <v>1E-3</v>
      </c>
      <c r="I65" s="1462" t="s">
        <v>867</v>
      </c>
      <c r="J65" s="1463">
        <v>40</v>
      </c>
      <c r="K65" s="1463">
        <v>30</v>
      </c>
      <c r="L65" s="1463">
        <v>50</v>
      </c>
      <c r="M65" s="1465">
        <v>0.02</v>
      </c>
      <c r="O65" s="1418" t="s">
        <v>403</v>
      </c>
      <c r="P65" s="1419" t="s">
        <v>868</v>
      </c>
      <c r="Q65" s="1420">
        <f ca="1">C40+J29</f>
        <v>2419565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-3469</v>
      </c>
      <c r="D67" s="963" t="s">
        <v>753</v>
      </c>
      <c r="E67" s="968"/>
      <c r="F67" s="969"/>
      <c r="O67" s="1428" t="s">
        <v>405</v>
      </c>
      <c r="P67" s="1419" t="s">
        <v>850</v>
      </c>
      <c r="Q67" s="1466">
        <f ca="1">L51</f>
        <v>1155986</v>
      </c>
      <c r="R67" s="1420" t="s">
        <v>870</v>
      </c>
    </row>
    <row r="68" spans="1:18" s="1384" customFormat="1" ht="16.5" thickBot="1">
      <c r="A68" s="947" t="s">
        <v>395</v>
      </c>
      <c r="B68" s="948" t="s">
        <v>774</v>
      </c>
      <c r="C68" s="301">
        <f ca="1">ROUND(C67*(1-((1+F70)/(1+F68))^F69)/(F68-F70),0)</f>
        <v>-54993</v>
      </c>
      <c r="D68" s="965" t="s">
        <v>758</v>
      </c>
      <c r="E68" s="950" t="s">
        <v>759</v>
      </c>
      <c r="F68" s="312">
        <f ca="1">F40</f>
        <v>5.5E-2</v>
      </c>
      <c r="O68" s="1428" t="s">
        <v>406</v>
      </c>
      <c r="P68" s="1467" t="s">
        <v>871</v>
      </c>
      <c r="Q68" s="1420">
        <f ca="1">ROUND(Q69-Q70*Q71,0)</f>
        <v>63034</v>
      </c>
      <c r="R68" s="1420" t="s">
        <v>414</v>
      </c>
    </row>
    <row r="69" spans="1:18" s="1384" customFormat="1" ht="13.5" thickBot="1">
      <c r="A69" s="951"/>
      <c r="B69" s="952"/>
      <c r="C69" s="306"/>
      <c r="D69" s="970" t="s">
        <v>762</v>
      </c>
      <c r="E69" s="950" t="s">
        <v>763</v>
      </c>
      <c r="F69" s="333">
        <f ca="1">F41</f>
        <v>38.380000000000003</v>
      </c>
      <c r="O69" s="1428" t="s">
        <v>411</v>
      </c>
      <c r="P69" s="1467" t="s">
        <v>872</v>
      </c>
      <c r="Q69" s="1420">
        <f ca="1">C39</f>
        <v>116635</v>
      </c>
      <c r="R69" s="1420" t="s">
        <v>818</v>
      </c>
    </row>
    <row r="70" spans="1:18" s="1384" customFormat="1" ht="13.5" thickBot="1">
      <c r="A70" s="954"/>
      <c r="B70" s="955"/>
      <c r="C70" s="310"/>
      <c r="D70" s="966"/>
      <c r="E70" s="950" t="s">
        <v>766</v>
      </c>
      <c r="F70" s="1054"/>
      <c r="O70" s="1428" t="s">
        <v>412</v>
      </c>
      <c r="P70" s="1467" t="s">
        <v>873</v>
      </c>
      <c r="Q70" s="1420">
        <f ca="1">C13</f>
        <v>765723</v>
      </c>
      <c r="R70" s="1420" t="s">
        <v>818</v>
      </c>
    </row>
    <row r="71" spans="1:18" s="1384" customFormat="1" ht="13.5" thickBot="1">
      <c r="A71" s="971" t="s">
        <v>396</v>
      </c>
      <c r="B71" s="972" t="s">
        <v>776</v>
      </c>
      <c r="C71" s="336">
        <f ca="1">ROUND(C68/F71,0)</f>
        <v>-357</v>
      </c>
      <c r="D71" s="973" t="s">
        <v>777</v>
      </c>
      <c r="E71" s="974" t="s">
        <v>778</v>
      </c>
      <c r="F71" s="339">
        <f ca="1">F43</f>
        <v>154.24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53601</v>
      </c>
      <c r="D75" s="1384"/>
      <c r="E75" s="1384"/>
      <c r="F75" s="1384"/>
      <c r="K75" s="1402"/>
      <c r="L75" s="1384"/>
      <c r="O75" s="1418" t="s">
        <v>409</v>
      </c>
      <c r="P75" s="1419" t="s">
        <v>838</v>
      </c>
      <c r="Q75" s="1420">
        <f ca="1">Q65+Q66</f>
        <v>2419565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v>
      </c>
    </row>
    <row r="80" spans="1:18">
      <c r="B80" s="340" t="s">
        <v>800</v>
      </c>
      <c r="C80" s="274">
        <f ca="1">ROUND(C75/C39,3)</f>
        <v>0.46</v>
      </c>
    </row>
    <row r="81" spans="2:3">
      <c r="B81" s="270" t="s">
        <v>801</v>
      </c>
      <c r="C81" s="238"/>
    </row>
    <row r="82" spans="2:3">
      <c r="B82" s="273" t="s">
        <v>802</v>
      </c>
      <c r="C82" s="275">
        <f ca="1">1-C83</f>
        <v>0.68399999999999994</v>
      </c>
    </row>
    <row r="83" spans="2:3">
      <c r="B83" s="273" t="s">
        <v>803</v>
      </c>
      <c r="C83" s="274">
        <f ca="1">ROUND(C13/C40,3)</f>
        <v>0.316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3" zoomScale="90" zoomScaleNormal="70" zoomScaleSheetLayoutView="90" workbookViewId="0">
      <selection activeCell="G62" sqref="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3438</v>
      </c>
      <c r="F1" s="1879" t="s">
        <v>3435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4.1599999999999998E-2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2.7</v>
      </c>
      <c r="C3" s="354" t="s">
        <v>1665</v>
      </c>
      <c r="D3" s="353">
        <f>IF(D1="",'数据-汇总表'!E3,SUMIF('数据-汇总表'!$C19:$C33,D1,'数据-汇总表'!$E19:$E33))</f>
        <v>154.24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713" t="s">
        <v>1667</v>
      </c>
      <c r="D4" s="3714"/>
      <c r="E4" s="3715" t="s">
        <v>1668</v>
      </c>
      <c r="F4" s="3716"/>
      <c r="G4" s="3713" t="s">
        <v>1669</v>
      </c>
      <c r="H4" s="3714"/>
      <c r="I4" s="3713" t="s">
        <v>1670</v>
      </c>
      <c r="J4" s="3714"/>
      <c r="K4" s="559" t="s">
        <v>1671</v>
      </c>
      <c r="L4" s="2715"/>
      <c r="M4" s="2716"/>
      <c r="N4" s="2716"/>
      <c r="O4" s="2716"/>
      <c r="P4" s="3717" t="s">
        <v>1672</v>
      </c>
      <c r="Q4" s="3718"/>
      <c r="R4" s="3699" t="s">
        <v>1668</v>
      </c>
      <c r="S4" s="3700"/>
      <c r="T4" s="3699" t="s">
        <v>1669</v>
      </c>
      <c r="U4" s="3700"/>
      <c r="V4" s="3725" t="s">
        <v>1670</v>
      </c>
      <c r="W4" s="3725"/>
      <c r="X4" s="3474"/>
      <c r="Y4" s="3699" t="s">
        <v>1672</v>
      </c>
      <c r="Z4" s="3700"/>
      <c r="AA4" s="3694" t="s">
        <v>1668</v>
      </c>
      <c r="AB4" s="3694" t="s">
        <v>1669</v>
      </c>
      <c r="AC4" s="3710" t="s">
        <v>1670</v>
      </c>
    </row>
    <row r="5" spans="1:29" ht="15">
      <c r="A5" s="358"/>
      <c r="B5" s="359"/>
      <c r="C5" s="3703" t="s">
        <v>3439</v>
      </c>
      <c r="D5" s="3704"/>
      <c r="E5" s="3703" t="s">
        <v>3494</v>
      </c>
      <c r="F5" s="3704"/>
      <c r="G5" s="3703" t="s">
        <v>3495</v>
      </c>
      <c r="H5" s="3704"/>
      <c r="I5" s="3703" t="s">
        <v>3496</v>
      </c>
      <c r="J5" s="3704"/>
      <c r="K5" s="559"/>
      <c r="L5" s="2715"/>
      <c r="M5" s="2716"/>
      <c r="N5" s="2716"/>
      <c r="O5" s="2716"/>
      <c r="P5" s="3719"/>
      <c r="Q5" s="3720"/>
      <c r="R5" s="3701"/>
      <c r="S5" s="3702"/>
      <c r="T5" s="3701"/>
      <c r="U5" s="3702"/>
      <c r="V5" s="3726"/>
      <c r="W5" s="3726"/>
      <c r="X5" s="3469"/>
      <c r="Y5" s="3701"/>
      <c r="Z5" s="3702"/>
      <c r="AA5" s="3695"/>
      <c r="AB5" s="3695"/>
      <c r="AC5" s="3711"/>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21"/>
      <c r="Q6" s="3722"/>
      <c r="R6" s="3701"/>
      <c r="S6" s="3702"/>
      <c r="T6" s="3723"/>
      <c r="U6" s="3724"/>
      <c r="V6" s="3726"/>
      <c r="W6" s="3726"/>
      <c r="X6" s="3469"/>
      <c r="Y6" s="3723"/>
      <c r="Z6" s="3724"/>
      <c r="AA6" s="3696"/>
      <c r="AB6" s="3696"/>
      <c r="AC6" s="3712"/>
    </row>
    <row r="7" spans="1:29" s="108" customFormat="1" ht="15.75" thickBot="1">
      <c r="A7" s="362" t="s">
        <v>1679</v>
      </c>
      <c r="B7" s="363"/>
      <c r="C7" s="364">
        <f>'数据-取费表'!B2</f>
        <v>45769</v>
      </c>
      <c r="D7" s="365">
        <v>100</v>
      </c>
      <c r="E7" s="366">
        <f>C7</f>
        <v>45769</v>
      </c>
      <c r="F7" s="367">
        <f>SUMIF(59:59,YEAR(E7)&amp;"-"&amp;MONTH(E7),60:60)</f>
        <v>100</v>
      </c>
      <c r="G7" s="366">
        <f>C7</f>
        <v>45769</v>
      </c>
      <c r="H7" s="365">
        <f>SUMIF(59:59,YEAR(G7)&amp;"-"&amp;MONTH(G7),60:60)</f>
        <v>100</v>
      </c>
      <c r="I7" s="366">
        <f>C7</f>
        <v>45769</v>
      </c>
      <c r="J7" s="365">
        <f>SUMIF(59:59,YEAR(I7)&amp;"-"&amp;MONTH(I7),60:60)</f>
        <v>100</v>
      </c>
      <c r="K7" s="560"/>
      <c r="L7" s="2717"/>
      <c r="M7" s="2718"/>
      <c r="N7" s="2718"/>
      <c r="O7" s="2718"/>
      <c r="P7" s="3727" t="s">
        <v>1680</v>
      </c>
      <c r="Q7" s="3728"/>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1959">
        <f>D7/J7</f>
        <v>1</v>
      </c>
    </row>
    <row r="8" spans="1:29" s="108" customFormat="1" ht="15.75" thickBot="1">
      <c r="A8" s="362" t="s">
        <v>1681</v>
      </c>
      <c r="B8" s="363"/>
      <c r="C8" s="368" t="s">
        <v>3440</v>
      </c>
      <c r="D8" s="365">
        <v>100</v>
      </c>
      <c r="E8" s="368" t="s">
        <v>3447</v>
      </c>
      <c r="F8" s="367">
        <f>SUMIF(62:62,E8,63:63)-SUMIF(62:62,C8,63:63)+100</f>
        <v>102</v>
      </c>
      <c r="G8" s="368" t="s">
        <v>3447</v>
      </c>
      <c r="H8" s="365">
        <f>SUMIF(62:62,G8,63:63)-SUMIF(62:62,C8,63:63)+100</f>
        <v>102</v>
      </c>
      <c r="I8" s="368" t="s">
        <v>3447</v>
      </c>
      <c r="J8" s="365">
        <f>SUMIF(62:62,I8,63:63)-SUMIF(62:62,C8,63:63)+100</f>
        <v>102</v>
      </c>
      <c r="K8" s="560"/>
      <c r="L8" s="2717"/>
      <c r="M8" s="2718"/>
      <c r="N8" s="2718"/>
      <c r="O8" s="2718"/>
      <c r="P8" s="3727" t="s">
        <v>1683</v>
      </c>
      <c r="Q8" s="3698"/>
      <c r="R8" s="701" t="s">
        <v>14</v>
      </c>
      <c r="S8" s="702">
        <f t="shared" si="0"/>
        <v>102</v>
      </c>
      <c r="T8" s="701" t="s">
        <v>14</v>
      </c>
      <c r="U8" s="702">
        <f t="shared" si="1"/>
        <v>102</v>
      </c>
      <c r="V8" s="701" t="s">
        <v>14</v>
      </c>
      <c r="W8" s="702">
        <f t="shared" si="2"/>
        <v>102</v>
      </c>
      <c r="X8" s="703"/>
      <c r="Y8" s="3697" t="s">
        <v>1683</v>
      </c>
      <c r="Z8" s="3698"/>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8"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09" t="s">
        <v>1686</v>
      </c>
      <c r="Q9" s="3468" t="str">
        <f t="shared" ref="Q9:Q15" si="6">B9</f>
        <v>用途</v>
      </c>
      <c r="R9" s="701" t="s">
        <v>14</v>
      </c>
      <c r="S9" s="702">
        <f t="shared" si="0"/>
        <v>100</v>
      </c>
      <c r="T9" s="701" t="s">
        <v>14</v>
      </c>
      <c r="U9" s="702">
        <f t="shared" si="1"/>
        <v>100</v>
      </c>
      <c r="V9" s="701" t="s">
        <v>14</v>
      </c>
      <c r="W9" s="702">
        <f t="shared" si="2"/>
        <v>100</v>
      </c>
      <c r="X9" s="703"/>
      <c r="Y9" s="3643" t="s">
        <v>1687</v>
      </c>
      <c r="Z9" s="3467"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3468" t="str">
        <f t="shared" si="6"/>
        <v>土地使用年限（年）</v>
      </c>
      <c r="R10" s="701" t="s">
        <v>14</v>
      </c>
      <c r="S10" s="702">
        <f t="shared" si="0"/>
        <v>100</v>
      </c>
      <c r="T10" s="701" t="s">
        <v>14</v>
      </c>
      <c r="U10" s="702">
        <f t="shared" si="1"/>
        <v>100</v>
      </c>
      <c r="V10" s="701" t="s">
        <v>14</v>
      </c>
      <c r="W10" s="702">
        <f t="shared" si="2"/>
        <v>100</v>
      </c>
      <c r="X10" s="703"/>
      <c r="Y10" s="3643"/>
      <c r="Z10" s="3467"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3468" t="str">
        <f t="shared" si="6"/>
        <v>容积率</v>
      </c>
      <c r="R11" s="701" t="s">
        <v>14</v>
      </c>
      <c r="S11" s="702">
        <f t="shared" si="0"/>
        <v>100</v>
      </c>
      <c r="T11" s="701" t="s">
        <v>14</v>
      </c>
      <c r="U11" s="702">
        <f t="shared" si="1"/>
        <v>100</v>
      </c>
      <c r="V11" s="701" t="s">
        <v>14</v>
      </c>
      <c r="W11" s="702">
        <f t="shared" si="2"/>
        <v>100</v>
      </c>
      <c r="X11" s="703"/>
      <c r="Y11" s="3643"/>
      <c r="Z11" s="3467"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3468">
        <f t="shared" si="6"/>
        <v>111</v>
      </c>
      <c r="R12" s="701" t="s">
        <v>14</v>
      </c>
      <c r="S12" s="702">
        <f t="shared" si="0"/>
        <v>100</v>
      </c>
      <c r="T12" s="701" t="s">
        <v>14</v>
      </c>
      <c r="U12" s="702">
        <f t="shared" si="1"/>
        <v>100</v>
      </c>
      <c r="V12" s="701" t="s">
        <v>14</v>
      </c>
      <c r="W12" s="702">
        <f t="shared" si="2"/>
        <v>100</v>
      </c>
      <c r="X12" s="703"/>
      <c r="Y12" s="3643"/>
      <c r="Z12" s="3467">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3468">
        <f t="shared" si="6"/>
        <v>111</v>
      </c>
      <c r="R13" s="701" t="s">
        <v>14</v>
      </c>
      <c r="S13" s="702">
        <f t="shared" si="0"/>
        <v>100</v>
      </c>
      <c r="T13" s="701" t="s">
        <v>14</v>
      </c>
      <c r="U13" s="702">
        <f t="shared" si="1"/>
        <v>100</v>
      </c>
      <c r="V13" s="701" t="s">
        <v>14</v>
      </c>
      <c r="W13" s="702">
        <f t="shared" si="2"/>
        <v>100</v>
      </c>
      <c r="X13" s="703"/>
      <c r="Y13" s="3643"/>
      <c r="Z13" s="3467">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3468">
        <f t="shared" si="6"/>
        <v>111</v>
      </c>
      <c r="R14" s="701" t="s">
        <v>14</v>
      </c>
      <c r="S14" s="702">
        <f t="shared" si="0"/>
        <v>100</v>
      </c>
      <c r="T14" s="701" t="s">
        <v>14</v>
      </c>
      <c r="U14" s="702">
        <f t="shared" si="1"/>
        <v>100</v>
      </c>
      <c r="V14" s="701" t="s">
        <v>14</v>
      </c>
      <c r="W14" s="702">
        <f t="shared" si="2"/>
        <v>100</v>
      </c>
      <c r="X14" s="703"/>
      <c r="Y14" s="3643"/>
      <c r="Z14" s="3467">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29" t="s">
        <v>1691</v>
      </c>
      <c r="Q15" s="3472" t="str">
        <f t="shared" si="6"/>
        <v>办公集聚程度</v>
      </c>
      <c r="R15" s="705" t="s">
        <v>14</v>
      </c>
      <c r="S15" s="706">
        <f t="shared" si="0"/>
        <v>100</v>
      </c>
      <c r="T15" s="705" t="s">
        <v>14</v>
      </c>
      <c r="U15" s="706">
        <f t="shared" si="1"/>
        <v>100</v>
      </c>
      <c r="V15" s="705" t="s">
        <v>14</v>
      </c>
      <c r="W15" s="706">
        <f t="shared" si="2"/>
        <v>100</v>
      </c>
      <c r="X15" s="3469"/>
      <c r="Y15" s="3731" t="s">
        <v>1691</v>
      </c>
      <c r="Z15" s="3470" t="str">
        <f t="shared" si="7"/>
        <v>办公集聚程度</v>
      </c>
      <c r="AA15" s="3473">
        <f t="shared" si="3"/>
        <v>1</v>
      </c>
      <c r="AB15" s="3473">
        <f t="shared" si="4"/>
        <v>1</v>
      </c>
      <c r="AC15" s="1962">
        <f t="shared" si="5"/>
        <v>1</v>
      </c>
    </row>
    <row r="16" spans="1:29" ht="15">
      <c r="A16" s="379"/>
      <c r="B16" s="578"/>
      <c r="C16" s="1904" t="s">
        <v>3473</v>
      </c>
      <c r="D16" s="399"/>
      <c r="E16" s="1904" t="s">
        <v>3473</v>
      </c>
      <c r="F16" s="399"/>
      <c r="G16" s="1904" t="s">
        <v>3473</v>
      </c>
      <c r="H16" s="401"/>
      <c r="I16" s="1904" t="s">
        <v>3473</v>
      </c>
      <c r="J16" s="399"/>
      <c r="K16" s="564"/>
      <c r="L16" s="2722"/>
      <c r="M16" s="2716"/>
      <c r="N16" s="2716"/>
      <c r="O16" s="2716"/>
      <c r="P16" s="3730"/>
      <c r="Q16" s="3472"/>
      <c r="R16" s="705"/>
      <c r="S16" s="706"/>
      <c r="T16" s="705"/>
      <c r="U16" s="706"/>
      <c r="V16" s="705"/>
      <c r="W16" s="706"/>
      <c r="X16" s="3469"/>
      <c r="Y16" s="3732"/>
      <c r="Z16" s="3470"/>
      <c r="AA16" s="3473">
        <v>1</v>
      </c>
      <c r="AB16" s="347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30"/>
      <c r="Q17" s="3472" t="str">
        <f>B17</f>
        <v>交通便捷度</v>
      </c>
      <c r="R17" s="705" t="s">
        <v>14</v>
      </c>
      <c r="S17" s="706">
        <f>F17</f>
        <v>100</v>
      </c>
      <c r="T17" s="705" t="s">
        <v>14</v>
      </c>
      <c r="U17" s="706">
        <f>H17</f>
        <v>100</v>
      </c>
      <c r="V17" s="705" t="s">
        <v>14</v>
      </c>
      <c r="W17" s="706">
        <f>J17</f>
        <v>100</v>
      </c>
      <c r="X17" s="3469"/>
      <c r="Y17" s="3732"/>
      <c r="Z17" s="3470" t="str">
        <f>Q17</f>
        <v>交通便捷度</v>
      </c>
      <c r="AA17" s="3473">
        <f t="shared" si="3"/>
        <v>1</v>
      </c>
      <c r="AB17" s="3473">
        <f t="shared" si="4"/>
        <v>1</v>
      </c>
      <c r="AC17" s="1962">
        <f t="shared" si="5"/>
        <v>1</v>
      </c>
    </row>
    <row r="18" spans="1:29" ht="15">
      <c r="A18" s="379"/>
      <c r="B18" s="580"/>
      <c r="C18" s="1964" t="s">
        <v>3473</v>
      </c>
      <c r="D18" s="401"/>
      <c r="E18" s="1964" t="s">
        <v>3473</v>
      </c>
      <c r="F18" s="401"/>
      <c r="G18" s="1964" t="s">
        <v>3473</v>
      </c>
      <c r="H18" s="399"/>
      <c r="I18" s="1964" t="s">
        <v>3473</v>
      </c>
      <c r="J18" s="399"/>
      <c r="K18" s="564"/>
      <c r="L18" s="2722"/>
      <c r="M18" s="2716"/>
      <c r="N18" s="2716"/>
      <c r="O18" s="2716"/>
      <c r="P18" s="3730"/>
      <c r="Q18" s="3472"/>
      <c r="R18" s="705"/>
      <c r="S18" s="706"/>
      <c r="T18" s="705"/>
      <c r="U18" s="706"/>
      <c r="V18" s="705"/>
      <c r="W18" s="706"/>
      <c r="X18" s="3469"/>
      <c r="Y18" s="3732"/>
      <c r="Z18" s="3470"/>
      <c r="AA18" s="3473">
        <v>1</v>
      </c>
      <c r="AB18" s="347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30"/>
      <c r="Q19" s="3472" t="str">
        <f>B19</f>
        <v>公共配套设施</v>
      </c>
      <c r="R19" s="705" t="s">
        <v>14</v>
      </c>
      <c r="S19" s="706">
        <f>F19</f>
        <v>100</v>
      </c>
      <c r="T19" s="705" t="s">
        <v>14</v>
      </c>
      <c r="U19" s="706">
        <f>H19</f>
        <v>100</v>
      </c>
      <c r="V19" s="705" t="s">
        <v>14</v>
      </c>
      <c r="W19" s="706">
        <f>J19</f>
        <v>100</v>
      </c>
      <c r="X19" s="3469"/>
      <c r="Y19" s="3732"/>
      <c r="Z19" s="3470" t="str">
        <f>Q19</f>
        <v>公共配套设施</v>
      </c>
      <c r="AA19" s="3473">
        <f t="shared" si="3"/>
        <v>1</v>
      </c>
      <c r="AB19" s="3473">
        <f t="shared" si="4"/>
        <v>1</v>
      </c>
      <c r="AC19" s="1962">
        <f t="shared" si="5"/>
        <v>1</v>
      </c>
    </row>
    <row r="20" spans="1:29" ht="15">
      <c r="A20" s="379"/>
      <c r="B20" s="580"/>
      <c r="C20" s="1904" t="s">
        <v>3473</v>
      </c>
      <c r="D20" s="399"/>
      <c r="E20" s="1904" t="s">
        <v>3473</v>
      </c>
      <c r="F20" s="399"/>
      <c r="G20" s="1904" t="s">
        <v>3473</v>
      </c>
      <c r="H20" s="399"/>
      <c r="I20" s="1904" t="s">
        <v>3473</v>
      </c>
      <c r="J20" s="399"/>
      <c r="K20" s="564"/>
      <c r="L20" s="2722"/>
      <c r="M20" s="2716"/>
      <c r="N20" s="2716"/>
      <c r="O20" s="2716"/>
      <c r="P20" s="3730"/>
      <c r="Q20" s="3472"/>
      <c r="R20" s="705"/>
      <c r="S20" s="706"/>
      <c r="T20" s="705"/>
      <c r="U20" s="706"/>
      <c r="V20" s="705"/>
      <c r="W20" s="706"/>
      <c r="X20" s="3469"/>
      <c r="Y20" s="3732"/>
      <c r="Z20" s="3470"/>
      <c r="AA20" s="3473">
        <v>1</v>
      </c>
      <c r="AB20" s="347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730"/>
      <c r="Q21" s="3472" t="str">
        <f>B21</f>
        <v>基础设施水平</v>
      </c>
      <c r="R21" s="705" t="s">
        <v>14</v>
      </c>
      <c r="S21" s="706">
        <f>F21</f>
        <v>100</v>
      </c>
      <c r="T21" s="705" t="s">
        <v>14</v>
      </c>
      <c r="U21" s="706">
        <f>H21</f>
        <v>100</v>
      </c>
      <c r="V21" s="705" t="s">
        <v>14</v>
      </c>
      <c r="W21" s="706">
        <f>J21</f>
        <v>100</v>
      </c>
      <c r="X21" s="3469"/>
      <c r="Y21" s="3732"/>
      <c r="Z21" s="3470" t="str">
        <f>Q21</f>
        <v>基础设施水平</v>
      </c>
      <c r="AA21" s="3473">
        <f t="shared" ref="AA21" si="8">D21/F21</f>
        <v>1</v>
      </c>
      <c r="AB21" s="3473">
        <f t="shared" ref="AB21" si="9">D21/H21</f>
        <v>1</v>
      </c>
      <c r="AC21" s="1962">
        <f t="shared" ref="AC21" si="10">D21/J21</f>
        <v>1</v>
      </c>
    </row>
    <row r="22" spans="1:29" ht="15">
      <c r="A22" s="379"/>
      <c r="B22" s="581"/>
      <c r="C22" s="1964" t="s">
        <v>3467</v>
      </c>
      <c r="D22" s="399"/>
      <c r="E22" s="1964" t="s">
        <v>3467</v>
      </c>
      <c r="F22" s="399"/>
      <c r="G22" s="1964" t="s">
        <v>3467</v>
      </c>
      <c r="H22" s="399"/>
      <c r="I22" s="1964" t="s">
        <v>3467</v>
      </c>
      <c r="J22" s="399"/>
      <c r="K22" s="1130"/>
      <c r="L22" s="2722"/>
      <c r="M22" s="2716"/>
      <c r="N22" s="2716"/>
      <c r="O22" s="2716"/>
      <c r="P22" s="3730"/>
      <c r="Q22" s="3472"/>
      <c r="R22" s="705"/>
      <c r="S22" s="706"/>
      <c r="T22" s="705"/>
      <c r="U22" s="706"/>
      <c r="V22" s="705"/>
      <c r="W22" s="706"/>
      <c r="X22" s="3469"/>
      <c r="Y22" s="3732"/>
      <c r="Z22" s="3470"/>
      <c r="AA22" s="3473">
        <v>1</v>
      </c>
      <c r="AB22" s="347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730"/>
      <c r="Q23" s="3472" t="str">
        <f>B23</f>
        <v>环境质量</v>
      </c>
      <c r="R23" s="705" t="s">
        <v>14</v>
      </c>
      <c r="S23" s="706">
        <f>F23</f>
        <v>100</v>
      </c>
      <c r="T23" s="705" t="s">
        <v>14</v>
      </c>
      <c r="U23" s="706">
        <f>H23</f>
        <v>100</v>
      </c>
      <c r="V23" s="705" t="s">
        <v>14</v>
      </c>
      <c r="W23" s="706">
        <f>J23</f>
        <v>100</v>
      </c>
      <c r="X23" s="3469"/>
      <c r="Y23" s="3732"/>
      <c r="Z23" s="3470" t="str">
        <f>Q23</f>
        <v>环境质量</v>
      </c>
      <c r="AA23" s="3473">
        <f t="shared" si="3"/>
        <v>1</v>
      </c>
      <c r="AB23" s="3473">
        <f t="shared" si="4"/>
        <v>1</v>
      </c>
      <c r="AC23" s="1962">
        <f t="shared" si="5"/>
        <v>1</v>
      </c>
    </row>
    <row r="24" spans="1:29" ht="15">
      <c r="A24" s="379"/>
      <c r="B24" s="581"/>
      <c r="C24" s="1904" t="s">
        <v>3473</v>
      </c>
      <c r="D24" s="399"/>
      <c r="E24" s="1904" t="s">
        <v>3473</v>
      </c>
      <c r="F24" s="399"/>
      <c r="G24" s="1904" t="s">
        <v>3473</v>
      </c>
      <c r="H24" s="399"/>
      <c r="I24" s="1904" t="s">
        <v>3473</v>
      </c>
      <c r="J24" s="399"/>
      <c r="K24" s="564"/>
      <c r="L24" s="2722"/>
      <c r="M24" s="2716"/>
      <c r="N24" s="2716"/>
      <c r="O24" s="2716"/>
      <c r="P24" s="3730"/>
      <c r="Q24" s="3472"/>
      <c r="R24" s="705"/>
      <c r="S24" s="706"/>
      <c r="T24" s="705"/>
      <c r="U24" s="706"/>
      <c r="V24" s="705"/>
      <c r="W24" s="706"/>
      <c r="X24" s="3469"/>
      <c r="Y24" s="3732"/>
      <c r="Z24" s="3470"/>
      <c r="AA24" s="3473">
        <v>1</v>
      </c>
      <c r="AB24" s="347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0"/>
      <c r="Q25" s="3472" t="str">
        <f>B25</f>
        <v>毗邻道路的类型与等级</v>
      </c>
      <c r="R25" s="705" t="s">
        <v>14</v>
      </c>
      <c r="S25" s="706">
        <f>F25</f>
        <v>100</v>
      </c>
      <c r="T25" s="705" t="s">
        <v>14</v>
      </c>
      <c r="U25" s="706">
        <f>H25</f>
        <v>100</v>
      </c>
      <c r="V25" s="705" t="s">
        <v>14</v>
      </c>
      <c r="W25" s="706">
        <f>J25</f>
        <v>100</v>
      </c>
      <c r="X25" s="3469"/>
      <c r="Y25" s="3732"/>
      <c r="Z25" s="3470" t="str">
        <f>Q25</f>
        <v>毗邻道路的类型与等级</v>
      </c>
      <c r="AA25" s="3473">
        <f t="shared" si="3"/>
        <v>1</v>
      </c>
      <c r="AB25" s="3473">
        <f t="shared" si="4"/>
        <v>1</v>
      </c>
      <c r="AC25" s="1962">
        <f t="shared" si="5"/>
        <v>1</v>
      </c>
    </row>
    <row r="26" spans="1:29" ht="15">
      <c r="A26" s="358"/>
      <c r="B26" s="580"/>
      <c r="C26" s="582"/>
      <c r="D26" s="386"/>
      <c r="E26" s="565"/>
      <c r="F26" s="386"/>
      <c r="G26" s="582"/>
      <c r="H26" s="386"/>
      <c r="I26" s="565"/>
      <c r="J26" s="386"/>
      <c r="K26" s="564"/>
      <c r="L26" s="2722"/>
      <c r="M26" s="2716"/>
      <c r="N26" s="2716"/>
      <c r="O26" s="2716"/>
      <c r="P26" s="3730"/>
      <c r="Q26" s="3472"/>
      <c r="R26" s="705"/>
      <c r="S26" s="706"/>
      <c r="T26" s="705"/>
      <c r="U26" s="706"/>
      <c r="V26" s="705"/>
      <c r="W26" s="706"/>
      <c r="X26" s="3469"/>
      <c r="Y26" s="3732"/>
      <c r="Z26" s="3470"/>
      <c r="AA26" s="3473">
        <v>1</v>
      </c>
      <c r="AB26" s="3473">
        <v>1</v>
      </c>
      <c r="AC26" s="1962">
        <v>1</v>
      </c>
    </row>
    <row r="27" spans="1:29" ht="15">
      <c r="A27" s="379"/>
      <c r="B27" s="580" t="s">
        <v>1783</v>
      </c>
      <c r="C27" s="582" t="s">
        <v>3452</v>
      </c>
      <c r="D27" s="386">
        <v>100</v>
      </c>
      <c r="E27" s="565" t="s">
        <v>3501</v>
      </c>
      <c r="F27" s="386">
        <f>SUMIF(89:89,E27,90:90)-SUMIF(89:89,C27,90:90)+100</f>
        <v>101</v>
      </c>
      <c r="G27" s="582" t="s">
        <v>3452</v>
      </c>
      <c r="H27" s="386">
        <f>SUMIF(89:89,G27,90:90)-SUMIF(89:89,C27,90:90)+100</f>
        <v>100</v>
      </c>
      <c r="I27" s="565" t="s">
        <v>3452</v>
      </c>
      <c r="J27" s="386">
        <f>SUMIF(89:89,I27,90:90)-SUMIF(89:89,C27,90:90)+100</f>
        <v>100</v>
      </c>
      <c r="K27" s="561">
        <v>1</v>
      </c>
      <c r="L27" s="2722"/>
      <c r="M27" s="2716"/>
      <c r="N27" s="2716"/>
      <c r="O27" s="2716"/>
      <c r="P27" s="3730"/>
      <c r="Q27" s="3472" t="str">
        <f t="shared" ref="Q27:Q47" si="11">B27</f>
        <v>楼层</v>
      </c>
      <c r="R27" s="705" t="s">
        <v>14</v>
      </c>
      <c r="S27" s="706">
        <f>F27</f>
        <v>101</v>
      </c>
      <c r="T27" s="705" t="s">
        <v>14</v>
      </c>
      <c r="U27" s="706">
        <f>H27</f>
        <v>100</v>
      </c>
      <c r="V27" s="705" t="s">
        <v>14</v>
      </c>
      <c r="W27" s="706">
        <f>J27</f>
        <v>100</v>
      </c>
      <c r="X27" s="3469"/>
      <c r="Y27" s="3732"/>
      <c r="Z27" s="3470" t="str">
        <f>Q27</f>
        <v>楼层</v>
      </c>
      <c r="AA27" s="3473">
        <f t="shared" si="3"/>
        <v>0.99009900990099009</v>
      </c>
      <c r="AB27" s="347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0"/>
      <c r="Q28" s="3468" t="str">
        <f t="shared" si="11"/>
        <v>朝向</v>
      </c>
      <c r="R28" s="701" t="s">
        <v>14</v>
      </c>
      <c r="S28" s="702">
        <f>F28</f>
        <v>100</v>
      </c>
      <c r="T28" s="701" t="s">
        <v>14</v>
      </c>
      <c r="U28" s="702">
        <f>H28</f>
        <v>100</v>
      </c>
      <c r="V28" s="701" t="s">
        <v>14</v>
      </c>
      <c r="W28" s="702">
        <f>J28</f>
        <v>100</v>
      </c>
      <c r="X28" s="703"/>
      <c r="Y28" s="3732"/>
      <c r="Z28" s="3467" t="str">
        <f>Q28</f>
        <v>朝向</v>
      </c>
      <c r="AA28" s="3473">
        <f>D28/F28</f>
        <v>1</v>
      </c>
      <c r="AB28" s="347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0"/>
      <c r="Q29" s="3472">
        <f t="shared" si="11"/>
        <v>111</v>
      </c>
      <c r="R29" s="705" t="s">
        <v>14</v>
      </c>
      <c r="S29" s="706">
        <f t="shared" ref="S29:S47" si="12">F29</f>
        <v>100</v>
      </c>
      <c r="T29" s="705" t="s">
        <v>14</v>
      </c>
      <c r="U29" s="706">
        <f t="shared" ref="U29:U47" si="13">H29</f>
        <v>100</v>
      </c>
      <c r="V29" s="705" t="s">
        <v>14</v>
      </c>
      <c r="W29" s="706">
        <f t="shared" ref="W29:W47" si="14">J29</f>
        <v>100</v>
      </c>
      <c r="X29" s="3469"/>
      <c r="Y29" s="3732"/>
      <c r="Z29" s="3470">
        <f t="shared" ref="Z29:Z47" si="15">Q29</f>
        <v>111</v>
      </c>
      <c r="AA29" s="3473">
        <f t="shared" si="3"/>
        <v>1</v>
      </c>
      <c r="AB29" s="347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0"/>
      <c r="Q30" s="3472">
        <f t="shared" si="11"/>
        <v>111</v>
      </c>
      <c r="R30" s="705" t="s">
        <v>14</v>
      </c>
      <c r="S30" s="706">
        <f t="shared" si="12"/>
        <v>100</v>
      </c>
      <c r="T30" s="705" t="s">
        <v>14</v>
      </c>
      <c r="U30" s="706">
        <f t="shared" si="13"/>
        <v>100</v>
      </c>
      <c r="V30" s="705" t="s">
        <v>14</v>
      </c>
      <c r="W30" s="706">
        <f t="shared" si="14"/>
        <v>100</v>
      </c>
      <c r="X30" s="3469"/>
      <c r="Y30" s="3732"/>
      <c r="Z30" s="3470">
        <f t="shared" si="15"/>
        <v>111</v>
      </c>
      <c r="AA30" s="3473">
        <f t="shared" si="3"/>
        <v>1</v>
      </c>
      <c r="AB30" s="347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0"/>
      <c r="Q31" s="3472">
        <f t="shared" si="11"/>
        <v>111</v>
      </c>
      <c r="R31" s="705" t="s">
        <v>14</v>
      </c>
      <c r="S31" s="706">
        <f t="shared" si="12"/>
        <v>100</v>
      </c>
      <c r="T31" s="705" t="s">
        <v>14</v>
      </c>
      <c r="U31" s="706">
        <f t="shared" si="13"/>
        <v>100</v>
      </c>
      <c r="V31" s="705" t="s">
        <v>14</v>
      </c>
      <c r="W31" s="706">
        <f t="shared" si="14"/>
        <v>100</v>
      </c>
      <c r="X31" s="3469"/>
      <c r="Y31" s="3732"/>
      <c r="Z31" s="3470">
        <f t="shared" si="15"/>
        <v>111</v>
      </c>
      <c r="AA31" s="3473">
        <f t="shared" si="3"/>
        <v>1</v>
      </c>
      <c r="AB31" s="347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0"/>
      <c r="Q32" s="3472">
        <f t="shared" si="11"/>
        <v>111</v>
      </c>
      <c r="R32" s="705" t="s">
        <v>14</v>
      </c>
      <c r="S32" s="706">
        <f t="shared" si="12"/>
        <v>100</v>
      </c>
      <c r="T32" s="705" t="s">
        <v>14</v>
      </c>
      <c r="U32" s="706">
        <f t="shared" si="13"/>
        <v>100</v>
      </c>
      <c r="V32" s="705" t="s">
        <v>14</v>
      </c>
      <c r="W32" s="706">
        <f t="shared" si="14"/>
        <v>100</v>
      </c>
      <c r="X32" s="3469"/>
      <c r="Y32" s="3732"/>
      <c r="Z32" s="3470">
        <f t="shared" si="15"/>
        <v>111</v>
      </c>
      <c r="AA32" s="3473">
        <f t="shared" si="3"/>
        <v>1</v>
      </c>
      <c r="AB32" s="3473">
        <f t="shared" si="4"/>
        <v>1</v>
      </c>
      <c r="AC32" s="1962">
        <f t="shared" si="5"/>
        <v>1</v>
      </c>
    </row>
    <row r="33" spans="1:29" ht="15">
      <c r="A33" s="391" t="s">
        <v>1694</v>
      </c>
      <c r="B33" s="63" t="s">
        <v>1817</v>
      </c>
      <c r="C33" s="1967" t="s">
        <v>3454</v>
      </c>
      <c r="D33" s="418">
        <v>100</v>
      </c>
      <c r="E33" s="1967" t="s">
        <v>3454</v>
      </c>
      <c r="F33" s="412">
        <f>SUMIF(101:101,E33,102:102)-SUMIF(101:101,C33,102:102)+100</f>
        <v>100</v>
      </c>
      <c r="G33" s="1967" t="s">
        <v>3454</v>
      </c>
      <c r="H33" s="386">
        <f>SUMIF(101:101,G33,102:102)-SUMIF(101:101,C33,102:102)+100</f>
        <v>100</v>
      </c>
      <c r="I33" s="1967" t="s">
        <v>3454</v>
      </c>
      <c r="J33" s="418">
        <f>SUMIF(101:101,I33,102:102)-SUMIF(101:101,C33,102:102)+100</f>
        <v>100</v>
      </c>
      <c r="K33" s="561">
        <v>2</v>
      </c>
      <c r="L33" s="2722"/>
      <c r="M33" s="2716"/>
      <c r="N33" s="2716"/>
      <c r="O33" s="2716"/>
      <c r="P33" s="3733" t="s">
        <v>1696</v>
      </c>
      <c r="Q33" s="3472" t="str">
        <f t="shared" si="11"/>
        <v>建筑类型</v>
      </c>
      <c r="R33" s="705" t="s">
        <v>14</v>
      </c>
      <c r="S33" s="706">
        <f t="shared" si="12"/>
        <v>100</v>
      </c>
      <c r="T33" s="705" t="s">
        <v>14</v>
      </c>
      <c r="U33" s="706">
        <f t="shared" si="13"/>
        <v>100</v>
      </c>
      <c r="V33" s="705" t="s">
        <v>14</v>
      </c>
      <c r="W33" s="706">
        <f t="shared" si="14"/>
        <v>100</v>
      </c>
      <c r="X33" s="3469"/>
      <c r="Y33" s="3736" t="s">
        <v>1696</v>
      </c>
      <c r="Z33" s="3470" t="str">
        <f t="shared" si="15"/>
        <v>建筑类型</v>
      </c>
      <c r="AA33" s="3473">
        <f t="shared" si="3"/>
        <v>1</v>
      </c>
      <c r="AB33" s="3473">
        <f t="shared" si="4"/>
        <v>1</v>
      </c>
      <c r="AC33" s="1962">
        <f t="shared" si="5"/>
        <v>1</v>
      </c>
    </row>
    <row r="34" spans="1:29" s="422" customFormat="1" ht="15">
      <c r="A34" s="419"/>
      <c r="B34" s="375" t="s">
        <v>1697</v>
      </c>
      <c r="C34" s="420">
        <f>'数据-汇总表'!E3</f>
        <v>154.24</v>
      </c>
      <c r="D34" s="127">
        <v>100</v>
      </c>
      <c r="E34" s="420">
        <v>369.1</v>
      </c>
      <c r="F34" s="376">
        <f>LOOKUP(E34,104:104,105:105)-LOOKUP(C34,104:104,105:105)+100</f>
        <v>100</v>
      </c>
      <c r="G34" s="420">
        <v>90</v>
      </c>
      <c r="H34" s="127">
        <f>LOOKUP(G34,104:104,105:105)-LOOKUP(C34,104:104,105:105)+100</f>
        <v>100</v>
      </c>
      <c r="I34" s="420">
        <v>393.07</v>
      </c>
      <c r="J34" s="127">
        <f>LOOKUP(I34,104:104,105:105)-LOOKUP(C34,104:104,105:105)+100</f>
        <v>100</v>
      </c>
      <c r="K34" s="562"/>
      <c r="L34" s="2721"/>
      <c r="M34" s="2723"/>
      <c r="N34" s="2723"/>
      <c r="O34" s="2723"/>
      <c r="P34" s="3734"/>
      <c r="Q34" s="707" t="str">
        <f t="shared" si="11"/>
        <v>项目建筑规模</v>
      </c>
      <c r="R34" s="708" t="s">
        <v>14</v>
      </c>
      <c r="S34" s="709">
        <f t="shared" si="12"/>
        <v>100</v>
      </c>
      <c r="T34" s="708" t="s">
        <v>14</v>
      </c>
      <c r="U34" s="709">
        <f t="shared" si="13"/>
        <v>100</v>
      </c>
      <c r="V34" s="708" t="s">
        <v>14</v>
      </c>
      <c r="W34" s="709">
        <f t="shared" si="14"/>
        <v>100</v>
      </c>
      <c r="X34" s="710"/>
      <c r="Y34" s="3736"/>
      <c r="Z34" s="711" t="str">
        <f t="shared" si="15"/>
        <v>项目建筑规模</v>
      </c>
      <c r="AA34" s="3473">
        <f t="shared" si="3"/>
        <v>1</v>
      </c>
      <c r="AB34" s="3473">
        <f t="shared" si="4"/>
        <v>1</v>
      </c>
      <c r="AC34" s="1962">
        <f t="shared" si="5"/>
        <v>1</v>
      </c>
    </row>
    <row r="35" spans="1:29" ht="15">
      <c r="A35" s="423"/>
      <c r="B35" s="375" t="s">
        <v>1698</v>
      </c>
      <c r="C35" s="411" t="s">
        <v>3429</v>
      </c>
      <c r="D35" s="386">
        <v>100</v>
      </c>
      <c r="E35" s="411" t="s">
        <v>3429</v>
      </c>
      <c r="F35" s="412">
        <f>SUMIF(106:106,E35,107:107)-SUMIF(106:106,C35,107:107)+100</f>
        <v>100</v>
      </c>
      <c r="G35" s="411" t="s">
        <v>3429</v>
      </c>
      <c r="H35" s="386">
        <f>SUMIF(106:106,G35,107:107)-SUMIF(106:106,C35,107:107)+100</f>
        <v>100</v>
      </c>
      <c r="I35" s="411" t="s">
        <v>3429</v>
      </c>
      <c r="J35" s="386">
        <f>SUMIF(106:106,I35,107:107)-SUMIF(106:106,C35,107:107)+100</f>
        <v>100</v>
      </c>
      <c r="K35" s="561">
        <v>1</v>
      </c>
      <c r="L35" s="2722"/>
      <c r="M35" s="2716"/>
      <c r="N35" s="2716"/>
      <c r="O35" s="2716"/>
      <c r="P35" s="3734"/>
      <c r="Q35" s="3472" t="str">
        <f t="shared" si="11"/>
        <v>建筑结构</v>
      </c>
      <c r="R35" s="705" t="s">
        <v>14</v>
      </c>
      <c r="S35" s="706">
        <f t="shared" si="12"/>
        <v>100</v>
      </c>
      <c r="T35" s="705" t="s">
        <v>14</v>
      </c>
      <c r="U35" s="706">
        <f t="shared" si="13"/>
        <v>100</v>
      </c>
      <c r="V35" s="705" t="s">
        <v>14</v>
      </c>
      <c r="W35" s="706">
        <f t="shared" si="14"/>
        <v>100</v>
      </c>
      <c r="X35" s="3469"/>
      <c r="Y35" s="3736"/>
      <c r="Z35" s="3470" t="str">
        <f t="shared" si="15"/>
        <v>建筑结构</v>
      </c>
      <c r="AA35" s="3473">
        <f t="shared" si="3"/>
        <v>1</v>
      </c>
      <c r="AB35" s="3473">
        <f t="shared" si="4"/>
        <v>1</v>
      </c>
      <c r="AC35" s="1962">
        <f t="shared" si="5"/>
        <v>1</v>
      </c>
    </row>
    <row r="36" spans="1:29" ht="15">
      <c r="A36" s="423"/>
      <c r="B36" s="375" t="s">
        <v>1785</v>
      </c>
      <c r="C36" s="411" t="s">
        <v>3457</v>
      </c>
      <c r="D36" s="386">
        <v>100</v>
      </c>
      <c r="E36" s="411" t="s">
        <v>3457</v>
      </c>
      <c r="F36" s="412">
        <f>SUMIF(108:108,E36,109:109)-SUMIF(108:108,C36,109:109)+100</f>
        <v>100</v>
      </c>
      <c r="G36" s="411" t="s">
        <v>3457</v>
      </c>
      <c r="H36" s="386">
        <f>SUMIF(108:108,G36,109:109)-SUMIF(108:108,C36,109:109)+100</f>
        <v>100</v>
      </c>
      <c r="I36" s="411" t="s">
        <v>3457</v>
      </c>
      <c r="J36" s="386">
        <f>SUMIF(108:108,I36,109:109)-SUMIF(108:108,C36,109:109)+100</f>
        <v>100</v>
      </c>
      <c r="K36" s="561">
        <v>1</v>
      </c>
      <c r="L36" s="2722"/>
      <c r="M36" s="2716"/>
      <c r="N36" s="2716"/>
      <c r="O36" s="2716"/>
      <c r="P36" s="3734"/>
      <c r="Q36" s="3472" t="str">
        <f t="shared" si="11"/>
        <v>公共部分装修</v>
      </c>
      <c r="R36" s="705" t="s">
        <v>14</v>
      </c>
      <c r="S36" s="706">
        <f t="shared" si="12"/>
        <v>100</v>
      </c>
      <c r="T36" s="705" t="s">
        <v>14</v>
      </c>
      <c r="U36" s="706">
        <f t="shared" si="13"/>
        <v>100</v>
      </c>
      <c r="V36" s="705" t="s">
        <v>14</v>
      </c>
      <c r="W36" s="706">
        <f t="shared" si="14"/>
        <v>100</v>
      </c>
      <c r="X36" s="3469"/>
      <c r="Y36" s="3736"/>
      <c r="Z36" s="3470" t="str">
        <f t="shared" si="15"/>
        <v>公共部分装修</v>
      </c>
      <c r="AA36" s="3473">
        <f t="shared" si="3"/>
        <v>1</v>
      </c>
      <c r="AB36" s="3473">
        <f t="shared" si="4"/>
        <v>1</v>
      </c>
      <c r="AC36" s="1962">
        <f t="shared" si="5"/>
        <v>1</v>
      </c>
    </row>
    <row r="37" spans="1:29" ht="15">
      <c r="A37" s="423"/>
      <c r="B37" s="375" t="s">
        <v>1786</v>
      </c>
      <c r="C37" s="425">
        <f>'数据-取费表'!N6</f>
        <v>0.85</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v>1</v>
      </c>
      <c r="L37" s="2722"/>
      <c r="M37" s="2716"/>
      <c r="N37" s="2716"/>
      <c r="O37" s="2716"/>
      <c r="P37" s="3734"/>
      <c r="Q37" s="3472" t="str">
        <f t="shared" si="11"/>
        <v>成新度</v>
      </c>
      <c r="R37" s="705" t="s">
        <v>14</v>
      </c>
      <c r="S37" s="706">
        <f t="shared" si="12"/>
        <v>100</v>
      </c>
      <c r="T37" s="705" t="s">
        <v>14</v>
      </c>
      <c r="U37" s="706">
        <f t="shared" si="13"/>
        <v>100</v>
      </c>
      <c r="V37" s="705" t="s">
        <v>14</v>
      </c>
      <c r="W37" s="706">
        <f t="shared" si="14"/>
        <v>100</v>
      </c>
      <c r="X37" s="3469"/>
      <c r="Y37" s="3736"/>
      <c r="Z37" s="3470" t="str">
        <f t="shared" si="15"/>
        <v>成新度</v>
      </c>
      <c r="AA37" s="3473">
        <f t="shared" si="3"/>
        <v>1</v>
      </c>
      <c r="AB37" s="347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4"/>
      <c r="Q38" s="3468" t="str">
        <f t="shared" si="11"/>
        <v>写字楼等级</v>
      </c>
      <c r="R38" s="701" t="s">
        <v>14</v>
      </c>
      <c r="S38" s="702">
        <f t="shared" si="12"/>
        <v>100</v>
      </c>
      <c r="T38" s="701" t="s">
        <v>14</v>
      </c>
      <c r="U38" s="702">
        <f t="shared" si="13"/>
        <v>100</v>
      </c>
      <c r="V38" s="701" t="s">
        <v>14</v>
      </c>
      <c r="W38" s="702">
        <f t="shared" si="14"/>
        <v>100</v>
      </c>
      <c r="X38" s="703"/>
      <c r="Y38" s="3736"/>
      <c r="Z38" s="3467" t="str">
        <f t="shared" si="15"/>
        <v>写字楼等级</v>
      </c>
      <c r="AA38" s="704">
        <f t="shared" si="3"/>
        <v>1</v>
      </c>
      <c r="AB38" s="704">
        <f t="shared" si="4"/>
        <v>1</v>
      </c>
      <c r="AC38" s="1959">
        <f t="shared" si="5"/>
        <v>1</v>
      </c>
    </row>
    <row r="39" spans="1:29" ht="15">
      <c r="A39" s="423"/>
      <c r="B39" s="375" t="s">
        <v>1819</v>
      </c>
      <c r="C39" s="411" t="s">
        <v>3464</v>
      </c>
      <c r="D39" s="386">
        <v>100</v>
      </c>
      <c r="E39" s="411" t="s">
        <v>3464</v>
      </c>
      <c r="F39" s="412">
        <f>SUMIF(115:115,E39,116:116)-SUMIF(115:115,C39,116:116)+100</f>
        <v>100</v>
      </c>
      <c r="G39" s="411" t="s">
        <v>3464</v>
      </c>
      <c r="H39" s="386">
        <f>SUMIF(115:115,G39,116:116)-SUMIF(115:115,C39,116:116)+100</f>
        <v>100</v>
      </c>
      <c r="I39" s="411" t="s">
        <v>3464</v>
      </c>
      <c r="J39" s="386">
        <f>SUMIF(115:115,I39,116:116)-SUMIF(115:115,C39,116:116)+100</f>
        <v>100</v>
      </c>
      <c r="K39" s="561">
        <v>1</v>
      </c>
      <c r="L39" s="2722"/>
      <c r="M39" s="2716"/>
      <c r="N39" s="2716"/>
      <c r="O39" s="2716"/>
      <c r="P39" s="3734" t="s">
        <v>1696</v>
      </c>
      <c r="Q39" s="3472" t="str">
        <f t="shared" si="11"/>
        <v>物业管理</v>
      </c>
      <c r="R39" s="705" t="s">
        <v>14</v>
      </c>
      <c r="S39" s="706">
        <f t="shared" si="12"/>
        <v>100</v>
      </c>
      <c r="T39" s="705" t="s">
        <v>14</v>
      </c>
      <c r="U39" s="706">
        <f t="shared" si="13"/>
        <v>100</v>
      </c>
      <c r="V39" s="705" t="s">
        <v>14</v>
      </c>
      <c r="W39" s="706">
        <f t="shared" si="14"/>
        <v>100</v>
      </c>
      <c r="X39" s="3469"/>
      <c r="Y39" s="3736" t="s">
        <v>1696</v>
      </c>
      <c r="Z39" s="3470" t="str">
        <f t="shared" si="15"/>
        <v>物业管理</v>
      </c>
      <c r="AA39" s="3473">
        <f t="shared" si="3"/>
        <v>1</v>
      </c>
      <c r="AB39" s="347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4"/>
      <c r="Q40" s="3472" t="str">
        <f t="shared" si="11"/>
        <v>市政基础设施</v>
      </c>
      <c r="R40" s="705" t="s">
        <v>14</v>
      </c>
      <c r="S40" s="706">
        <f t="shared" si="12"/>
        <v>100</v>
      </c>
      <c r="T40" s="705" t="s">
        <v>14</v>
      </c>
      <c r="U40" s="706">
        <f t="shared" si="13"/>
        <v>100</v>
      </c>
      <c r="V40" s="705" t="s">
        <v>14</v>
      </c>
      <c r="W40" s="706">
        <f t="shared" si="14"/>
        <v>100</v>
      </c>
      <c r="X40" s="3469"/>
      <c r="Y40" s="3736"/>
      <c r="Z40" s="3470" t="str">
        <f t="shared" si="15"/>
        <v>市政基础设施</v>
      </c>
      <c r="AA40" s="3473">
        <f t="shared" si="3"/>
        <v>1</v>
      </c>
      <c r="AB40" s="3473">
        <f t="shared" si="4"/>
        <v>1</v>
      </c>
      <c r="AC40" s="1962">
        <f t="shared" si="5"/>
        <v>1</v>
      </c>
    </row>
    <row r="41" spans="1:29" ht="15">
      <c r="A41" s="423"/>
      <c r="B41" s="375" t="s">
        <v>1789</v>
      </c>
      <c r="C41" s="565" t="s">
        <v>3471</v>
      </c>
      <c r="D41" s="386">
        <v>100</v>
      </c>
      <c r="E41" s="565" t="s">
        <v>3471</v>
      </c>
      <c r="F41" s="412">
        <f>SUMIF(119:119,E41,120:120)-SUMIF(119:119,C41,120:120)+100</f>
        <v>100</v>
      </c>
      <c r="G41" s="565" t="s">
        <v>3471</v>
      </c>
      <c r="H41" s="386">
        <f>SUMIF(119:119,G41,120:120)-SUMIF(119:119,C41,120:120)+100</f>
        <v>100</v>
      </c>
      <c r="I41" s="565" t="s">
        <v>3471</v>
      </c>
      <c r="J41" s="386">
        <f>SUMIF(119:119,I41,120:120)-SUMIF(119:119,C41,120:120)+100</f>
        <v>100</v>
      </c>
      <c r="K41" s="561">
        <v>2</v>
      </c>
      <c r="L41" s="2722"/>
      <c r="M41" s="2716"/>
      <c r="N41" s="2716"/>
      <c r="O41" s="2716"/>
      <c r="P41" s="3734"/>
      <c r="Q41" s="3472" t="str">
        <f t="shared" si="11"/>
        <v>层高</v>
      </c>
      <c r="R41" s="705" t="s">
        <v>14</v>
      </c>
      <c r="S41" s="706">
        <f t="shared" si="12"/>
        <v>100</v>
      </c>
      <c r="T41" s="705" t="s">
        <v>14</v>
      </c>
      <c r="U41" s="706">
        <f t="shared" si="13"/>
        <v>100</v>
      </c>
      <c r="V41" s="705" t="s">
        <v>14</v>
      </c>
      <c r="W41" s="706">
        <f t="shared" si="14"/>
        <v>100</v>
      </c>
      <c r="X41" s="3469"/>
      <c r="Y41" s="3736"/>
      <c r="Z41" s="3470" t="str">
        <f t="shared" si="15"/>
        <v>层高</v>
      </c>
      <c r="AA41" s="3473">
        <f t="shared" si="3"/>
        <v>1</v>
      </c>
      <c r="AB41" s="3473">
        <f t="shared" si="4"/>
        <v>1</v>
      </c>
      <c r="AC41" s="1962">
        <f t="shared" si="5"/>
        <v>1</v>
      </c>
    </row>
    <row r="42" spans="1:29" s="422" customFormat="1" ht="15" hidden="1">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3473">
        <f t="shared" si="3"/>
        <v>1</v>
      </c>
      <c r="AB42" s="3473">
        <f t="shared" si="4"/>
        <v>1</v>
      </c>
      <c r="AC42" s="1962">
        <f t="shared" si="5"/>
        <v>1</v>
      </c>
    </row>
    <row r="43" spans="1:29" ht="15">
      <c r="A43" s="423"/>
      <c r="B43" s="375" t="s">
        <v>1792</v>
      </c>
      <c r="C43" s="411" t="s">
        <v>3457</v>
      </c>
      <c r="D43" s="386">
        <v>100</v>
      </c>
      <c r="E43" s="411" t="s">
        <v>3457</v>
      </c>
      <c r="F43" s="412">
        <f>SUMIF(123:123,E43,124:124)-SUMIF(123:123,C43,124:124)+100</f>
        <v>100</v>
      </c>
      <c r="G43" s="411" t="s">
        <v>3457</v>
      </c>
      <c r="H43" s="386">
        <f>SUMIF(123:123,G43,124:124)-SUMIF(123:123,C43,124:124)+100</f>
        <v>100</v>
      </c>
      <c r="I43" s="411" t="s">
        <v>3457</v>
      </c>
      <c r="J43" s="386">
        <f>SUMIF(123:123,I43,124:124)-SUMIF(123:123,C43,124:124)+100</f>
        <v>100</v>
      </c>
      <c r="K43" s="561">
        <v>1</v>
      </c>
      <c r="L43" s="2722"/>
      <c r="M43" s="2716"/>
      <c r="N43" s="2716"/>
      <c r="O43" s="2716"/>
      <c r="P43" s="3734"/>
      <c r="Q43" s="3472" t="str">
        <f t="shared" si="11"/>
        <v>内部装修</v>
      </c>
      <c r="R43" s="705" t="s">
        <v>14</v>
      </c>
      <c r="S43" s="706">
        <f t="shared" si="12"/>
        <v>100</v>
      </c>
      <c r="T43" s="705" t="s">
        <v>14</v>
      </c>
      <c r="U43" s="706">
        <f t="shared" si="13"/>
        <v>100</v>
      </c>
      <c r="V43" s="705" t="s">
        <v>14</v>
      </c>
      <c r="W43" s="706">
        <f t="shared" si="14"/>
        <v>100</v>
      </c>
      <c r="X43" s="3469"/>
      <c r="Y43" s="3736"/>
      <c r="Z43" s="3470" t="str">
        <f t="shared" si="15"/>
        <v>内部装修</v>
      </c>
      <c r="AA43" s="3473">
        <f t="shared" si="3"/>
        <v>1</v>
      </c>
      <c r="AB43" s="3473">
        <f t="shared" si="4"/>
        <v>1</v>
      </c>
      <c r="AC43" s="1962">
        <f t="shared" si="5"/>
        <v>1</v>
      </c>
    </row>
    <row r="44" spans="1:29" ht="15">
      <c r="A44" s="423"/>
      <c r="B44" s="375" t="s">
        <v>1707</v>
      </c>
      <c r="C44" s="411" t="s">
        <v>3474</v>
      </c>
      <c r="D44" s="386">
        <v>100</v>
      </c>
      <c r="E44" s="411" t="s">
        <v>3474</v>
      </c>
      <c r="F44" s="412">
        <f>SUMIF(125:125,E44,126:126)-SUMIF(125:125,C44,126:126)+100</f>
        <v>100</v>
      </c>
      <c r="G44" s="411" t="s">
        <v>3474</v>
      </c>
      <c r="H44" s="386">
        <f>SUMIF(125:125,G44,126:126)-SUMIF(125:125,C44,126:126)+100</f>
        <v>100</v>
      </c>
      <c r="I44" s="411" t="s">
        <v>3474</v>
      </c>
      <c r="J44" s="386">
        <f>SUMIF(125:125,I44,126:126)-SUMIF(125:125,C44,126:126)+100</f>
        <v>100</v>
      </c>
      <c r="K44" s="561">
        <v>1</v>
      </c>
      <c r="L44" s="2722"/>
      <c r="M44" s="2716"/>
      <c r="N44" s="2716"/>
      <c r="O44" s="2716"/>
      <c r="P44" s="3734"/>
      <c r="Q44" s="3472" t="str">
        <f t="shared" si="11"/>
        <v>内部装修维护情况</v>
      </c>
      <c r="R44" s="705" t="s">
        <v>14</v>
      </c>
      <c r="S44" s="706">
        <f t="shared" si="12"/>
        <v>100</v>
      </c>
      <c r="T44" s="705" t="s">
        <v>14</v>
      </c>
      <c r="U44" s="706">
        <f t="shared" si="13"/>
        <v>100</v>
      </c>
      <c r="V44" s="705" t="s">
        <v>14</v>
      </c>
      <c r="W44" s="706">
        <f t="shared" si="14"/>
        <v>100</v>
      </c>
      <c r="X44" s="3469"/>
      <c r="Y44" s="3736"/>
      <c r="Z44" s="3470" t="str">
        <f t="shared" si="15"/>
        <v>内部装修维护情况</v>
      </c>
      <c r="AA44" s="3473">
        <f t="shared" si="3"/>
        <v>1</v>
      </c>
      <c r="AB44" s="347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4"/>
      <c r="Q45" s="3468">
        <f t="shared" si="11"/>
        <v>111</v>
      </c>
      <c r="R45" s="701" t="s">
        <v>14</v>
      </c>
      <c r="S45" s="702">
        <f t="shared" si="12"/>
        <v>100</v>
      </c>
      <c r="T45" s="701" t="s">
        <v>14</v>
      </c>
      <c r="U45" s="702">
        <f t="shared" si="13"/>
        <v>100</v>
      </c>
      <c r="V45" s="701" t="s">
        <v>14</v>
      </c>
      <c r="W45" s="702">
        <f t="shared" si="14"/>
        <v>100</v>
      </c>
      <c r="X45" s="703"/>
      <c r="Y45" s="3736"/>
      <c r="Z45" s="3467">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4"/>
      <c r="Q46" s="3472">
        <f t="shared" si="11"/>
        <v>111</v>
      </c>
      <c r="R46" s="705" t="s">
        <v>14</v>
      </c>
      <c r="S46" s="706">
        <f t="shared" si="12"/>
        <v>100</v>
      </c>
      <c r="T46" s="705" t="s">
        <v>14</v>
      </c>
      <c r="U46" s="706">
        <f t="shared" si="13"/>
        <v>100</v>
      </c>
      <c r="V46" s="705" t="s">
        <v>14</v>
      </c>
      <c r="W46" s="706">
        <f t="shared" si="14"/>
        <v>100</v>
      </c>
      <c r="X46" s="3469"/>
      <c r="Y46" s="3736"/>
      <c r="Z46" s="3470">
        <f t="shared" si="15"/>
        <v>111</v>
      </c>
      <c r="AA46" s="3473">
        <f t="shared" si="3"/>
        <v>1</v>
      </c>
      <c r="AB46" s="347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5"/>
      <c r="Q47" s="3472">
        <f t="shared" si="11"/>
        <v>111</v>
      </c>
      <c r="R47" s="705" t="s">
        <v>14</v>
      </c>
      <c r="S47" s="706">
        <f t="shared" si="12"/>
        <v>100</v>
      </c>
      <c r="T47" s="705" t="s">
        <v>14</v>
      </c>
      <c r="U47" s="706">
        <f t="shared" si="13"/>
        <v>100</v>
      </c>
      <c r="V47" s="705" t="s">
        <v>14</v>
      </c>
      <c r="W47" s="706">
        <f t="shared" si="14"/>
        <v>100</v>
      </c>
      <c r="X47" s="3469"/>
      <c r="Y47" s="3737"/>
      <c r="Z47" s="3470">
        <f t="shared" si="15"/>
        <v>111</v>
      </c>
      <c r="AA47" s="3473">
        <f t="shared" si="3"/>
        <v>1</v>
      </c>
      <c r="AB47" s="3473">
        <f t="shared" si="4"/>
        <v>1</v>
      </c>
      <c r="AC47" s="1962">
        <f t="shared" si="5"/>
        <v>1</v>
      </c>
    </row>
    <row r="48" spans="1:29" ht="15">
      <c r="A48" s="430" t="s">
        <v>1708</v>
      </c>
      <c r="B48" s="431"/>
      <c r="C48" s="1154" t="s">
        <v>0</v>
      </c>
      <c r="D48" s="1155"/>
      <c r="E48" s="1156">
        <v>2.8</v>
      </c>
      <c r="F48" s="1157"/>
      <c r="G48" s="1158">
        <v>2.8</v>
      </c>
      <c r="H48" s="1159"/>
      <c r="I48" s="1156">
        <v>2.9</v>
      </c>
      <c r="J48" s="436"/>
      <c r="K48" s="714"/>
      <c r="L48" s="2724"/>
      <c r="M48" s="2716"/>
      <c r="N48" s="2716"/>
      <c r="O48" s="2716"/>
      <c r="P48" s="3709" t="str">
        <f>A48</f>
        <v>成交单价（元/平方米）</v>
      </c>
      <c r="Q48" s="3738"/>
      <c r="R48" s="3739">
        <f>E48</f>
        <v>2.8</v>
      </c>
      <c r="S48" s="3739"/>
      <c r="T48" s="3739">
        <f>G48</f>
        <v>2.8</v>
      </c>
      <c r="U48" s="3739"/>
      <c r="V48" s="3739">
        <f>I48</f>
        <v>2.9</v>
      </c>
      <c r="W48" s="3739"/>
      <c r="X48" s="397"/>
      <c r="Y48" s="712"/>
      <c r="Z48" s="397"/>
      <c r="AA48" s="397"/>
      <c r="AB48" s="397"/>
      <c r="AC48" s="578"/>
    </row>
    <row r="49" spans="1:29" ht="15.75" thickBot="1">
      <c r="A49" s="437" t="s">
        <v>1709</v>
      </c>
      <c r="B49" s="438"/>
      <c r="C49" s="1160">
        <f>R50</f>
        <v>2.7</v>
      </c>
      <c r="D49" s="2317" t="s">
        <v>2138</v>
      </c>
      <c r="E49" s="1161">
        <f>R49</f>
        <v>2.7</v>
      </c>
      <c r="F49" s="2318"/>
      <c r="G49" s="1160">
        <f>T49</f>
        <v>2.7</v>
      </c>
      <c r="H49" s="2318"/>
      <c r="I49" s="1161">
        <f>V49</f>
        <v>2.8</v>
      </c>
      <c r="J49" s="2318"/>
      <c r="K49" s="2320">
        <f>F49+H49+J49</f>
        <v>0</v>
      </c>
      <c r="L49" s="2724"/>
      <c r="M49" s="2716"/>
      <c r="N49" s="2716"/>
      <c r="O49" s="2716"/>
      <c r="P49" s="3709" t="str">
        <f>A49</f>
        <v>比较价值（元/平方米）</v>
      </c>
      <c r="Q49" s="3738"/>
      <c r="R49" s="3739">
        <f>IF(F1="售价",ROUND(PRODUCT(R48,AA7:AA47),0),ROUND(PRODUCT(R48,AA7:AA47),1))</f>
        <v>2.7</v>
      </c>
      <c r="S49" s="3739"/>
      <c r="T49" s="3739">
        <f>IF(F1="售价",ROUND(PRODUCT(T48,AB7:AB47),0),ROUND(PRODUCT(T48,AB7:AB47),1))</f>
        <v>2.7</v>
      </c>
      <c r="U49" s="3739"/>
      <c r="V49" s="3739">
        <f>IF(F1="售价",ROUND(PRODUCT(V48,AC7:AC47),0),ROUND(PRODUCT(V48,AC7:AC47),1))</f>
        <v>2.8</v>
      </c>
      <c r="W49" s="3739"/>
      <c r="X49" s="397"/>
      <c r="Y49" s="397"/>
      <c r="Z49" s="397"/>
      <c r="AA49" s="397"/>
      <c r="AB49" s="397"/>
      <c r="AC49" s="578"/>
    </row>
    <row r="50" spans="1:29" ht="15.75" thickBot="1">
      <c r="A50" s="441" t="s">
        <v>1710</v>
      </c>
      <c r="B50" s="442"/>
      <c r="C50" s="1163">
        <f>R50</f>
        <v>2.7</v>
      </c>
      <c r="D50" s="1163"/>
      <c r="E50" s="1163"/>
      <c r="F50" s="1163"/>
      <c r="G50" s="1163"/>
      <c r="H50" s="1163"/>
      <c r="I50" s="1163"/>
      <c r="J50" s="443"/>
      <c r="K50" s="715"/>
      <c r="L50" s="2724"/>
      <c r="M50" s="2716"/>
      <c r="N50" s="2716"/>
      <c r="O50" s="2716"/>
      <c r="P50" s="3740" t="str">
        <f>A50</f>
        <v>估价对象XX用房的比较价值（楼面单价，元/平方米）</v>
      </c>
      <c r="Q50" s="3741"/>
      <c r="R50" s="3742">
        <f>IF(F1="售价",ROUND(IF(D49="简单平均",AVERAGE(R49:V49),R49*F49+T49*H49+V49*J49),0),ROUND(IF(D49="简单平均",AVERAGE(R49:V49),R49*F49+T49*H49+V49*J49),1))</f>
        <v>2.7</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3.7037037037036979E-2</v>
      </c>
      <c r="F53" s="449" t="str">
        <f>IF(OR(E53&gt;=0.3,E53&lt;=-0.3),"超过30%","")</f>
        <v/>
      </c>
      <c r="G53" s="448">
        <f>IF(G48&lt;G49,G49/G48-1,G48/G49-1)</f>
        <v>3.7037037037036979E-2</v>
      </c>
      <c r="H53" s="449" t="str">
        <f>IF(OR(G53&gt;=0.3,G53&lt;=-0.3),"超过30%","")</f>
        <v/>
      </c>
      <c r="I53" s="448">
        <f>IF(I48&lt;I49,I49/I48-1,I48/I49-1)</f>
        <v>3.5714285714285809E-2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v>
      </c>
      <c r="F54" s="449" t="str">
        <f>IF(OR(E54&gt;=0.2,E54&lt;=-0.2),"超过20%","")</f>
        <v/>
      </c>
      <c r="G54" s="448">
        <f>IF(G49&lt;I49,I49/G49-1,G49/I49-1)</f>
        <v>3.7037037037036979E-2</v>
      </c>
      <c r="H54" s="449" t="str">
        <f>IF(OR(G54&gt;=0.2,G54&lt;=-0.2),"超过20%","")</f>
        <v/>
      </c>
      <c r="I54" s="448">
        <f>IF(I49&lt;E49,E49/I49-1,I49/E49-1)</f>
        <v>3.7037037037036979E-2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v>
      </c>
      <c r="F55" s="449" t="str">
        <f>IF(OR(E55&gt;=0.3,E55&lt;=-0.3),"超过30%","")</f>
        <v/>
      </c>
      <c r="G55" s="448">
        <f>IF(G48&lt;I48,I48/G48-1,G48/I48-1)</f>
        <v>3.5714285714285809E-2</v>
      </c>
      <c r="H55" s="449" t="str">
        <f>IF(OR(G55&gt;=0.3,G55&lt;=-0.3),"超过30%","")</f>
        <v/>
      </c>
      <c r="I55" s="448">
        <f>IF(I48&lt;E48,E48/I48-1,I48/E48-1)</f>
        <v>3.5714285714285809E-2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79" t="s">
        <v>3448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3442</v>
      </c>
      <c r="D66" s="532" t="s">
        <v>3443</v>
      </c>
      <c r="E66" s="532" t="s">
        <v>3444</v>
      </c>
      <c r="F66" s="532" t="s">
        <v>3445</v>
      </c>
      <c r="G66" s="532" t="s">
        <v>3446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3450</v>
      </c>
      <c r="D89" s="3480" t="s">
        <v>3451</v>
      </c>
      <c r="E89" s="3480" t="s">
        <v>3453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1" t="s">
        <v>3455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0(含)-400</v>
      </c>
      <c r="D103" s="527" t="str">
        <f t="shared" ref="D103:L103" si="24">D104&amp;"(含)"&amp;"-"&amp;E104</f>
        <v>400(含)-800</v>
      </c>
      <c r="E103" s="527" t="str">
        <f t="shared" si="24"/>
        <v>800(含)-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400</v>
      </c>
      <c r="E104" s="544">
        <v>800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0" t="s">
        <v>3456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0" t="s">
        <v>3458</v>
      </c>
      <c r="D108" s="3480" t="s">
        <v>3459</v>
      </c>
      <c r="E108" s="3480" t="s">
        <v>3461</v>
      </c>
      <c r="F108" s="3482" t="s">
        <v>3463</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0" t="s">
        <v>3465</v>
      </c>
      <c r="D115" s="3480" t="s">
        <v>3466</v>
      </c>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80" t="s">
        <v>3468</v>
      </c>
      <c r="D117" s="3480" t="s">
        <v>3469</v>
      </c>
      <c r="E117" s="3480" t="s">
        <v>3470</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2" t="s">
        <v>3472</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0" t="s">
        <v>3458</v>
      </c>
      <c r="D123" s="3480" t="s">
        <v>3459</v>
      </c>
      <c r="E123" s="3480" t="s">
        <v>3461</v>
      </c>
      <c r="F123" s="3482" t="s">
        <v>3463</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743" t="s">
        <v>2317</v>
      </c>
      <c r="K2" s="3744"/>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45" t="s">
        <v>2327</v>
      </c>
      <c r="K3" s="3746"/>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45" t="s">
        <v>2329</v>
      </c>
      <c r="K4" s="3746"/>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47" t="s">
        <v>2333</v>
      </c>
      <c r="B6" s="3748"/>
      <c r="C6" s="3749"/>
      <c r="D6" s="2870"/>
      <c r="E6" s="2871"/>
      <c r="F6" s="2872"/>
      <c r="G6" s="2873"/>
      <c r="H6" s="2848"/>
      <c r="I6" s="2849"/>
      <c r="J6" s="3750">
        <v>1</v>
      </c>
      <c r="K6" s="375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50"/>
      <c r="K7" s="375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54" t="s">
        <v>2347</v>
      </c>
      <c r="C8" s="3755"/>
      <c r="D8" s="2889" t="s">
        <v>2348</v>
      </c>
      <c r="E8" s="2890" t="s">
        <v>2349</v>
      </c>
      <c r="F8" s="2891" t="s">
        <v>2350</v>
      </c>
      <c r="G8" s="2892"/>
      <c r="H8" s="2848"/>
      <c r="I8" s="2849"/>
      <c r="J8" s="3750"/>
      <c r="K8" s="375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54" t="s">
        <v>2353</v>
      </c>
      <c r="C9" s="3755"/>
      <c r="D9" s="2889">
        <f>ROUND(D6*E9,0)</f>
        <v>0</v>
      </c>
      <c r="E9" s="2893"/>
      <c r="F9" s="2894" t="s">
        <v>2354</v>
      </c>
      <c r="G9" s="2873"/>
      <c r="H9" s="2848"/>
      <c r="I9" s="2849"/>
      <c r="J9" s="3750"/>
      <c r="K9" s="3752"/>
      <c r="L9" s="2883" t="s">
        <v>2355</v>
      </c>
      <c r="M9" s="2884"/>
      <c r="N9" s="2860"/>
      <c r="O9" s="2885"/>
      <c r="P9" s="2885"/>
      <c r="Q9" s="2886">
        <v>365</v>
      </c>
      <c r="R9" s="2887">
        <f t="shared" si="0"/>
        <v>0</v>
      </c>
      <c r="S9" s="2841"/>
      <c r="T9" s="2841"/>
      <c r="U9" s="2841"/>
      <c r="V9" s="2849"/>
    </row>
    <row r="10" spans="1:22" s="2853" customFormat="1" ht="13.15" customHeight="1">
      <c r="A10" s="2888">
        <v>2</v>
      </c>
      <c r="B10" s="3754" t="s">
        <v>2356</v>
      </c>
      <c r="C10" s="3755"/>
      <c r="D10" s="2889">
        <f>ROUND(D6*E10,0)</f>
        <v>0</v>
      </c>
      <c r="E10" s="2893"/>
      <c r="F10" s="2894" t="s">
        <v>2357</v>
      </c>
      <c r="G10" s="2873"/>
      <c r="H10" s="2848"/>
      <c r="I10" s="2849"/>
      <c r="J10" s="3750"/>
      <c r="K10" s="3752"/>
      <c r="L10" s="2883" t="s">
        <v>2358</v>
      </c>
      <c r="M10" s="2884"/>
      <c r="N10" s="2860"/>
      <c r="O10" s="2885"/>
      <c r="P10" s="2885"/>
      <c r="Q10" s="2886">
        <v>365</v>
      </c>
      <c r="R10" s="2887">
        <f t="shared" si="0"/>
        <v>0</v>
      </c>
      <c r="S10" s="2841"/>
      <c r="T10" s="2841"/>
      <c r="U10" s="2841"/>
      <c r="V10" s="2849"/>
    </row>
    <row r="11" spans="1:22" s="2853" customFormat="1" ht="13.15" customHeight="1">
      <c r="A11" s="2888">
        <v>3</v>
      </c>
      <c r="B11" s="3754" t="s">
        <v>2359</v>
      </c>
      <c r="C11" s="3755"/>
      <c r="D11" s="2889">
        <f>D12+D14+D15+D16</f>
        <v>0</v>
      </c>
      <c r="E11" s="2895" t="e">
        <f>D11/D6</f>
        <v>#DIV/0!</v>
      </c>
      <c r="F11" s="2891"/>
      <c r="G11" s="2892"/>
      <c r="H11" s="2848"/>
      <c r="I11" s="2849"/>
      <c r="J11" s="3750"/>
      <c r="K11" s="375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56" t="s">
        <v>2362</v>
      </c>
      <c r="C12" s="3757"/>
      <c r="D12" s="2897">
        <f>ROUND(D13*1.2%*(1-30%),0)</f>
        <v>0</v>
      </c>
      <c r="E12" s="2898">
        <v>1.2E-2</v>
      </c>
      <c r="F12" s="2891" t="s">
        <v>2363</v>
      </c>
      <c r="G12" s="2892"/>
      <c r="H12" s="2848"/>
      <c r="I12" s="2849"/>
      <c r="J12" s="3750"/>
      <c r="K12" s="375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50"/>
      <c r="K13" s="375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56" t="s">
        <v>2368</v>
      </c>
      <c r="C14" s="3757"/>
      <c r="D14" s="2897">
        <f>ROUND(E14*B5/10000,0)</f>
        <v>0</v>
      </c>
      <c r="E14" s="2886"/>
      <c r="F14" s="2891" t="s">
        <v>2369</v>
      </c>
      <c r="G14" s="2892"/>
      <c r="H14" s="2848"/>
      <c r="I14" s="2849"/>
      <c r="J14" s="3750"/>
      <c r="K14" s="375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56" t="s">
        <v>2372</v>
      </c>
      <c r="C15" s="3757"/>
      <c r="D15" s="2897">
        <f>ROUND(D6*E15,0)</f>
        <v>0</v>
      </c>
      <c r="E15" s="2898">
        <v>5.5E-2</v>
      </c>
      <c r="F15" s="2891" t="s">
        <v>2373</v>
      </c>
      <c r="G15" s="2873"/>
      <c r="H15" s="2848"/>
      <c r="I15" s="2849"/>
      <c r="J15" s="3750">
        <v>2</v>
      </c>
      <c r="K15" s="375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56" t="s">
        <v>2381</v>
      </c>
      <c r="C16" s="3757"/>
      <c r="D16" s="2908">
        <f>D6*E16</f>
        <v>0</v>
      </c>
      <c r="E16" s="2909"/>
      <c r="F16" s="2894" t="s">
        <v>2382</v>
      </c>
      <c r="G16" s="2873"/>
      <c r="H16" s="2848"/>
      <c r="I16" s="2849"/>
      <c r="J16" s="3750"/>
      <c r="K16" s="375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58" t="s">
        <v>2384</v>
      </c>
      <c r="C17" s="3759"/>
      <c r="D17" s="2911">
        <f>ROUND(D6*E17,0)</f>
        <v>0</v>
      </c>
      <c r="E17" s="2912"/>
      <c r="F17" s="2913" t="s">
        <v>2385</v>
      </c>
      <c r="G17" s="2873"/>
      <c r="H17" s="2848"/>
      <c r="I17" s="2849"/>
      <c r="J17" s="3750"/>
      <c r="K17" s="375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50"/>
      <c r="K18" s="375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50"/>
      <c r="K19" s="375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50">
        <v>3</v>
      </c>
      <c r="K20" s="375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50"/>
      <c r="K21" s="375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50"/>
      <c r="K22" s="375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50"/>
      <c r="K23" s="375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50"/>
      <c r="K24" s="375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6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43" t="s">
        <v>2317</v>
      </c>
      <c r="K32" s="3744"/>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45" t="s">
        <v>2327</v>
      </c>
      <c r="K33" s="3746"/>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45" t="s">
        <v>2329</v>
      </c>
      <c r="K34" s="374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50">
        <v>1</v>
      </c>
      <c r="K36" s="375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50"/>
      <c r="K37" s="375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50"/>
      <c r="K38" s="375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50"/>
      <c r="K39" s="375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50"/>
      <c r="K40" s="375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60">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244.20169999999999</v>
      </c>
      <c r="C2" s="1872" t="s">
        <v>1651</v>
      </c>
      <c r="D2" s="1873" t="s">
        <v>1652</v>
      </c>
      <c r="E2" s="2607">
        <f>SUM(E6:E13)</f>
        <v>154.24</v>
      </c>
      <c r="F2" s="2707"/>
      <c r="G2" s="1489"/>
      <c r="H2" s="1489"/>
      <c r="I2" s="1489"/>
      <c r="J2" s="1489"/>
      <c r="K2" s="1489"/>
      <c r="L2" s="1489"/>
      <c r="M2" s="1489"/>
      <c r="N2" s="1489"/>
      <c r="O2" s="1489"/>
      <c r="P2" s="1489"/>
      <c r="Q2" s="1489"/>
      <c r="R2" s="1489"/>
      <c r="S2" s="1489"/>
    </row>
    <row r="3" spans="1:22" ht="15.75">
      <c r="A3" s="1870" t="s">
        <v>686</v>
      </c>
      <c r="B3" s="2601">
        <f ca="1">ROUND(B2*10000/E2,0)</f>
        <v>15833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62" t="s">
        <v>1654</v>
      </c>
      <c r="C5" s="376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244.20169999999999</v>
      </c>
      <c r="C6" s="1872" t="s">
        <v>1651</v>
      </c>
      <c r="D6" s="2709"/>
      <c r="E6" s="2606">
        <f>IF(OR(A6=0,F6="否"),0,'数据-取费表'!K6+'数据-取费表'!S6)</f>
        <v>154.24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154.24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70" t="s">
        <v>1672</v>
      </c>
      <c r="Q4" s="3771"/>
      <c r="R4" s="3765" t="s">
        <v>1668</v>
      </c>
      <c r="S4" s="3766"/>
      <c r="T4" s="3765" t="s">
        <v>1669</v>
      </c>
      <c r="U4" s="3766"/>
      <c r="V4" s="3726" t="s">
        <v>1670</v>
      </c>
      <c r="W4" s="3726"/>
      <c r="X4" s="1355"/>
      <c r="Y4" s="3765" t="s">
        <v>1672</v>
      </c>
      <c r="Z4" s="3766"/>
      <c r="AA4" s="3764" t="s">
        <v>1668</v>
      </c>
      <c r="AB4" s="3764" t="s">
        <v>1669</v>
      </c>
      <c r="AC4" s="3764" t="s">
        <v>1670</v>
      </c>
    </row>
    <row r="5" spans="1:29" ht="15">
      <c r="A5" s="358"/>
      <c r="B5" s="359"/>
      <c r="C5" s="3769" t="s">
        <v>1673</v>
      </c>
      <c r="D5" s="3704"/>
      <c r="E5" s="3767" t="s">
        <v>1674</v>
      </c>
      <c r="F5" s="3768"/>
      <c r="G5" s="3769" t="s">
        <v>1675</v>
      </c>
      <c r="H5" s="3704"/>
      <c r="I5" s="3769" t="s">
        <v>1676</v>
      </c>
      <c r="J5" s="3704"/>
      <c r="K5" s="1890"/>
      <c r="L5" s="2715"/>
      <c r="M5" s="2716"/>
      <c r="N5" s="2716"/>
      <c r="O5" s="2716"/>
      <c r="P5" s="3772"/>
      <c r="Q5" s="3720"/>
      <c r="R5" s="3701"/>
      <c r="S5" s="3702"/>
      <c r="T5" s="3701"/>
      <c r="U5" s="3702"/>
      <c r="V5" s="3726"/>
      <c r="W5" s="3726"/>
      <c r="X5" s="1355"/>
      <c r="Y5" s="3701"/>
      <c r="Z5" s="3702"/>
      <c r="AA5" s="3695"/>
      <c r="AB5" s="3695"/>
      <c r="AC5" s="3695"/>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73"/>
      <c r="Q6" s="3722"/>
      <c r="R6" s="3701"/>
      <c r="S6" s="3702"/>
      <c r="T6" s="3723"/>
      <c r="U6" s="3724"/>
      <c r="V6" s="3726"/>
      <c r="W6" s="3726"/>
      <c r="X6" s="1355"/>
      <c r="Y6" s="3723"/>
      <c r="Z6" s="3724"/>
      <c r="AA6" s="3696"/>
      <c r="AB6" s="3696"/>
      <c r="AC6" s="3696"/>
    </row>
    <row r="7" spans="1:29" s="108" customFormat="1" ht="15.75" thickBot="1">
      <c r="A7" s="362" t="s">
        <v>1679</v>
      </c>
      <c r="B7" s="363"/>
      <c r="C7" s="364">
        <f>'数据-取费表'!B2</f>
        <v>45769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7" t="s">
        <v>1680</v>
      </c>
      <c r="Q7" s="3728"/>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0"/>
      <c r="Q16" s="1352"/>
      <c r="R16" s="705"/>
      <c r="S16" s="706"/>
      <c r="T16" s="705"/>
      <c r="U16" s="706"/>
      <c r="V16" s="705"/>
      <c r="W16" s="706"/>
      <c r="X16" s="1355"/>
      <c r="Y16" s="373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0"/>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0"/>
      <c r="Q18" s="1352"/>
      <c r="R18" s="705"/>
      <c r="S18" s="706"/>
      <c r="T18" s="705"/>
      <c r="U18" s="706"/>
      <c r="V18" s="705"/>
      <c r="W18" s="706"/>
      <c r="X18" s="1355"/>
      <c r="Y18" s="373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0"/>
      <c r="Q20" s="1352"/>
      <c r="R20" s="705"/>
      <c r="S20" s="706"/>
      <c r="T20" s="705"/>
      <c r="U20" s="706"/>
      <c r="V20" s="705"/>
      <c r="W20" s="706"/>
      <c r="X20" s="1355"/>
      <c r="Y20" s="373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0"/>
      <c r="Q22" s="1352"/>
      <c r="R22" s="705"/>
      <c r="S22" s="706"/>
      <c r="T22" s="705"/>
      <c r="U22" s="706"/>
      <c r="V22" s="705"/>
      <c r="W22" s="706"/>
      <c r="X22" s="1355"/>
      <c r="Y22" s="373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0"/>
      <c r="Q24" s="1352"/>
      <c r="R24" s="705"/>
      <c r="S24" s="706"/>
      <c r="T24" s="705"/>
      <c r="U24" s="706"/>
      <c r="V24" s="705"/>
      <c r="W24" s="706"/>
      <c r="X24" s="1355"/>
      <c r="Y24" s="373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3" t="s">
        <v>1696</v>
      </c>
      <c r="Q32" s="1352" t="str">
        <f t="shared" si="11"/>
        <v>建筑类型</v>
      </c>
      <c r="R32" s="705" t="s">
        <v>18</v>
      </c>
      <c r="S32" s="706">
        <f t="shared" si="12"/>
        <v>100</v>
      </c>
      <c r="T32" s="705" t="s">
        <v>18</v>
      </c>
      <c r="U32" s="706">
        <f t="shared" si="13"/>
        <v>100</v>
      </c>
      <c r="V32" s="705" t="s">
        <v>18</v>
      </c>
      <c r="W32" s="706">
        <f t="shared" si="14"/>
        <v>100</v>
      </c>
      <c r="X32" s="1355"/>
      <c r="Y32" s="373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8" t="str">
        <f>A47</f>
        <v>成交单价（元/平方米）</v>
      </c>
      <c r="Q47" s="3738"/>
      <c r="R47" s="3739">
        <f>E47</f>
        <v>0</v>
      </c>
      <c r="S47" s="3739"/>
      <c r="T47" s="3739">
        <f>G47</f>
        <v>0</v>
      </c>
      <c r="U47" s="3739"/>
      <c r="V47" s="3739">
        <f>I47</f>
        <v>0</v>
      </c>
      <c r="W47" s="373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受贵公司委托，我公司对北京市顺义区金航西路4号院1号楼3层314办公用房房地产抵押价值进行了预评估。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估价对象为北京市顺义区金航西路4号院1号楼3层314办公用房房地产，为所有。根据《国有土地使用证》[]，估价对象（分摊）出让国有建设用地使用权面积为0平方米，建筑面积为154.24平方米。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航西路4号院1号楼3层314办公用房房地产,属开发建设的办公项目，该项目尚在开发建设中。根据《国有土地使用证》[]，估价对象（分摊）出让国有建设用地使用权面积为0平方米，规划建筑面积为154.24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顺义区金航西路4号院1号楼3层314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154.24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70" t="s">
        <v>1775</v>
      </c>
      <c r="Q4" s="3771"/>
      <c r="R4" s="3765" t="s">
        <v>1771</v>
      </c>
      <c r="S4" s="3766"/>
      <c r="T4" s="3765" t="s">
        <v>1772</v>
      </c>
      <c r="U4" s="3766"/>
      <c r="V4" s="3726" t="s">
        <v>1773</v>
      </c>
      <c r="W4" s="3726"/>
      <c r="X4" s="1355"/>
      <c r="Y4" s="3765" t="s">
        <v>1775</v>
      </c>
      <c r="Z4" s="3766"/>
      <c r="AA4" s="3764" t="s">
        <v>1771</v>
      </c>
      <c r="AB4" s="3726" t="s">
        <v>1772</v>
      </c>
      <c r="AC4" s="3764" t="s">
        <v>1773</v>
      </c>
    </row>
    <row r="5" spans="1:29" ht="15">
      <c r="A5" s="358"/>
      <c r="B5" s="359"/>
      <c r="C5" s="3769" t="s">
        <v>1673</v>
      </c>
      <c r="D5" s="3704"/>
      <c r="E5" s="3767" t="s">
        <v>1674</v>
      </c>
      <c r="F5" s="3768"/>
      <c r="G5" s="3769" t="s">
        <v>1675</v>
      </c>
      <c r="H5" s="3704"/>
      <c r="I5" s="3769" t="s">
        <v>1676</v>
      </c>
      <c r="J5" s="3704"/>
      <c r="K5" s="559"/>
      <c r="L5" s="2715"/>
      <c r="M5" s="2716"/>
      <c r="N5" s="2716"/>
      <c r="O5" s="2716"/>
      <c r="P5" s="3772"/>
      <c r="Q5" s="3720"/>
      <c r="R5" s="3701"/>
      <c r="S5" s="3702"/>
      <c r="T5" s="3701"/>
      <c r="U5" s="3702"/>
      <c r="V5" s="3726"/>
      <c r="W5" s="3726"/>
      <c r="X5" s="1355"/>
      <c r="Y5" s="3701"/>
      <c r="Z5" s="3702"/>
      <c r="AA5" s="3695"/>
      <c r="AB5" s="3726"/>
      <c r="AC5" s="3695"/>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73"/>
      <c r="Q6" s="3722"/>
      <c r="R6" s="3701"/>
      <c r="S6" s="3702"/>
      <c r="T6" s="3723"/>
      <c r="U6" s="3724"/>
      <c r="V6" s="3726"/>
      <c r="W6" s="3726"/>
      <c r="X6" s="1355"/>
      <c r="Y6" s="3723"/>
      <c r="Z6" s="3724"/>
      <c r="AA6" s="3696"/>
      <c r="AB6" s="3726"/>
      <c r="AC6" s="3696"/>
    </row>
    <row r="7" spans="1:29" s="108" customFormat="1" ht="15.75" thickBot="1">
      <c r="A7" s="362" t="s">
        <v>1679</v>
      </c>
      <c r="B7" s="363"/>
      <c r="C7" s="364">
        <f>'数据-取费表'!B2</f>
        <v>45769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7" t="s">
        <v>1680</v>
      </c>
      <c r="Q7" s="3728"/>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9" t="s">
        <v>1691</v>
      </c>
      <c r="Q15" s="1352" t="str">
        <f t="shared" si="6"/>
        <v>商业繁华度</v>
      </c>
      <c r="R15" s="705" t="s">
        <v>14</v>
      </c>
      <c r="S15" s="706">
        <f t="shared" si="0"/>
        <v>100</v>
      </c>
      <c r="T15" s="705" t="s">
        <v>14</v>
      </c>
      <c r="U15" s="706">
        <f t="shared" si="1"/>
        <v>100</v>
      </c>
      <c r="V15" s="705" t="s">
        <v>14</v>
      </c>
      <c r="W15" s="706">
        <f t="shared" si="2"/>
        <v>100</v>
      </c>
      <c r="X15" s="1355"/>
      <c r="Y15" s="37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0"/>
      <c r="Q16" s="1352"/>
      <c r="R16" s="705"/>
      <c r="S16" s="706"/>
      <c r="T16" s="705"/>
      <c r="U16" s="706"/>
      <c r="V16" s="705"/>
      <c r="W16" s="706"/>
      <c r="X16" s="1355"/>
      <c r="Y16" s="373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0"/>
      <c r="Q18" s="1352"/>
      <c r="R18" s="705"/>
      <c r="S18" s="706"/>
      <c r="T18" s="705"/>
      <c r="U18" s="706"/>
      <c r="V18" s="705"/>
      <c r="W18" s="706"/>
      <c r="X18" s="1355"/>
      <c r="Y18" s="373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0"/>
      <c r="Q20" s="1352"/>
      <c r="R20" s="705"/>
      <c r="S20" s="706"/>
      <c r="T20" s="705"/>
      <c r="U20" s="706"/>
      <c r="V20" s="705"/>
      <c r="W20" s="706"/>
      <c r="X20" s="1355"/>
      <c r="Y20" s="373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0"/>
      <c r="Q22" s="1352"/>
      <c r="R22" s="705"/>
      <c r="S22" s="706"/>
      <c r="T22" s="705"/>
      <c r="U22" s="706"/>
      <c r="V22" s="705"/>
      <c r="W22" s="706"/>
      <c r="X22" s="1355"/>
      <c r="Y22" s="373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0"/>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0"/>
      <c r="Q24" s="1352"/>
      <c r="R24" s="705"/>
      <c r="S24" s="706"/>
      <c r="T24" s="705"/>
      <c r="U24" s="706"/>
      <c r="V24" s="705"/>
      <c r="W24" s="706"/>
      <c r="X24" s="1355"/>
      <c r="Y24" s="373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0"/>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0"/>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0"/>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0"/>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8" t="str">
        <f>A47</f>
        <v>成交单价（元/平方米）</v>
      </c>
      <c r="Q47" s="3738"/>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154.24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70" t="s">
        <v>1775</v>
      </c>
      <c r="Q4" s="3771"/>
      <c r="R4" s="3765" t="s">
        <v>1771</v>
      </c>
      <c r="S4" s="3766"/>
      <c r="T4" s="3765" t="s">
        <v>1772</v>
      </c>
      <c r="U4" s="3766"/>
      <c r="V4" s="3726" t="s">
        <v>1773</v>
      </c>
      <c r="W4" s="3726"/>
      <c r="X4" s="1355"/>
      <c r="Y4" s="3765" t="s">
        <v>1775</v>
      </c>
      <c r="Z4" s="3766"/>
      <c r="AA4" s="3764" t="s">
        <v>1771</v>
      </c>
      <c r="AB4" s="3695" t="s">
        <v>1772</v>
      </c>
      <c r="AC4" s="3764" t="s">
        <v>1773</v>
      </c>
    </row>
    <row r="5" spans="1:29" ht="15">
      <c r="A5" s="358"/>
      <c r="B5" s="359"/>
      <c r="C5" s="3769" t="s">
        <v>1673</v>
      </c>
      <c r="D5" s="3704"/>
      <c r="E5" s="3767" t="s">
        <v>1674</v>
      </c>
      <c r="F5" s="3768"/>
      <c r="G5" s="3769" t="s">
        <v>1675</v>
      </c>
      <c r="H5" s="3704"/>
      <c r="I5" s="3769" t="s">
        <v>1676</v>
      </c>
      <c r="J5" s="3704"/>
      <c r="K5" s="559"/>
      <c r="L5" s="913"/>
      <c r="M5" s="914"/>
      <c r="N5" s="914"/>
      <c r="O5" s="914"/>
      <c r="P5" s="3772"/>
      <c r="Q5" s="3720"/>
      <c r="R5" s="3701"/>
      <c r="S5" s="3702"/>
      <c r="T5" s="3701"/>
      <c r="U5" s="3702"/>
      <c r="V5" s="3726"/>
      <c r="W5" s="3726"/>
      <c r="X5" s="1355"/>
      <c r="Y5" s="3701"/>
      <c r="Z5" s="3702"/>
      <c r="AA5" s="3695"/>
      <c r="AB5" s="3695"/>
      <c r="AC5" s="3695"/>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73"/>
      <c r="Q6" s="3722"/>
      <c r="R6" s="3701"/>
      <c r="S6" s="3702"/>
      <c r="T6" s="3723"/>
      <c r="U6" s="3724"/>
      <c r="V6" s="3726"/>
      <c r="W6" s="3726"/>
      <c r="X6" s="1355"/>
      <c r="Y6" s="3723"/>
      <c r="Z6" s="3724"/>
      <c r="AA6" s="3696"/>
      <c r="AB6" s="3696"/>
      <c r="AC6" s="3696"/>
    </row>
    <row r="7" spans="1:29" s="108" customFormat="1" ht="15.75" thickBot="1">
      <c r="A7" s="362" t="s">
        <v>1679</v>
      </c>
      <c r="B7" s="363"/>
      <c r="C7" s="364">
        <f>'数据-取费表'!B2</f>
        <v>45769</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8"/>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8"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8"/>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8"/>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8"/>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8"/>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7"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8" t="str">
        <f>A41</f>
        <v>成交单价（元/平方米）</v>
      </c>
      <c r="Q41" s="3738"/>
      <c r="R41" s="3739">
        <f>E41</f>
        <v>0</v>
      </c>
      <c r="S41" s="3739"/>
      <c r="T41" s="3739">
        <f>G41</f>
        <v>0</v>
      </c>
      <c r="U41" s="3739"/>
      <c r="V41" s="3739">
        <f>I41</f>
        <v>0</v>
      </c>
      <c r="W41" s="373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70" t="s">
        <v>1775</v>
      </c>
      <c r="Q4" s="3771"/>
      <c r="R4" s="3765" t="s">
        <v>1771</v>
      </c>
      <c r="S4" s="3766"/>
      <c r="T4" s="3765" t="s">
        <v>1772</v>
      </c>
      <c r="U4" s="3766"/>
      <c r="V4" s="3726" t="s">
        <v>1773</v>
      </c>
      <c r="W4" s="3726"/>
      <c r="X4" s="1355"/>
      <c r="Y4" s="3765" t="s">
        <v>1775</v>
      </c>
      <c r="Z4" s="3766"/>
      <c r="AA4" s="3764" t="s">
        <v>1771</v>
      </c>
      <c r="AB4" s="3695" t="s">
        <v>1772</v>
      </c>
      <c r="AC4" s="3764" t="s">
        <v>1773</v>
      </c>
    </row>
    <row r="5" spans="1:29" ht="15">
      <c r="A5" s="358"/>
      <c r="B5" s="359"/>
      <c r="C5" s="3769" t="s">
        <v>1673</v>
      </c>
      <c r="D5" s="3704"/>
      <c r="E5" s="3767" t="s">
        <v>1674</v>
      </c>
      <c r="F5" s="3768"/>
      <c r="G5" s="3769" t="s">
        <v>1675</v>
      </c>
      <c r="H5" s="3704"/>
      <c r="I5" s="3769" t="s">
        <v>1676</v>
      </c>
      <c r="J5" s="3704"/>
      <c r="K5" s="559"/>
      <c r="L5" s="2715"/>
      <c r="M5" s="2716"/>
      <c r="N5" s="2716"/>
      <c r="O5" s="2716"/>
      <c r="P5" s="3772"/>
      <c r="Q5" s="3720"/>
      <c r="R5" s="3701"/>
      <c r="S5" s="3702"/>
      <c r="T5" s="3701"/>
      <c r="U5" s="3702"/>
      <c r="V5" s="3726"/>
      <c r="W5" s="3726"/>
      <c r="X5" s="1355"/>
      <c r="Y5" s="3701"/>
      <c r="Z5" s="3702"/>
      <c r="AA5" s="3695"/>
      <c r="AB5" s="3695"/>
      <c r="AC5" s="3695"/>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73"/>
      <c r="Q6" s="3722"/>
      <c r="R6" s="3701"/>
      <c r="S6" s="3702"/>
      <c r="T6" s="3723"/>
      <c r="U6" s="3724"/>
      <c r="V6" s="3726"/>
      <c r="W6" s="3726"/>
      <c r="X6" s="1355"/>
      <c r="Y6" s="3723"/>
      <c r="Z6" s="3724"/>
      <c r="AA6" s="3696"/>
      <c r="AB6" s="3696"/>
      <c r="AC6" s="3696"/>
    </row>
    <row r="7" spans="1:29" s="108" customFormat="1" ht="15.75" thickBot="1">
      <c r="A7" s="362" t="s">
        <v>1679</v>
      </c>
      <c r="B7" s="363"/>
      <c r="C7" s="364">
        <f>'数据-取费表'!B2</f>
        <v>45769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7" t="s">
        <v>1680</v>
      </c>
      <c r="Q7" s="3728"/>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8"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8"/>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8"/>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8"/>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8"/>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2"/>
      <c r="Q15" s="1352"/>
      <c r="R15" s="705"/>
      <c r="S15" s="706"/>
      <c r="T15" s="705"/>
      <c r="U15" s="706"/>
      <c r="V15" s="705"/>
      <c r="W15" s="706"/>
      <c r="X15" s="1355"/>
      <c r="Y15" s="373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2"/>
      <c r="Q17" s="1352"/>
      <c r="R17" s="705"/>
      <c r="S17" s="706"/>
      <c r="T17" s="705"/>
      <c r="U17" s="706"/>
      <c r="V17" s="705"/>
      <c r="W17" s="706"/>
      <c r="X17" s="1355"/>
      <c r="Y17" s="373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2"/>
      <c r="Q19" s="1352"/>
      <c r="R19" s="705"/>
      <c r="S19" s="706"/>
      <c r="T19" s="705"/>
      <c r="U19" s="706"/>
      <c r="V19" s="705"/>
      <c r="W19" s="706"/>
      <c r="X19" s="1355"/>
      <c r="Y19" s="373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2"/>
      <c r="Q21" s="1352"/>
      <c r="R21" s="705"/>
      <c r="S21" s="706"/>
      <c r="T21" s="705"/>
      <c r="U21" s="706"/>
      <c r="V21" s="705"/>
      <c r="W21" s="706"/>
      <c r="X21" s="1355"/>
      <c r="Y21" s="373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38" t="str">
        <f>A37</f>
        <v>成交单价</v>
      </c>
      <c r="Q37" s="3738"/>
      <c r="R37" s="3739">
        <f>E37</f>
        <v>0</v>
      </c>
      <c r="S37" s="3739"/>
      <c r="T37" s="3739">
        <f>G37</f>
        <v>0</v>
      </c>
      <c r="U37" s="3739"/>
      <c r="V37" s="3739">
        <f>I37</f>
        <v>0</v>
      </c>
      <c r="W37" s="373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74" t="str">
        <f>A39</f>
        <v>估价对象XX用房的比较价值（楼面单价，元/平方米）</v>
      </c>
      <c r="Q39" s="3775"/>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70" t="s">
        <v>1775</v>
      </c>
      <c r="Q4" s="3771"/>
      <c r="R4" s="3765" t="s">
        <v>1771</v>
      </c>
      <c r="S4" s="3766"/>
      <c r="T4" s="3765" t="s">
        <v>1772</v>
      </c>
      <c r="U4" s="3766"/>
      <c r="V4" s="3726" t="s">
        <v>1773</v>
      </c>
      <c r="W4" s="3726"/>
      <c r="X4" s="1355"/>
      <c r="Y4" s="3765" t="s">
        <v>1775</v>
      </c>
      <c r="Z4" s="3766"/>
      <c r="AA4" s="3764" t="s">
        <v>1771</v>
      </c>
      <c r="AB4" s="3695" t="s">
        <v>1772</v>
      </c>
      <c r="AC4" s="3764" t="s">
        <v>1773</v>
      </c>
    </row>
    <row r="5" spans="1:29" ht="15">
      <c r="A5" s="358"/>
      <c r="B5" s="359"/>
      <c r="C5" s="3769" t="s">
        <v>1673</v>
      </c>
      <c r="D5" s="3704"/>
      <c r="E5" s="3767" t="s">
        <v>1674</v>
      </c>
      <c r="F5" s="3768"/>
      <c r="G5" s="3769" t="s">
        <v>1675</v>
      </c>
      <c r="H5" s="3704"/>
      <c r="I5" s="3769" t="s">
        <v>1676</v>
      </c>
      <c r="J5" s="3704"/>
      <c r="K5" s="559"/>
      <c r="L5" s="2715"/>
      <c r="M5" s="2716"/>
      <c r="N5" s="2716"/>
      <c r="O5" s="2716"/>
      <c r="P5" s="3772"/>
      <c r="Q5" s="3720"/>
      <c r="R5" s="3701"/>
      <c r="S5" s="3702"/>
      <c r="T5" s="3701"/>
      <c r="U5" s="3702"/>
      <c r="V5" s="3726"/>
      <c r="W5" s="3726"/>
      <c r="X5" s="1355"/>
      <c r="Y5" s="3701"/>
      <c r="Z5" s="3702"/>
      <c r="AA5" s="3695"/>
      <c r="AB5" s="3695"/>
      <c r="AC5" s="3695"/>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73"/>
      <c r="Q6" s="3722"/>
      <c r="R6" s="3701"/>
      <c r="S6" s="3702"/>
      <c r="T6" s="3723"/>
      <c r="U6" s="3724"/>
      <c r="V6" s="3726"/>
      <c r="W6" s="3726"/>
      <c r="X6" s="1355"/>
      <c r="Y6" s="3723"/>
      <c r="Z6" s="3724"/>
      <c r="AA6" s="3696"/>
      <c r="AB6" s="3696"/>
      <c r="AC6" s="3696"/>
    </row>
    <row r="7" spans="1:29" s="108" customFormat="1" ht="15.75" thickBot="1">
      <c r="A7" s="362" t="s">
        <v>1679</v>
      </c>
      <c r="B7" s="363"/>
      <c r="C7" s="364">
        <f>'数据-取费表'!B2</f>
        <v>45769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7" t="s">
        <v>1680</v>
      </c>
      <c r="Q7" s="3728"/>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8"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8"/>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8"/>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2"/>
      <c r="Q15" s="1352"/>
      <c r="R15" s="705"/>
      <c r="S15" s="706"/>
      <c r="T15" s="705"/>
      <c r="U15" s="706"/>
      <c r="V15" s="705"/>
      <c r="W15" s="706"/>
      <c r="X15" s="1355"/>
      <c r="Y15" s="373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2"/>
      <c r="Q17" s="1352"/>
      <c r="R17" s="705"/>
      <c r="S17" s="706"/>
      <c r="T17" s="705"/>
      <c r="U17" s="706"/>
      <c r="V17" s="705"/>
      <c r="W17" s="706"/>
      <c r="X17" s="1355"/>
      <c r="Y17" s="373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2"/>
      <c r="Q19" s="1352"/>
      <c r="R19" s="705"/>
      <c r="S19" s="706"/>
      <c r="T19" s="705"/>
      <c r="U19" s="706"/>
      <c r="V19" s="705"/>
      <c r="W19" s="706"/>
      <c r="X19" s="1355"/>
      <c r="Y19" s="373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2"/>
      <c r="Q21" s="1352"/>
      <c r="R21" s="705"/>
      <c r="S21" s="706"/>
      <c r="T21" s="705"/>
      <c r="U21" s="706"/>
      <c r="V21" s="705"/>
      <c r="W21" s="706"/>
      <c r="X21" s="1355"/>
      <c r="Y21" s="373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74" t="str">
        <f>A37</f>
        <v>估价对象XX用房的比较价值（楼面单价，元/平方米）</v>
      </c>
      <c r="Q37" s="3775"/>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70" t="s">
        <v>1775</v>
      </c>
      <c r="Q4" s="3771"/>
      <c r="R4" s="3765" t="s">
        <v>1771</v>
      </c>
      <c r="S4" s="3766"/>
      <c r="T4" s="3765" t="s">
        <v>1772</v>
      </c>
      <c r="U4" s="3766"/>
      <c r="V4" s="3726" t="s">
        <v>1773</v>
      </c>
      <c r="W4" s="3726"/>
      <c r="X4" s="1355"/>
      <c r="Y4" s="3765" t="s">
        <v>1775</v>
      </c>
      <c r="Z4" s="3766"/>
      <c r="AA4" s="3764" t="s">
        <v>1771</v>
      </c>
      <c r="AB4" s="3695" t="s">
        <v>1772</v>
      </c>
      <c r="AC4" s="3764" t="s">
        <v>1773</v>
      </c>
    </row>
    <row r="5" spans="1:30" ht="15">
      <c r="A5" s="358"/>
      <c r="B5" s="359"/>
      <c r="C5" s="3769" t="s">
        <v>1673</v>
      </c>
      <c r="D5" s="3704"/>
      <c r="E5" s="3767" t="s">
        <v>1674</v>
      </c>
      <c r="F5" s="3768"/>
      <c r="G5" s="3769" t="s">
        <v>1675</v>
      </c>
      <c r="H5" s="3704"/>
      <c r="I5" s="3769" t="s">
        <v>1676</v>
      </c>
      <c r="J5" s="3704"/>
      <c r="K5" s="559"/>
      <c r="L5" s="2715"/>
      <c r="M5" s="2716"/>
      <c r="N5" s="2716"/>
      <c r="O5" s="2716"/>
      <c r="P5" s="3772"/>
      <c r="Q5" s="3720"/>
      <c r="R5" s="3701"/>
      <c r="S5" s="3702"/>
      <c r="T5" s="3701"/>
      <c r="U5" s="3702"/>
      <c r="V5" s="3726"/>
      <c r="W5" s="3726"/>
      <c r="X5" s="1355"/>
      <c r="Y5" s="3701"/>
      <c r="Z5" s="3702"/>
      <c r="AA5" s="3695"/>
      <c r="AB5" s="3695"/>
      <c r="AC5" s="3695"/>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73"/>
      <c r="Q6" s="3722"/>
      <c r="R6" s="3701"/>
      <c r="S6" s="3702"/>
      <c r="T6" s="3723"/>
      <c r="U6" s="3724"/>
      <c r="V6" s="3726"/>
      <c r="W6" s="3726"/>
      <c r="X6" s="1355"/>
      <c r="Y6" s="3723"/>
      <c r="Z6" s="3724"/>
      <c r="AA6" s="3696"/>
      <c r="AB6" s="3696"/>
      <c r="AC6" s="3696"/>
    </row>
    <row r="7" spans="1:30" s="108" customFormat="1" ht="15.75" thickBot="1">
      <c r="A7" s="362" t="s">
        <v>1679</v>
      </c>
      <c r="B7" s="363"/>
      <c r="C7" s="364">
        <f>'数据-取费表'!B2</f>
        <v>45769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7" t="s">
        <v>1680</v>
      </c>
      <c r="Q7" s="3728"/>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738"/>
      <c r="Q10" s="1343" t="str">
        <f t="shared" si="6"/>
        <v>土地使用年限（年）</v>
      </c>
      <c r="R10" s="701" t="s">
        <v>14</v>
      </c>
      <c r="S10" s="702">
        <f t="shared" si="0"/>
        <v>108</v>
      </c>
      <c r="T10" s="701" t="s">
        <v>14</v>
      </c>
      <c r="U10" s="702">
        <f t="shared" si="1"/>
        <v>108</v>
      </c>
      <c r="V10" s="701" t="s">
        <v>14</v>
      </c>
      <c r="W10" s="702">
        <f t="shared" si="2"/>
        <v>108</v>
      </c>
      <c r="X10" s="703"/>
      <c r="Y10" s="3643"/>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8"/>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2"/>
      <c r="Q20" s="1352"/>
      <c r="R20" s="705"/>
      <c r="S20" s="706"/>
      <c r="T20" s="705"/>
      <c r="U20" s="706"/>
      <c r="V20" s="705"/>
      <c r="W20" s="706"/>
      <c r="X20" s="1355"/>
      <c r="Y20" s="373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2"/>
      <c r="Q24" s="1352"/>
      <c r="R24" s="705"/>
      <c r="S24" s="706"/>
      <c r="T24" s="705"/>
      <c r="U24" s="706"/>
      <c r="V24" s="705"/>
      <c r="W24" s="706"/>
      <c r="X24" s="1355"/>
      <c r="Y24" s="373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2"/>
      <c r="Q26" s="1352"/>
      <c r="R26" s="705"/>
      <c r="S26" s="706"/>
      <c r="T26" s="705"/>
      <c r="U26" s="706"/>
      <c r="V26" s="705"/>
      <c r="W26" s="706"/>
      <c r="X26" s="1355"/>
      <c r="Y26" s="373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2"/>
      <c r="Q28" s="1343"/>
      <c r="R28" s="701"/>
      <c r="S28" s="702"/>
      <c r="T28" s="701"/>
      <c r="U28" s="702"/>
      <c r="V28" s="701"/>
      <c r="W28" s="702"/>
      <c r="X28" s="703"/>
      <c r="Y28" s="373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2"/>
      <c r="Q30" s="1343"/>
      <c r="R30" s="701"/>
      <c r="S30" s="702"/>
      <c r="T30" s="701"/>
      <c r="U30" s="702"/>
      <c r="V30" s="701"/>
      <c r="W30" s="702"/>
      <c r="X30" s="703"/>
      <c r="Y30" s="373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2"/>
      <c r="Q33" s="1352"/>
      <c r="R33" s="705"/>
      <c r="S33" s="706"/>
      <c r="T33" s="705"/>
      <c r="U33" s="706"/>
      <c r="V33" s="705"/>
      <c r="W33" s="706"/>
      <c r="X33" s="1355"/>
      <c r="Y33" s="373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7"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8" t="str">
        <f>A46</f>
        <v>成交单价</v>
      </c>
      <c r="Q46" s="3738"/>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8" t="str">
        <f>A47</f>
        <v>比较价值（元/平方米）</v>
      </c>
      <c r="Q47" s="3738"/>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74" t="str">
        <f>A48</f>
        <v>估价对象XX用房的比较价值（楼面单价，元/平方米）</v>
      </c>
      <c r="Q48" s="3775"/>
      <c r="R48" s="3780" t="e">
        <f>ROUND(IF(D47="简单平均",AVERAGE(R47:W47),R47*F47+T47*H47+V47*J47),0)</f>
        <v>#DIV/0!</v>
      </c>
      <c r="S48" s="3780"/>
      <c r="T48" s="3780"/>
      <c r="U48" s="3780"/>
      <c r="V48" s="3780"/>
      <c r="W48" s="378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8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154.24</v>
      </c>
      <c r="F56" s="886" t="e">
        <f t="shared" ref="F56:F64" si="15">ROUND(B56*E56/10000,0)</f>
        <v>#DIV/0!</v>
      </c>
      <c r="G56" s="3709"/>
      <c r="H56" s="373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154.24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70" t="s">
        <v>1775</v>
      </c>
      <c r="Q4" s="3771"/>
      <c r="R4" s="3765" t="s">
        <v>1771</v>
      </c>
      <c r="S4" s="3766"/>
      <c r="T4" s="3765" t="s">
        <v>1772</v>
      </c>
      <c r="U4" s="3766"/>
      <c r="V4" s="3726" t="s">
        <v>1773</v>
      </c>
      <c r="W4" s="3726"/>
      <c r="X4" s="1355"/>
      <c r="Y4" s="3765" t="s">
        <v>1775</v>
      </c>
      <c r="Z4" s="3766"/>
      <c r="AA4" s="3764" t="s">
        <v>1771</v>
      </c>
      <c r="AB4" s="3695" t="s">
        <v>1772</v>
      </c>
      <c r="AC4" s="3764" t="s">
        <v>1773</v>
      </c>
    </row>
    <row r="5" spans="1:29" ht="15">
      <c r="A5" s="358"/>
      <c r="B5" s="359"/>
      <c r="C5" s="3769" t="s">
        <v>1673</v>
      </c>
      <c r="D5" s="3704"/>
      <c r="E5" s="3767" t="s">
        <v>1674</v>
      </c>
      <c r="F5" s="3768"/>
      <c r="G5" s="3769" t="s">
        <v>1675</v>
      </c>
      <c r="H5" s="3704"/>
      <c r="I5" s="3769" t="s">
        <v>1676</v>
      </c>
      <c r="J5" s="3704"/>
      <c r="K5" s="559"/>
      <c r="L5" s="2715"/>
      <c r="M5" s="2716"/>
      <c r="N5" s="2716"/>
      <c r="O5" s="2716"/>
      <c r="P5" s="3772"/>
      <c r="Q5" s="3720"/>
      <c r="R5" s="3701"/>
      <c r="S5" s="3702"/>
      <c r="T5" s="3701"/>
      <c r="U5" s="3702"/>
      <c r="V5" s="3726"/>
      <c r="W5" s="3726"/>
      <c r="X5" s="1355"/>
      <c r="Y5" s="3701"/>
      <c r="Z5" s="3702"/>
      <c r="AA5" s="3695"/>
      <c r="AB5" s="3695"/>
      <c r="AC5" s="3695"/>
    </row>
    <row r="6" spans="1:29" ht="15.75" thickBot="1">
      <c r="A6" s="360"/>
      <c r="B6" s="361"/>
      <c r="C6" s="3782" t="s">
        <v>1919</v>
      </c>
      <c r="D6" s="3783"/>
      <c r="E6" s="3784" t="s">
        <v>1919</v>
      </c>
      <c r="F6" s="3785"/>
      <c r="G6" s="3782" t="s">
        <v>1919</v>
      </c>
      <c r="H6" s="3783"/>
      <c r="I6" s="3782" t="s">
        <v>1919</v>
      </c>
      <c r="J6" s="3783"/>
      <c r="K6" s="559" t="s">
        <v>1678</v>
      </c>
      <c r="L6" s="2715"/>
      <c r="M6" s="2716"/>
      <c r="N6" s="2716"/>
      <c r="O6" s="2716"/>
      <c r="P6" s="3773"/>
      <c r="Q6" s="3722"/>
      <c r="R6" s="3701"/>
      <c r="S6" s="3702"/>
      <c r="T6" s="3723"/>
      <c r="U6" s="3724"/>
      <c r="V6" s="3726"/>
      <c r="W6" s="3726"/>
      <c r="X6" s="1355"/>
      <c r="Y6" s="3723"/>
      <c r="Z6" s="3724"/>
      <c r="AA6" s="3696"/>
      <c r="AB6" s="3696"/>
      <c r="AC6" s="3696"/>
    </row>
    <row r="7" spans="1:29" s="108" customFormat="1" ht="15.75" thickBot="1">
      <c r="A7" s="362" t="s">
        <v>1679</v>
      </c>
      <c r="B7" s="363"/>
      <c r="C7" s="364">
        <f>'数据-取费表'!B2</f>
        <v>45769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7" t="s">
        <v>1680</v>
      </c>
      <c r="Q7" s="3728"/>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738"/>
      <c r="Q10" s="1343" t="str">
        <f t="shared" si="6"/>
        <v>土地使用年限（年）</v>
      </c>
      <c r="R10" s="701" t="s">
        <v>14</v>
      </c>
      <c r="S10" s="702">
        <f t="shared" si="0"/>
        <v>108</v>
      </c>
      <c r="T10" s="701" t="s">
        <v>14</v>
      </c>
      <c r="U10" s="702">
        <f t="shared" si="1"/>
        <v>108</v>
      </c>
      <c r="V10" s="701" t="s">
        <v>14</v>
      </c>
      <c r="W10" s="702">
        <f t="shared" si="2"/>
        <v>108</v>
      </c>
      <c r="X10" s="703"/>
      <c r="Y10" s="3643"/>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2"/>
      <c r="Q20" s="1352"/>
      <c r="R20" s="705"/>
      <c r="S20" s="706"/>
      <c r="T20" s="705"/>
      <c r="U20" s="706"/>
      <c r="V20" s="705"/>
      <c r="W20" s="706"/>
      <c r="X20" s="1355"/>
      <c r="Y20" s="373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2"/>
      <c r="Q24" s="1343"/>
      <c r="R24" s="701"/>
      <c r="S24" s="702"/>
      <c r="T24" s="701"/>
      <c r="U24" s="702"/>
      <c r="V24" s="701"/>
      <c r="W24" s="702"/>
      <c r="X24" s="703"/>
      <c r="Y24" s="373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2"/>
      <c r="Q26" s="1343"/>
      <c r="R26" s="701"/>
      <c r="S26" s="702"/>
      <c r="T26" s="701"/>
      <c r="U26" s="702"/>
      <c r="V26" s="701"/>
      <c r="W26" s="702"/>
      <c r="X26" s="703"/>
      <c r="Y26" s="373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2"/>
      <c r="Q29" s="1352"/>
      <c r="R29" s="705"/>
      <c r="S29" s="706"/>
      <c r="T29" s="705"/>
      <c r="U29" s="706"/>
      <c r="V29" s="705"/>
      <c r="W29" s="706"/>
      <c r="X29" s="1355"/>
      <c r="Y29" s="373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7"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8" t="str">
        <f>A41</f>
        <v>成交单价</v>
      </c>
      <c r="Q41" s="3738"/>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8" t="str">
        <f>A42</f>
        <v>比较价值（元/平方米）</v>
      </c>
      <c r="Q42" s="3738"/>
      <c r="R42" s="3779" t="e">
        <f>ROUND(PRODUCT(R41,AA7:AA40),0)</f>
        <v>#DIV/0!</v>
      </c>
      <c r="S42" s="3779"/>
      <c r="T42" s="3779" t="e">
        <f>ROUND(PRODUCT(T41,AB7:AB40),0)</f>
        <v>#DIV/0!</v>
      </c>
      <c r="U42" s="3779"/>
      <c r="V42" s="3779" t="e">
        <f>ROUND(PRODUCT(V41,AC7:AC40),0)</f>
        <v>#DIV/0!</v>
      </c>
      <c r="W42" s="377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74" t="str">
        <f>A43</f>
        <v>估价对象XX用房的比较价值（楼面单价，元/平方米）</v>
      </c>
      <c r="Q43" s="3775"/>
      <c r="R43" s="3780" t="e">
        <f>ROUND(IF(D42="简单平均",AVERAGE(R42:W42),R42*F42+T42*H42+V42*J42),0)</f>
        <v>#DIV/0!</v>
      </c>
      <c r="S43" s="3780"/>
      <c r="T43" s="3780"/>
      <c r="U43" s="3780"/>
      <c r="V43" s="3780"/>
      <c r="W43" s="378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8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154.24</v>
      </c>
      <c r="F51" s="639" t="e">
        <f t="shared" ref="F51:F60" si="15">ROUND(B51*E51/10000,0)</f>
        <v>#DIV/0!</v>
      </c>
      <c r="G51" s="3709"/>
      <c r="H51" s="373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9" t="s">
        <v>2084</v>
      </c>
      <c r="D1" s="3790"/>
      <c r="E1" s="3790"/>
      <c r="F1" s="3790"/>
      <c r="G1" s="3790"/>
      <c r="H1" s="3790"/>
      <c r="I1" s="3790"/>
      <c r="J1" s="3790"/>
      <c r="K1" s="3790"/>
      <c r="L1" s="3790"/>
      <c r="M1" s="3790"/>
      <c r="N1" s="3790"/>
      <c r="O1" s="3790"/>
      <c r="P1" s="3790"/>
      <c r="Q1" s="3790"/>
      <c r="R1" s="3790"/>
      <c r="S1" s="379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6" t="s">
        <v>27</v>
      </c>
      <c r="D22" s="3787"/>
      <c r="E22" s="3787"/>
      <c r="F22" s="3787"/>
      <c r="G22" s="3787"/>
      <c r="H22" s="3787"/>
      <c r="I22" s="3787"/>
      <c r="J22" s="3787"/>
      <c r="K22" s="3787"/>
      <c r="L22" s="3787"/>
      <c r="M22" s="3787"/>
      <c r="N22" s="3787"/>
      <c r="O22" s="3787"/>
      <c r="P22" s="3787"/>
      <c r="Q22" s="378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129</v>
      </c>
      <c r="C2" s="2145" t="s">
        <v>2074</v>
      </c>
      <c r="D2" s="2145" t="s">
        <v>2075</v>
      </c>
      <c r="E2" s="2612">
        <f ca="1">SUMIF(E6:E13,"&lt;&gt;#ref!",E6:E13)</f>
        <v>154.24</v>
      </c>
      <c r="F2" s="2793"/>
      <c r="G2" s="2793"/>
      <c r="H2" s="2793"/>
      <c r="I2" s="2793"/>
      <c r="J2" s="2793"/>
      <c r="K2" s="2793"/>
      <c r="L2" s="2793"/>
      <c r="M2" s="2793"/>
      <c r="N2" s="2793"/>
      <c r="O2" s="2793"/>
      <c r="P2" s="2793"/>
    </row>
    <row r="3" spans="1:16" ht="15.75">
      <c r="A3" s="2145" t="s">
        <v>2076</v>
      </c>
      <c r="B3" s="2602">
        <f ca="1">ROUND(B2*10000/E2,0)</f>
        <v>8364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129</v>
      </c>
      <c r="C6" s="2145" t="s">
        <v>2074</v>
      </c>
      <c r="D6" s="2793"/>
      <c r="E6" s="2612">
        <f ca="1">SUMIF(INDIRECT("'"&amp;A6&amp;"'"&amp;"!C:C"),"建筑面积",INDIRECT("'"&amp;A6&amp;"'"&amp;"!D:D"))</f>
        <v>154.24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9" t="s">
        <v>2607</v>
      </c>
      <c r="B20" s="3792" t="s">
        <v>2628</v>
      </c>
      <c r="C20" s="3103" t="s">
        <v>2439</v>
      </c>
      <c r="D20" s="3104"/>
      <c r="E20" s="3105">
        <v>1</v>
      </c>
      <c r="F20" s="3106" t="s">
        <v>2440</v>
      </c>
      <c r="G20" s="3106"/>
    </row>
    <row r="21" spans="1:13" ht="19.5" customHeight="1">
      <c r="A21" s="3800"/>
      <c r="B21" s="3793"/>
      <c r="C21" s="3107" t="s">
        <v>2441</v>
      </c>
      <c r="D21" s="3108"/>
      <c r="E21" s="3109">
        <v>1</v>
      </c>
      <c r="F21" s="3106" t="s">
        <v>2442</v>
      </c>
      <c r="G21" s="3106"/>
    </row>
    <row r="22" spans="1:13" ht="19.5" customHeight="1">
      <c r="A22" s="3800"/>
      <c r="B22" s="3793"/>
      <c r="C22" s="3107" t="s">
        <v>2443</v>
      </c>
      <c r="D22" s="3108"/>
      <c r="E22" s="3109">
        <v>0.9</v>
      </c>
      <c r="F22" s="3106" t="s">
        <v>2444</v>
      </c>
      <c r="G22" s="3106"/>
    </row>
    <row r="23" spans="1:13" ht="19.5" customHeight="1">
      <c r="A23" s="3800"/>
      <c r="B23" s="3793"/>
      <c r="C23" s="3107" t="s">
        <v>2445</v>
      </c>
      <c r="D23" s="3108"/>
      <c r="E23" s="3109">
        <v>0.9</v>
      </c>
      <c r="F23" s="3106" t="s">
        <v>2446</v>
      </c>
      <c r="G23" s="3106"/>
    </row>
    <row r="24" spans="1:13" ht="19.5" customHeight="1">
      <c r="A24" s="3800"/>
      <c r="B24" s="3793"/>
      <c r="C24" s="3107" t="s">
        <v>2447</v>
      </c>
      <c r="D24" s="3108"/>
      <c r="E24" s="3109">
        <v>0.8</v>
      </c>
      <c r="F24" s="3106" t="s">
        <v>2448</v>
      </c>
      <c r="G24" s="3106"/>
    </row>
    <row r="25" spans="1:13" ht="19.5" customHeight="1" thickBot="1">
      <c r="A25" s="3801"/>
      <c r="B25" s="379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5" t="s">
        <v>2631</v>
      </c>
      <c r="B27" s="3792" t="s">
        <v>2612</v>
      </c>
      <c r="C27" s="3103" t="s">
        <v>2452</v>
      </c>
      <c r="D27" s="3104"/>
      <c r="E27" s="3105">
        <v>1</v>
      </c>
      <c r="F27" s="3106" t="s">
        <v>2453</v>
      </c>
      <c r="G27" s="3106"/>
    </row>
    <row r="28" spans="1:13" ht="19.5" customHeight="1">
      <c r="A28" s="3796"/>
      <c r="B28" s="3793"/>
      <c r="C28" s="3107" t="s">
        <v>2454</v>
      </c>
      <c r="D28" s="3108"/>
      <c r="E28" s="3109">
        <v>1</v>
      </c>
      <c r="F28" s="3106" t="s">
        <v>2455</v>
      </c>
      <c r="G28" s="3106"/>
    </row>
    <row r="29" spans="1:13" ht="19.5" customHeight="1">
      <c r="A29" s="3796"/>
      <c r="B29" s="3793"/>
      <c r="C29" s="3107" t="s">
        <v>2456</v>
      </c>
      <c r="D29" s="3108"/>
      <c r="E29" s="3109">
        <v>0.8</v>
      </c>
      <c r="F29" s="3106" t="s">
        <v>2457</v>
      </c>
      <c r="G29" s="3106"/>
    </row>
    <row r="30" spans="1:13" ht="19.5" customHeight="1">
      <c r="A30" s="3796"/>
      <c r="B30" s="3793"/>
      <c r="C30" s="3107" t="s">
        <v>2458</v>
      </c>
      <c r="D30" s="3108"/>
      <c r="E30" s="3109">
        <v>0.8</v>
      </c>
      <c r="F30" s="3106" t="s">
        <v>2459</v>
      </c>
      <c r="G30" s="3106"/>
    </row>
    <row r="31" spans="1:13" ht="19.5" customHeight="1">
      <c r="A31" s="3796"/>
      <c r="B31" s="3793"/>
      <c r="C31" s="3107" t="s">
        <v>2460</v>
      </c>
      <c r="D31" s="3108"/>
      <c r="E31" s="3109">
        <v>0.8</v>
      </c>
      <c r="F31" s="3106" t="s">
        <v>2461</v>
      </c>
      <c r="G31" s="3106"/>
    </row>
    <row r="32" spans="1:13" ht="19.5" customHeight="1">
      <c r="A32" s="3796"/>
      <c r="B32" s="3793"/>
      <c r="C32" s="3107" t="s">
        <v>2462</v>
      </c>
      <c r="D32" s="3108"/>
      <c r="E32" s="3109">
        <v>0.7</v>
      </c>
      <c r="F32" s="3106" t="s">
        <v>2463</v>
      </c>
      <c r="G32" s="3106"/>
    </row>
    <row r="33" spans="1:7" ht="19.5" customHeight="1">
      <c r="A33" s="3796"/>
      <c r="B33" s="3793"/>
      <c r="C33" s="3107" t="s">
        <v>2464</v>
      </c>
      <c r="D33" s="3108"/>
      <c r="E33" s="3109">
        <v>0.8</v>
      </c>
      <c r="F33" s="3106" t="s">
        <v>2465</v>
      </c>
      <c r="G33" s="3106"/>
    </row>
    <row r="34" spans="1:7" ht="19.5" customHeight="1">
      <c r="A34" s="3796"/>
      <c r="B34" s="3793"/>
      <c r="C34" s="3107" t="s">
        <v>2466</v>
      </c>
      <c r="D34" s="3108"/>
      <c r="E34" s="3109">
        <v>0.6</v>
      </c>
      <c r="F34" s="3106" t="s">
        <v>2467</v>
      </c>
      <c r="G34" s="3106"/>
    </row>
    <row r="35" spans="1:7" ht="19.5" customHeight="1">
      <c r="A35" s="3796"/>
      <c r="B35" s="3793"/>
      <c r="C35" s="3107" t="s">
        <v>2468</v>
      </c>
      <c r="D35" s="3108"/>
      <c r="E35" s="3109">
        <v>0.2</v>
      </c>
      <c r="F35" s="3106" t="s">
        <v>2469</v>
      </c>
      <c r="G35" s="3106"/>
    </row>
    <row r="36" spans="1:7" ht="19.5" customHeight="1">
      <c r="A36" s="3796"/>
      <c r="B36" s="3793"/>
      <c r="C36" s="3107" t="s">
        <v>2470</v>
      </c>
      <c r="D36" s="3108"/>
      <c r="E36" s="3109">
        <v>0.2</v>
      </c>
      <c r="F36" s="3106" t="s">
        <v>2471</v>
      </c>
      <c r="G36" s="3106"/>
    </row>
    <row r="37" spans="1:7" ht="19.5" customHeight="1">
      <c r="A37" s="3796"/>
      <c r="B37" s="3798" t="s">
        <v>2632</v>
      </c>
      <c r="C37" s="3107" t="s">
        <v>2472</v>
      </c>
      <c r="D37" s="3108"/>
      <c r="E37" s="3109">
        <v>0.6</v>
      </c>
      <c r="F37" s="3106" t="s">
        <v>2473</v>
      </c>
      <c r="G37" s="3106"/>
    </row>
    <row r="38" spans="1:7" ht="19.5" customHeight="1">
      <c r="A38" s="3796"/>
      <c r="B38" s="3793"/>
      <c r="C38" s="3107" t="s">
        <v>2474</v>
      </c>
      <c r="D38" s="3108"/>
      <c r="E38" s="3109">
        <v>0.6</v>
      </c>
      <c r="F38" s="3106" t="s">
        <v>2475</v>
      </c>
      <c r="G38" s="3106"/>
    </row>
    <row r="39" spans="1:7" ht="19.5" customHeight="1" thickBot="1">
      <c r="A39" s="3797"/>
      <c r="B39" s="379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9" t="s">
        <v>2610</v>
      </c>
      <c r="B41" s="3792" t="s">
        <v>2634</v>
      </c>
      <c r="C41" s="3103" t="s">
        <v>2479</v>
      </c>
      <c r="D41" s="3104"/>
      <c r="E41" s="3105">
        <v>1</v>
      </c>
      <c r="F41" s="3106" t="s">
        <v>2480</v>
      </c>
      <c r="G41" s="3106"/>
    </row>
    <row r="42" spans="1:7" ht="19.5" customHeight="1">
      <c r="A42" s="3800"/>
      <c r="B42" s="3793"/>
      <c r="C42" s="3107" t="s">
        <v>2481</v>
      </c>
      <c r="D42" s="3108"/>
      <c r="E42" s="3109">
        <v>1</v>
      </c>
      <c r="F42" s="3106" t="s">
        <v>2482</v>
      </c>
      <c r="G42" s="3106"/>
    </row>
    <row r="43" spans="1:7" ht="19.5" customHeight="1">
      <c r="A43" s="3800"/>
      <c r="B43" s="3802"/>
      <c r="C43" s="3107" t="s">
        <v>2483</v>
      </c>
      <c r="D43" s="3108"/>
      <c r="E43" s="3109">
        <v>1.5</v>
      </c>
      <c r="F43" s="3106" t="s">
        <v>2484</v>
      </c>
      <c r="G43" s="3106"/>
    </row>
    <row r="44" spans="1:7" ht="19.5" customHeight="1">
      <c r="A44" s="3800"/>
      <c r="B44" s="3118" t="s">
        <v>2635</v>
      </c>
      <c r="C44" s="3107" t="s">
        <v>2636</v>
      </c>
      <c r="D44" s="3108"/>
      <c r="E44" s="3109">
        <v>2</v>
      </c>
      <c r="F44" s="3106" t="s">
        <v>2485</v>
      </c>
      <c r="G44" s="3106"/>
    </row>
    <row r="45" spans="1:7" ht="19.5" customHeight="1">
      <c r="A45" s="3800"/>
      <c r="B45" s="3798" t="s">
        <v>2637</v>
      </c>
      <c r="C45" s="3107" t="s">
        <v>2486</v>
      </c>
      <c r="D45" s="3108"/>
      <c r="E45" s="3109">
        <v>1</v>
      </c>
      <c r="F45" s="3106" t="s">
        <v>2487</v>
      </c>
      <c r="G45" s="3106"/>
    </row>
    <row r="46" spans="1:7" ht="19.5" customHeight="1">
      <c r="A46" s="3800"/>
      <c r="B46" s="3793"/>
      <c r="C46" s="3107" t="s">
        <v>2488</v>
      </c>
      <c r="D46" s="3108"/>
      <c r="E46" s="3109">
        <v>1</v>
      </c>
      <c r="F46" s="3106" t="s">
        <v>2489</v>
      </c>
      <c r="G46" s="3106"/>
    </row>
    <row r="47" spans="1:7" ht="19.5" customHeight="1">
      <c r="A47" s="3800"/>
      <c r="B47" s="3793"/>
      <c r="C47" s="3107" t="s">
        <v>2490</v>
      </c>
      <c r="D47" s="3108"/>
      <c r="E47" s="3109">
        <v>1</v>
      </c>
      <c r="F47" s="3106" t="s">
        <v>2491</v>
      </c>
      <c r="G47" s="3106"/>
    </row>
    <row r="48" spans="1:7" ht="19.5" customHeight="1">
      <c r="A48" s="3800"/>
      <c r="B48" s="3793"/>
      <c r="C48" s="3107" t="s">
        <v>2492</v>
      </c>
      <c r="D48" s="3108"/>
      <c r="E48" s="3109">
        <v>1</v>
      </c>
      <c r="F48" s="3106" t="s">
        <v>2493</v>
      </c>
      <c r="G48" s="3106"/>
    </row>
    <row r="49" spans="1:7" ht="19.5" customHeight="1">
      <c r="A49" s="3800"/>
      <c r="B49" s="3793"/>
      <c r="C49" s="3107" t="s">
        <v>2494</v>
      </c>
      <c r="D49" s="3108"/>
      <c r="E49" s="3109">
        <v>1</v>
      </c>
      <c r="F49" s="3106" t="s">
        <v>2495</v>
      </c>
      <c r="G49" s="3106"/>
    </row>
    <row r="50" spans="1:7" ht="19.5" customHeight="1">
      <c r="A50" s="3800"/>
      <c r="B50" s="3793"/>
      <c r="C50" s="3107" t="s">
        <v>2496</v>
      </c>
      <c r="D50" s="3108"/>
      <c r="E50" s="3109">
        <v>1</v>
      </c>
      <c r="F50" s="3106" t="s">
        <v>2497</v>
      </c>
      <c r="G50" s="3106"/>
    </row>
    <row r="51" spans="1:7" ht="19.5" customHeight="1" thickBot="1">
      <c r="A51" s="3801"/>
      <c r="B51" s="379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8" t="s">
        <v>2651</v>
      </c>
      <c r="C73" s="3092" t="s">
        <v>2652</v>
      </c>
      <c r="D73" s="3092" t="s">
        <v>2653</v>
      </c>
      <c r="E73" s="3118">
        <v>0.2</v>
      </c>
      <c r="F73" s="3118">
        <v>25</v>
      </c>
    </row>
    <row r="74" spans="1:7" ht="24">
      <c r="A74" s="3118">
        <v>2</v>
      </c>
      <c r="B74" s="3793"/>
      <c r="C74" s="3092" t="s">
        <v>2654</v>
      </c>
      <c r="D74" s="3092" t="s">
        <v>2655</v>
      </c>
      <c r="E74" s="3118">
        <v>0.2</v>
      </c>
      <c r="F74" s="3118">
        <v>25</v>
      </c>
    </row>
    <row r="75" spans="1:7" ht="24">
      <c r="A75" s="3118">
        <v>3</v>
      </c>
      <c r="B75" s="3793"/>
      <c r="C75" s="3092" t="s">
        <v>2656</v>
      </c>
      <c r="D75" s="3092" t="s">
        <v>2657</v>
      </c>
      <c r="E75" s="3118">
        <v>0.2</v>
      </c>
      <c r="F75" s="3118">
        <v>25</v>
      </c>
    </row>
    <row r="76" spans="1:7" ht="13.5">
      <c r="A76" s="3118">
        <v>4</v>
      </c>
      <c r="B76" s="3793"/>
      <c r="C76" s="3092" t="s">
        <v>2658</v>
      </c>
      <c r="D76" s="3092" t="s">
        <v>2659</v>
      </c>
      <c r="E76" s="3118">
        <v>0.15</v>
      </c>
      <c r="F76" s="3118">
        <v>20</v>
      </c>
    </row>
    <row r="77" spans="1:7" ht="24">
      <c r="A77" s="3118">
        <v>5</v>
      </c>
      <c r="B77" s="3793"/>
      <c r="C77" s="3092" t="s">
        <v>2660</v>
      </c>
      <c r="D77" s="3092" t="s">
        <v>2661</v>
      </c>
      <c r="E77" s="3118">
        <v>0.15</v>
      </c>
      <c r="F77" s="3118">
        <v>20</v>
      </c>
    </row>
    <row r="78" spans="1:7" ht="24">
      <c r="A78" s="3118">
        <v>6</v>
      </c>
      <c r="B78" s="3793"/>
      <c r="C78" s="3092" t="s">
        <v>2662</v>
      </c>
      <c r="D78" s="3092" t="s">
        <v>2663</v>
      </c>
      <c r="E78" s="3118">
        <v>0.15</v>
      </c>
      <c r="F78" s="3118">
        <v>20</v>
      </c>
    </row>
    <row r="79" spans="1:7" ht="24">
      <c r="A79" s="3118">
        <v>7</v>
      </c>
      <c r="B79" s="3793"/>
      <c r="C79" s="3092" t="s">
        <v>2664</v>
      </c>
      <c r="D79" s="3092" t="s">
        <v>2665</v>
      </c>
      <c r="E79" s="3118">
        <v>0.15</v>
      </c>
      <c r="F79" s="3118">
        <v>20</v>
      </c>
    </row>
    <row r="80" spans="1:7" ht="24">
      <c r="A80" s="3118">
        <v>8</v>
      </c>
      <c r="B80" s="3793"/>
      <c r="C80" s="3092" t="s">
        <v>2666</v>
      </c>
      <c r="D80" s="3092" t="s">
        <v>2667</v>
      </c>
      <c r="E80" s="3118">
        <v>0.1</v>
      </c>
      <c r="F80" s="3118">
        <v>15</v>
      </c>
    </row>
    <row r="81" spans="1:6" ht="24">
      <c r="A81" s="3118">
        <v>9</v>
      </c>
      <c r="B81" s="3793"/>
      <c r="C81" s="3092" t="s">
        <v>2668</v>
      </c>
      <c r="D81" s="3092" t="s">
        <v>2669</v>
      </c>
      <c r="E81" s="3118">
        <v>0.1</v>
      </c>
      <c r="F81" s="3118">
        <v>15</v>
      </c>
    </row>
    <row r="82" spans="1:6" ht="24">
      <c r="A82" s="3118">
        <v>10</v>
      </c>
      <c r="B82" s="3793"/>
      <c r="C82" s="3092" t="s">
        <v>2670</v>
      </c>
      <c r="D82" s="3092" t="s">
        <v>2671</v>
      </c>
      <c r="E82" s="3118">
        <v>0.1</v>
      </c>
      <c r="F82" s="3118">
        <v>15</v>
      </c>
    </row>
    <row r="83" spans="1:6" ht="24">
      <c r="A83" s="3118">
        <v>11</v>
      </c>
      <c r="B83" s="3793"/>
      <c r="C83" s="3092" t="s">
        <v>2672</v>
      </c>
      <c r="D83" s="3092" t="s">
        <v>2673</v>
      </c>
      <c r="E83" s="3118">
        <v>0.1</v>
      </c>
      <c r="F83" s="3118">
        <v>15</v>
      </c>
    </row>
    <row r="84" spans="1:6" ht="24">
      <c r="A84" s="3118">
        <v>12</v>
      </c>
      <c r="B84" s="3793"/>
      <c r="C84" s="3092" t="s">
        <v>2674</v>
      </c>
      <c r="D84" s="3092" t="s">
        <v>2675</v>
      </c>
      <c r="E84" s="3118">
        <v>0.1</v>
      </c>
      <c r="F84" s="3118">
        <v>15</v>
      </c>
    </row>
    <row r="85" spans="1:6" ht="13.5">
      <c r="A85" s="3118">
        <v>13</v>
      </c>
      <c r="B85" s="3793"/>
      <c r="C85" s="3092" t="s">
        <v>2676</v>
      </c>
      <c r="D85" s="3092" t="s">
        <v>2677</v>
      </c>
      <c r="E85" s="3118">
        <v>0.1</v>
      </c>
      <c r="F85" s="3118">
        <v>15</v>
      </c>
    </row>
    <row r="86" spans="1:6" ht="13.5">
      <c r="A86" s="3118">
        <v>14</v>
      </c>
      <c r="B86" s="3793"/>
      <c r="C86" s="3092" t="s">
        <v>2678</v>
      </c>
      <c r="D86" s="3092" t="s">
        <v>2679</v>
      </c>
      <c r="E86" s="3118">
        <v>0.1</v>
      </c>
      <c r="F86" s="3118">
        <v>15</v>
      </c>
    </row>
    <row r="87" spans="1:6" ht="13.5">
      <c r="A87" s="3118">
        <v>15</v>
      </c>
      <c r="B87" s="3793"/>
      <c r="C87" s="3092" t="s">
        <v>2680</v>
      </c>
      <c r="D87" s="3092" t="s">
        <v>2681</v>
      </c>
      <c r="E87" s="3118">
        <v>0.1</v>
      </c>
      <c r="F87" s="3118">
        <v>15</v>
      </c>
    </row>
    <row r="88" spans="1:6" ht="24">
      <c r="A88" s="3118">
        <v>16</v>
      </c>
      <c r="B88" s="3793"/>
      <c r="C88" s="3092" t="s">
        <v>2682</v>
      </c>
      <c r="D88" s="3092" t="s">
        <v>2683</v>
      </c>
      <c r="E88" s="3118">
        <v>0.1</v>
      </c>
      <c r="F88" s="3118">
        <v>15</v>
      </c>
    </row>
    <row r="89" spans="1:6" ht="24">
      <c r="A89" s="3118">
        <v>17</v>
      </c>
      <c r="B89" s="3802"/>
      <c r="C89" s="3092" t="s">
        <v>2684</v>
      </c>
      <c r="D89" s="3092" t="s">
        <v>2685</v>
      </c>
      <c r="E89" s="3118">
        <v>0.1</v>
      </c>
      <c r="F89" s="3118">
        <v>15</v>
      </c>
    </row>
    <row r="90" spans="1:6" ht="13.5">
      <c r="A90" s="3118">
        <v>18</v>
      </c>
      <c r="B90" s="3798" t="s">
        <v>2686</v>
      </c>
      <c r="C90" s="3092" t="s">
        <v>2687</v>
      </c>
      <c r="D90" s="3092" t="s">
        <v>2688</v>
      </c>
      <c r="E90" s="3118">
        <v>0.2</v>
      </c>
      <c r="F90" s="3118">
        <v>25</v>
      </c>
    </row>
    <row r="91" spans="1:6" ht="24">
      <c r="A91" s="3118">
        <v>19</v>
      </c>
      <c r="B91" s="3793"/>
      <c r="C91" s="3092" t="s">
        <v>2689</v>
      </c>
      <c r="D91" s="3092" t="s">
        <v>2690</v>
      </c>
      <c r="E91" s="3118">
        <v>0.2</v>
      </c>
      <c r="F91" s="3118">
        <v>25</v>
      </c>
    </row>
    <row r="92" spans="1:6" ht="13.5">
      <c r="A92" s="3118">
        <v>20</v>
      </c>
      <c r="B92" s="3793"/>
      <c r="C92" s="3092" t="s">
        <v>2691</v>
      </c>
      <c r="D92" s="3092" t="s">
        <v>2692</v>
      </c>
      <c r="E92" s="3118">
        <v>0.15</v>
      </c>
      <c r="F92" s="3118">
        <v>20</v>
      </c>
    </row>
    <row r="93" spans="1:6" ht="13.5">
      <c r="A93" s="3118">
        <v>21</v>
      </c>
      <c r="B93" s="3793"/>
      <c r="C93" s="3092" t="s">
        <v>2693</v>
      </c>
      <c r="D93" s="3092" t="s">
        <v>2694</v>
      </c>
      <c r="E93" s="3118">
        <v>0.15</v>
      </c>
      <c r="F93" s="3118">
        <v>20</v>
      </c>
    </row>
    <row r="94" spans="1:6" ht="13.5">
      <c r="A94" s="3118">
        <v>22</v>
      </c>
      <c r="B94" s="3793"/>
      <c r="C94" s="3092" t="s">
        <v>2695</v>
      </c>
      <c r="D94" s="3092" t="s">
        <v>2696</v>
      </c>
      <c r="E94" s="3118">
        <v>0.15</v>
      </c>
      <c r="F94" s="3118">
        <v>20</v>
      </c>
    </row>
    <row r="95" spans="1:6" ht="36">
      <c r="A95" s="3118">
        <v>23</v>
      </c>
      <c r="B95" s="3793"/>
      <c r="C95" s="3092" t="s">
        <v>2697</v>
      </c>
      <c r="D95" s="3092" t="s">
        <v>2698</v>
      </c>
      <c r="E95" s="3118">
        <v>0.15</v>
      </c>
      <c r="F95" s="3118">
        <v>20</v>
      </c>
    </row>
    <row r="96" spans="1:6" ht="13.5">
      <c r="A96" s="3118">
        <v>24</v>
      </c>
      <c r="B96" s="3793"/>
      <c r="C96" s="3092" t="s">
        <v>2699</v>
      </c>
      <c r="D96" s="3092" t="s">
        <v>2700</v>
      </c>
      <c r="E96" s="3118">
        <v>0.1</v>
      </c>
      <c r="F96" s="3118">
        <v>15</v>
      </c>
    </row>
    <row r="97" spans="1:6" ht="13.5">
      <c r="A97" s="3118">
        <v>25</v>
      </c>
      <c r="B97" s="3793"/>
      <c r="C97" s="3092" t="s">
        <v>2701</v>
      </c>
      <c r="D97" s="3092" t="s">
        <v>2702</v>
      </c>
      <c r="E97" s="3118">
        <v>0.1</v>
      </c>
      <c r="F97" s="3118">
        <v>15</v>
      </c>
    </row>
    <row r="98" spans="1:6" ht="24">
      <c r="A98" s="3118">
        <v>26</v>
      </c>
      <c r="B98" s="3793"/>
      <c r="C98" s="3092" t="s">
        <v>2703</v>
      </c>
      <c r="D98" s="3092" t="s">
        <v>2704</v>
      </c>
      <c r="E98" s="3118">
        <v>0.1</v>
      </c>
      <c r="F98" s="3118">
        <v>15</v>
      </c>
    </row>
    <row r="99" spans="1:6" ht="24">
      <c r="A99" s="3118">
        <v>27</v>
      </c>
      <c r="B99" s="3793"/>
      <c r="C99" s="3092" t="s">
        <v>2705</v>
      </c>
      <c r="D99" s="3092" t="s">
        <v>2706</v>
      </c>
      <c r="E99" s="3118">
        <v>0.1</v>
      </c>
      <c r="F99" s="3118">
        <v>15</v>
      </c>
    </row>
    <row r="100" spans="1:6" ht="13.5">
      <c r="A100" s="3118">
        <v>28</v>
      </c>
      <c r="B100" s="3793"/>
      <c r="C100" s="3092" t="s">
        <v>2707</v>
      </c>
      <c r="D100" s="3092" t="s">
        <v>2708</v>
      </c>
      <c r="E100" s="3118">
        <v>0.1</v>
      </c>
      <c r="F100" s="3118">
        <v>15</v>
      </c>
    </row>
    <row r="101" spans="1:6" ht="13.5">
      <c r="A101" s="3118">
        <v>29</v>
      </c>
      <c r="B101" s="3793"/>
      <c r="C101" s="3092" t="s">
        <v>2709</v>
      </c>
      <c r="D101" s="3092" t="s">
        <v>2710</v>
      </c>
      <c r="E101" s="3118">
        <v>0.1</v>
      </c>
      <c r="F101" s="3118">
        <v>15</v>
      </c>
    </row>
    <row r="102" spans="1:6" ht="13.5">
      <c r="A102" s="3118">
        <v>30</v>
      </c>
      <c r="B102" s="3793"/>
      <c r="C102" s="3092" t="s">
        <v>2711</v>
      </c>
      <c r="D102" s="3092" t="s">
        <v>2712</v>
      </c>
      <c r="E102" s="3118">
        <v>0.1</v>
      </c>
      <c r="F102" s="3118">
        <v>15</v>
      </c>
    </row>
    <row r="103" spans="1:6" ht="24">
      <c r="A103" s="3118">
        <v>31</v>
      </c>
      <c r="B103" s="3793"/>
      <c r="C103" s="3092" t="s">
        <v>2713</v>
      </c>
      <c r="D103" s="3092" t="s">
        <v>2714</v>
      </c>
      <c r="E103" s="3118">
        <v>0.1</v>
      </c>
      <c r="F103" s="3118">
        <v>15</v>
      </c>
    </row>
    <row r="104" spans="1:6" ht="24">
      <c r="A104" s="3118">
        <v>32</v>
      </c>
      <c r="B104" s="3793"/>
      <c r="C104" s="3092" t="s">
        <v>2715</v>
      </c>
      <c r="D104" s="3092" t="s">
        <v>2716</v>
      </c>
      <c r="E104" s="3118">
        <v>0.1</v>
      </c>
      <c r="F104" s="3118">
        <v>15</v>
      </c>
    </row>
    <row r="105" spans="1:6" ht="24">
      <c r="A105" s="3118">
        <v>33</v>
      </c>
      <c r="B105" s="3793"/>
      <c r="C105" s="3092" t="s">
        <v>2717</v>
      </c>
      <c r="D105" s="3092" t="s">
        <v>2718</v>
      </c>
      <c r="E105" s="3118">
        <v>0.1</v>
      </c>
      <c r="F105" s="3118">
        <v>15</v>
      </c>
    </row>
    <row r="106" spans="1:6" ht="24">
      <c r="A106" s="3118">
        <v>34</v>
      </c>
      <c r="B106" s="3802"/>
      <c r="C106" s="3092" t="s">
        <v>2719</v>
      </c>
      <c r="D106" s="3092" t="s">
        <v>2720</v>
      </c>
      <c r="E106" s="3118">
        <v>0.1</v>
      </c>
      <c r="F106" s="3118">
        <v>15</v>
      </c>
    </row>
    <row r="107" spans="1:6" ht="24">
      <c r="A107" s="3118">
        <v>35</v>
      </c>
      <c r="B107" s="3798" t="s">
        <v>2721</v>
      </c>
      <c r="C107" s="3118" t="s">
        <v>2722</v>
      </c>
      <c r="D107" s="3092" t="s">
        <v>2723</v>
      </c>
      <c r="E107" s="3118">
        <v>0.15</v>
      </c>
      <c r="F107" s="3118">
        <v>20</v>
      </c>
    </row>
    <row r="108" spans="1:6" ht="13.5">
      <c r="A108" s="3118">
        <v>36</v>
      </c>
      <c r="B108" s="3793"/>
      <c r="C108" s="3118" t="s">
        <v>2724</v>
      </c>
      <c r="D108" s="3092" t="s">
        <v>2725</v>
      </c>
      <c r="E108" s="3118">
        <v>0.15</v>
      </c>
      <c r="F108" s="3118">
        <v>20</v>
      </c>
    </row>
    <row r="109" spans="1:6" ht="13.5">
      <c r="A109" s="3118">
        <v>37</v>
      </c>
      <c r="B109" s="3793"/>
      <c r="C109" s="3118" t="s">
        <v>2726</v>
      </c>
      <c r="D109" s="3092" t="s">
        <v>2727</v>
      </c>
      <c r="E109" s="3118">
        <v>0.15</v>
      </c>
      <c r="F109" s="3118">
        <v>20</v>
      </c>
    </row>
    <row r="110" spans="1:6" ht="13.5">
      <c r="A110" s="3118">
        <v>38</v>
      </c>
      <c r="B110" s="3793"/>
      <c r="C110" s="3118" t="s">
        <v>2728</v>
      </c>
      <c r="D110" s="3092" t="s">
        <v>2729</v>
      </c>
      <c r="E110" s="3118">
        <v>0.1</v>
      </c>
      <c r="F110" s="3118">
        <v>15</v>
      </c>
    </row>
    <row r="111" spans="1:6" ht="24">
      <c r="A111" s="3118">
        <v>39</v>
      </c>
      <c r="B111" s="3793"/>
      <c r="C111" s="3118" t="s">
        <v>2730</v>
      </c>
      <c r="D111" s="3092" t="s">
        <v>2731</v>
      </c>
      <c r="E111" s="3118">
        <v>0.1</v>
      </c>
      <c r="F111" s="3118">
        <v>15</v>
      </c>
    </row>
    <row r="112" spans="1:6" ht="24">
      <c r="A112" s="3118">
        <v>40</v>
      </c>
      <c r="B112" s="3802"/>
      <c r="C112" s="3118" t="s">
        <v>2732</v>
      </c>
      <c r="D112" s="3092" t="s">
        <v>2733</v>
      </c>
      <c r="E112" s="3118">
        <v>0.1</v>
      </c>
      <c r="F112" s="3118">
        <v>15</v>
      </c>
    </row>
    <row r="113" spans="1:6" ht="13.5">
      <c r="A113" s="3118">
        <v>41</v>
      </c>
      <c r="B113" s="3803" t="s">
        <v>2734</v>
      </c>
      <c r="C113" s="3118" t="s">
        <v>2735</v>
      </c>
      <c r="D113" s="3092" t="s">
        <v>2736</v>
      </c>
      <c r="E113" s="3118">
        <v>0.1</v>
      </c>
      <c r="F113" s="3118">
        <v>15</v>
      </c>
    </row>
    <row r="114" spans="1:6" ht="13.5">
      <c r="A114" s="3118">
        <v>42</v>
      </c>
      <c r="B114" s="3803"/>
      <c r="C114" s="3118" t="s">
        <v>2737</v>
      </c>
      <c r="D114" s="3092" t="s">
        <v>2738</v>
      </c>
      <c r="E114" s="3118">
        <v>0.1</v>
      </c>
      <c r="F114" s="3118">
        <v>15</v>
      </c>
    </row>
    <row r="115" spans="1:6" ht="24">
      <c r="A115" s="3118">
        <v>43</v>
      </c>
      <c r="B115" s="3803"/>
      <c r="C115" s="3118" t="s">
        <v>2739</v>
      </c>
      <c r="D115" s="3092" t="s">
        <v>2740</v>
      </c>
      <c r="E115" s="3118">
        <v>0.1</v>
      </c>
      <c r="F115" s="3118">
        <v>15</v>
      </c>
    </row>
    <row r="116" spans="1:6" ht="13.5">
      <c r="A116" s="3118">
        <v>44</v>
      </c>
      <c r="B116" s="3798" t="s">
        <v>2741</v>
      </c>
      <c r="C116" s="3118" t="s">
        <v>2742</v>
      </c>
      <c r="D116" s="3092" t="s">
        <v>2743</v>
      </c>
      <c r="E116" s="3118">
        <v>0.1</v>
      </c>
      <c r="F116" s="3118">
        <v>15</v>
      </c>
    </row>
    <row r="117" spans="1:6" ht="24">
      <c r="A117" s="3118">
        <v>45</v>
      </c>
      <c r="B117" s="3802"/>
      <c r="C117" s="3092" t="s">
        <v>2744</v>
      </c>
      <c r="D117" s="3092" t="s">
        <v>2745</v>
      </c>
      <c r="E117" s="3118">
        <v>0.1</v>
      </c>
      <c r="F117" s="3118">
        <v>15</v>
      </c>
    </row>
    <row r="118" spans="1:6" ht="24">
      <c r="A118" s="3118">
        <v>46</v>
      </c>
      <c r="B118" s="3798" t="s">
        <v>2746</v>
      </c>
      <c r="C118" s="3118" t="s">
        <v>2747</v>
      </c>
      <c r="D118" s="3092" t="s">
        <v>2748</v>
      </c>
      <c r="E118" s="3118">
        <v>0.1</v>
      </c>
      <c r="F118" s="3118">
        <v>15</v>
      </c>
    </row>
    <row r="119" spans="1:6" ht="24">
      <c r="A119" s="3118">
        <v>47</v>
      </c>
      <c r="B119" s="3802"/>
      <c r="C119" s="3118" t="s">
        <v>2749</v>
      </c>
      <c r="D119" s="3092" t="s">
        <v>2750</v>
      </c>
      <c r="E119" s="3118">
        <v>0.1</v>
      </c>
      <c r="F119" s="3118">
        <v>15</v>
      </c>
    </row>
    <row r="120" spans="1:6" ht="13.5">
      <c r="A120" s="3118">
        <v>48</v>
      </c>
      <c r="B120" s="3798" t="s">
        <v>2751</v>
      </c>
      <c r="C120" s="3118" t="s">
        <v>2752</v>
      </c>
      <c r="D120" s="3092" t="s">
        <v>2753</v>
      </c>
      <c r="E120" s="3118">
        <v>0.1</v>
      </c>
      <c r="F120" s="3118">
        <v>15</v>
      </c>
    </row>
    <row r="121" spans="1:6" ht="13.5">
      <c r="A121" s="3118">
        <v>49</v>
      </c>
      <c r="B121" s="3802"/>
      <c r="C121" s="3118" t="s">
        <v>2754</v>
      </c>
      <c r="D121" s="3092" t="s">
        <v>2755</v>
      </c>
      <c r="E121" s="3118">
        <v>0.1</v>
      </c>
      <c r="F121" s="3118">
        <v>15</v>
      </c>
    </row>
    <row r="122" spans="1:6" ht="24">
      <c r="A122" s="3118">
        <v>50</v>
      </c>
      <c r="B122" s="3803" t="s">
        <v>2756</v>
      </c>
      <c r="C122" s="3118" t="s">
        <v>2757</v>
      </c>
      <c r="D122" s="3092" t="s">
        <v>2758</v>
      </c>
      <c r="E122" s="3118">
        <v>0.1</v>
      </c>
      <c r="F122" s="3118">
        <v>15</v>
      </c>
    </row>
    <row r="123" spans="1:6" ht="24">
      <c r="A123" s="3118">
        <v>51</v>
      </c>
      <c r="B123" s="3803"/>
      <c r="C123" s="3118" t="s">
        <v>2759</v>
      </c>
      <c r="D123" s="3092" t="s">
        <v>2760</v>
      </c>
      <c r="E123" s="3118">
        <v>0.1</v>
      </c>
      <c r="F123" s="3118">
        <v>15</v>
      </c>
    </row>
    <row r="124" spans="1:6" ht="24">
      <c r="A124" s="3118">
        <v>52</v>
      </c>
      <c r="B124" s="3803" t="s">
        <v>2761</v>
      </c>
      <c r="C124" s="3118" t="s">
        <v>2762</v>
      </c>
      <c r="D124" s="3092" t="s">
        <v>2763</v>
      </c>
      <c r="E124" s="3118">
        <v>0.1</v>
      </c>
      <c r="F124" s="3118">
        <v>15</v>
      </c>
    </row>
    <row r="125" spans="1:6" ht="24">
      <c r="A125" s="3118">
        <v>53</v>
      </c>
      <c r="B125" s="3803"/>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803" t="s">
        <v>2769</v>
      </c>
      <c r="C127" s="3118" t="s">
        <v>2770</v>
      </c>
      <c r="D127" s="3092" t="s">
        <v>2771</v>
      </c>
      <c r="E127" s="3118">
        <v>0.1</v>
      </c>
      <c r="F127" s="3118">
        <v>15</v>
      </c>
    </row>
    <row r="128" spans="1:6" ht="13.5">
      <c r="A128" s="3118">
        <v>56</v>
      </c>
      <c r="B128" s="3803"/>
      <c r="C128" s="3118" t="s">
        <v>2772</v>
      </c>
      <c r="D128" s="3092" t="s">
        <v>2773</v>
      </c>
      <c r="E128" s="3118">
        <v>0.1</v>
      </c>
      <c r="F128" s="3118">
        <v>15</v>
      </c>
    </row>
    <row r="129" spans="1:6" ht="24">
      <c r="A129" s="3118">
        <v>57</v>
      </c>
      <c r="B129" s="3803"/>
      <c r="C129" s="3118" t="s">
        <v>2774</v>
      </c>
      <c r="D129" s="3092" t="s">
        <v>2775</v>
      </c>
      <c r="E129" s="3118">
        <v>0.1</v>
      </c>
      <c r="F129" s="3118">
        <v>15</v>
      </c>
    </row>
    <row r="130" spans="1:6" ht="24">
      <c r="A130" s="3118">
        <v>58</v>
      </c>
      <c r="B130" s="3803" t="s">
        <v>2776</v>
      </c>
      <c r="C130" s="3118" t="s">
        <v>2777</v>
      </c>
      <c r="D130" s="3092" t="s">
        <v>2778</v>
      </c>
      <c r="E130" s="3118">
        <v>0.1</v>
      </c>
      <c r="F130" s="3118">
        <v>15</v>
      </c>
    </row>
    <row r="131" spans="1:6" ht="13.5">
      <c r="A131" s="3118">
        <v>59</v>
      </c>
      <c r="B131" s="3803"/>
      <c r="C131" s="3118" t="s">
        <v>2779</v>
      </c>
      <c r="D131" s="3092" t="s">
        <v>2780</v>
      </c>
      <c r="E131" s="3118">
        <v>0.1</v>
      </c>
      <c r="F131" s="3118">
        <v>15</v>
      </c>
    </row>
    <row r="132" spans="1:6" ht="13.5">
      <c r="A132" s="3118">
        <v>60</v>
      </c>
      <c r="B132" s="3798" t="s">
        <v>2781</v>
      </c>
      <c r="C132" s="3118" t="s">
        <v>2782</v>
      </c>
      <c r="D132" s="3092" t="s">
        <v>2783</v>
      </c>
      <c r="E132" s="3118">
        <v>0.1</v>
      </c>
      <c r="F132" s="3118">
        <v>15</v>
      </c>
    </row>
    <row r="133" spans="1:6" ht="13.5">
      <c r="A133" s="3118">
        <v>61</v>
      </c>
      <c r="B133" s="380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803" t="s">
        <v>2789</v>
      </c>
      <c r="C135" s="3118" t="s">
        <v>2790</v>
      </c>
      <c r="D135" s="3092" t="s">
        <v>2791</v>
      </c>
      <c r="E135" s="3118">
        <v>0.1</v>
      </c>
      <c r="F135" s="3118">
        <v>15</v>
      </c>
    </row>
    <row r="136" spans="1:6" ht="13.5">
      <c r="A136" s="3118">
        <v>64</v>
      </c>
      <c r="B136" s="3803"/>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238</v>
      </c>
      <c r="E5" s="1491"/>
    </row>
    <row r="6" spans="1:5" ht="15.75">
      <c r="A6" s="1491"/>
      <c r="B6" s="3486"/>
      <c r="C6" s="1494" t="s">
        <v>911</v>
      </c>
      <c r="D6" s="850" t="str">
        <f ca="1">NUMBERSTRING(INT(D5*10000),2)&amp;"元整"</f>
        <v>贰佰叁拾捌万元整</v>
      </c>
      <c r="E6" s="1491"/>
    </row>
    <row r="7" spans="1:5" ht="15.75">
      <c r="A7" s="1491"/>
      <c r="B7" s="3491"/>
      <c r="C7" s="1495" t="s">
        <v>912</v>
      </c>
      <c r="D7" s="851">
        <f ca="1">结果表!H102</f>
        <v>15443</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238</v>
      </c>
      <c r="E13" s="1491"/>
    </row>
    <row r="14" spans="1:5" ht="15.75">
      <c r="A14" s="1491"/>
      <c r="B14" s="3486"/>
      <c r="C14" s="1494" t="s">
        <v>911</v>
      </c>
      <c r="D14" s="850" t="str">
        <f ca="1">NUMBERSTRING(INT(D13*10000),2)&amp;"元整"</f>
        <v>贰佰叁拾捌万元整</v>
      </c>
      <c r="E14" s="1491"/>
    </row>
    <row r="15" spans="1:5" ht="15">
      <c r="A15" s="1491"/>
      <c r="B15" s="3491"/>
      <c r="C15" s="1495" t="s">
        <v>921</v>
      </c>
      <c r="D15" s="859">
        <f ca="1">结果表!H108</f>
        <v>15443</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27663</v>
      </c>
      <c r="C2" s="2" t="s">
        <v>106</v>
      </c>
      <c r="D2" s="199"/>
      <c r="E2" s="199"/>
      <c r="F2" s="199"/>
      <c r="G2" s="199"/>
    </row>
    <row r="3" spans="1:7" s="200" customFormat="1" ht="18" customHeight="1" thickBot="1">
      <c r="A3" s="203" t="s">
        <v>58</v>
      </c>
      <c r="B3" s="204">
        <f ca="1">ROUND(B2*10000/'数据-汇总表'!E3,0)</f>
        <v>1793504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154.24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154.24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1311</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27586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62</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154.24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11</v>
      </c>
      <c r="D45" s="235">
        <f>C47</f>
        <v>3.0000000000000001E-3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77</v>
      </c>
      <c r="D51" s="232"/>
      <c r="E51" s="232"/>
      <c r="F51" s="264"/>
      <c r="G51" s="234" t="s">
        <v>37</v>
      </c>
    </row>
    <row r="52" spans="1:7" s="208" customFormat="1" ht="16.5" thickBot="1">
      <c r="A52" s="265" t="s">
        <v>38</v>
      </c>
      <c r="B52" s="266"/>
      <c r="C52" s="267">
        <f ca="1">C31+C51</f>
        <v>27663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3181</v>
      </c>
      <c r="B1" s="3804"/>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5" t="s">
        <v>3232</v>
      </c>
      <c r="B1" s="3805"/>
      <c r="C1" s="3805"/>
      <c r="D1" s="3805"/>
      <c r="E1" s="3805"/>
      <c r="F1" s="380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8" sqref="A8:XFD8"/>
    </sheetView>
  </sheetViews>
  <sheetFormatPr defaultRowHeight="13.5"/>
  <cols>
    <col min="1" max="1" width="13.875" customWidth="1"/>
    <col min="11" max="17" width="0" hidden="1" customWidth="1"/>
    <col min="25" max="30" width="0" hidden="1" customWidth="1"/>
  </cols>
  <sheetData>
    <row r="1" spans="1:44">
      <c r="A1" s="3221">
        <f>基准地价修正!G23</f>
        <v>45769</v>
      </c>
      <c r="B1" s="3210" t="s">
        <v>3377</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3401</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3409</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3408</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3381</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3375</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3374</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3370</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3369</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3367</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3366</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3365</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3363</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3354</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3380</v>
      </c>
    </row>
    <row r="27" spans="1:44" s="3009" customFormat="1">
      <c r="I27" s="3208" t="s">
        <v>2825</v>
      </c>
    </row>
    <row r="28" spans="1:44" s="3009" customFormat="1"/>
    <row r="29" spans="1:44" s="3209" customFormat="1" ht="12.75">
      <c r="B29" s="3210" t="s">
        <v>3378</v>
      </c>
      <c r="C29" s="3211"/>
      <c r="D29" s="3211"/>
      <c r="E29" s="3211"/>
      <c r="F29" s="3211"/>
      <c r="G29" s="3211"/>
      <c r="H29" s="3211"/>
      <c r="I29" s="3211"/>
      <c r="J29" s="3165"/>
      <c r="K29" s="3211" t="s">
        <v>2826</v>
      </c>
      <c r="L29" s="3211"/>
      <c r="M29" s="3211"/>
      <c r="N29" s="3211"/>
      <c r="O29" s="3211"/>
      <c r="P29" s="3211"/>
      <c r="Q29" s="3165"/>
      <c r="R29" s="3807" t="s">
        <v>2827</v>
      </c>
      <c r="S29" s="3808"/>
      <c r="T29" s="3808"/>
      <c r="U29" s="3808"/>
      <c r="V29" s="3808"/>
      <c r="W29" s="3808"/>
      <c r="X29" s="3165"/>
      <c r="Y29" s="3807" t="s">
        <v>2828</v>
      </c>
      <c r="Z29" s="3808"/>
      <c r="AA29" s="3808"/>
      <c r="AB29" s="3808"/>
      <c r="AC29" s="3808"/>
      <c r="AD29" s="3808"/>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3405</v>
      </c>
      <c r="AJ30"/>
      <c r="AK30" t="s">
        <v>3406</v>
      </c>
      <c r="AN30" t="s">
        <v>673</v>
      </c>
      <c r="AO30" t="s">
        <v>21</v>
      </c>
      <c r="AP30" t="s">
        <v>3405</v>
      </c>
      <c r="AQ30"/>
      <c r="AR30" t="s">
        <v>3406</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3410</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3407</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3408</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3372</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3376</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3373</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3371</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3369</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3368</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3366</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3365</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3364</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3354</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2" t="s">
        <v>2839</v>
      </c>
      <c r="B1" s="3822"/>
      <c r="C1" s="3822"/>
      <c r="D1" s="3822"/>
      <c r="E1" s="3822"/>
      <c r="F1" s="3822"/>
      <c r="G1" s="382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
  <sheetViews>
    <sheetView workbookViewId="0">
      <selection activeCell="R61" sqref="R61"/>
    </sheetView>
  </sheetViews>
  <sheetFormatPr defaultRowHeight="13.5"/>
  <sheetData>
    <row r="7" spans="4:4">
      <c r="D7" s="3475"/>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82" sqref="R8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854" t="s">
        <v>925</v>
      </c>
      <c r="E3" s="854" t="s">
        <v>931</v>
      </c>
      <c r="F3" s="854" t="s">
        <v>925</v>
      </c>
      <c r="G3" s="854" t="s">
        <v>926</v>
      </c>
      <c r="H3" s="854" t="s">
        <v>925</v>
      </c>
      <c r="I3" s="854" t="s">
        <v>926</v>
      </c>
    </row>
    <row r="4" spans="1:9" ht="30">
      <c r="A4" s="1505" t="str">
        <f>项目基本情况!S2</f>
        <v>北京市顺义区金航西路4号院1号楼3层314办公用房房地产</v>
      </c>
      <c r="B4" s="854">
        <f>项目基本情况!C17</f>
        <v>154.24</v>
      </c>
      <c r="C4" s="854">
        <f>项目基本情况!C18</f>
        <v>0</v>
      </c>
      <c r="D4" s="854">
        <f ca="1">结果表!D118</f>
        <v>129</v>
      </c>
      <c r="E4" s="854">
        <f ca="1">结果表!E118</f>
        <v>8339</v>
      </c>
      <c r="F4" s="854">
        <f ca="1">结果表!F118</f>
        <v>110</v>
      </c>
      <c r="G4" s="854">
        <f ca="1">结果表!G118</f>
        <v>7104</v>
      </c>
      <c r="H4" s="854">
        <f ca="1">结果表!H118</f>
        <v>238</v>
      </c>
      <c r="I4" s="854">
        <f ca="1">结果表!I118</f>
        <v>15443</v>
      </c>
    </row>
    <row r="5" spans="1:9" ht="30" customHeight="1">
      <c r="A5" s="3497" t="s">
        <v>927</v>
      </c>
      <c r="B5" s="3497"/>
      <c r="C5" s="3497"/>
      <c r="D5" s="3497" t="str">
        <f ca="1">结果表!D119</f>
        <v>壹佰贰拾玖万元整</v>
      </c>
      <c r="E5" s="3497"/>
      <c r="F5" s="3497" t="str">
        <f ca="1">结果表!F119</f>
        <v>壹佰壹拾万元整</v>
      </c>
      <c r="G5" s="3497"/>
      <c r="H5" s="3497" t="str">
        <f ca="1">结果表!H119</f>
        <v>贰佰叁拾捌万元整</v>
      </c>
      <c r="I5" s="3497"/>
    </row>
    <row r="6" spans="1:9" ht="15.75">
      <c r="A6" s="3498" t="str">
        <f>结果表!A120</f>
        <v>估价师知悉的法定优先受偿款</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75">
      <c r="A8" s="3498" t="str">
        <f>结果表!A122</f>
        <v>房地产抵押价值</v>
      </c>
      <c r="B8" s="3498"/>
      <c r="C8" s="3498"/>
      <c r="D8" s="3498">
        <f ca="1">结果表!D122</f>
        <v>238</v>
      </c>
      <c r="E8" s="3498"/>
      <c r="F8" s="3498"/>
      <c r="G8" s="3498"/>
      <c r="H8" s="3498"/>
      <c r="I8" s="3498"/>
    </row>
    <row r="9" spans="1:9" ht="15">
      <c r="A9" s="3497" t="s">
        <v>927</v>
      </c>
      <c r="B9" s="3497"/>
      <c r="C9" s="3497"/>
      <c r="D9" s="3497" t="str">
        <f ca="1">结果表!D123</f>
        <v>贰佰叁拾捌万元整</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75">
      <c r="A12" s="3498" t="str">
        <f>结果表!A126</f>
        <v/>
      </c>
      <c r="B12" s="3498"/>
      <c r="C12" s="3498"/>
      <c r="D12" s="3498" t="str">
        <f>结果表!D126</f>
        <v>——</v>
      </c>
      <c r="E12" s="3498"/>
      <c r="F12" s="3498"/>
      <c r="G12" s="3498"/>
      <c r="H12" s="3498"/>
      <c r="I12" s="3498"/>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比较法-办公租金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2025-04-23T05:33:14Z</dcterms:modified>
</cp:coreProperties>
</file>