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剩余法-现房" sheetId="43" state="hidden" r:id="rId18"/>
    <sheet name="比较法-住宅、综合1" sheetId="39" state="hidden" r:id="rId19"/>
    <sheet name="比较法-住宅、综合" sheetId="70" r:id="rId20"/>
    <sheet name="土地案例（住宅）" sheetId="69" r:id="rId21"/>
    <sheet name="土地案例（商业）" sheetId="71" r:id="rId22"/>
    <sheet name="选取土地案例" sheetId="72" r:id="rId23"/>
    <sheet name="剩余法-待开发" sheetId="12"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住宅" sheetId="21"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4" hidden="1">'比较法-工业'!$A$1:$L$45</definedName>
    <definedName name="_xlnm._FilterDatabase" localSheetId="19" hidden="1">'比较法-住宅、综合'!$A$1:$L$50</definedName>
    <definedName name="_xlnm._FilterDatabase" localSheetId="18" hidden="1">'比较法-住宅、综合1'!$A$1:$L$50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'比较法-住宅、综合'!$A$75:$M$75</definedName>
    <definedName name="套工交易情况">'比较法-住宅、综合1'!$A$75:$M$75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'比较法-住宅、综合'!$B$108:$M$108</definedName>
    <definedName name="套综道路等级">'比较法-住宅、综合1'!$B$108:$M$108</definedName>
    <definedName name="套综工程地质条件" localSheetId="19">'比较法-住宅、综合'!$B$127:$M$127</definedName>
    <definedName name="套综工程地质条件">'比较法-住宅、综合1'!$B$127:$M$127</definedName>
    <definedName name="套综交易情况" localSheetId="19">'比较法-住宅、综合'!$A$75:$M$75</definedName>
    <definedName name="套综交易情况">'比较法-住宅、综合1'!$A$75:$M$75</definedName>
    <definedName name="套综临街宽度及深度" localSheetId="19">'比较法-住宅、综合'!$B$123:$M$123</definedName>
    <definedName name="套综临街宽度及深度">'比较法-住宅、综合1'!$B$123:$M$123</definedName>
    <definedName name="套综土地级别" localSheetId="19">'比较法-住宅、综合'!$B$110:$M$110</definedName>
    <definedName name="套综土地级别">'比较法-住宅、综合1'!$B$110:$M$110</definedName>
    <definedName name="套综用途" localSheetId="19">'比较法-住宅、综合'!$B$77:$M$77</definedName>
    <definedName name="套综用途">'比较法-住宅、综合1'!$B$77:$M$77</definedName>
    <definedName name="套综宗地内开发程度" localSheetId="19">'比较法-住宅、综合'!$B$125:$M$125</definedName>
    <definedName name="套综宗地内开发程度">'比较法-住宅、综合1'!$B$125:$M$125</definedName>
    <definedName name="套综宗地形状" localSheetId="19">'比较法-住宅、综合'!$B$121:$M$121</definedName>
    <definedName name="套综宗地形状">'比较法-住宅、综合1'!$B$121:$M$121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8" i="70" l="1"/>
  <c r="G8" i="70"/>
  <c r="E8" i="70"/>
  <c r="G35" i="9" l="1"/>
  <c r="C27" i="9"/>
  <c r="B27" i="9"/>
  <c r="I13" i="3" l="1"/>
  <c r="F19" i="6" s="1"/>
  <c r="I47" i="21"/>
  <c r="E47" i="21"/>
  <c r="G47" i="21"/>
  <c r="I48" i="70"/>
  <c r="I55" i="70" s="1"/>
  <c r="J55" i="70" s="1"/>
  <c r="G48" i="70"/>
  <c r="E48" i="70"/>
  <c r="I40" i="70"/>
  <c r="G40" i="70"/>
  <c r="E40" i="70"/>
  <c r="I9" i="70"/>
  <c r="G9" i="70"/>
  <c r="E9" i="70"/>
  <c r="I7" i="70"/>
  <c r="G7" i="70"/>
  <c r="E7" i="70"/>
  <c r="E77" i="70"/>
  <c r="Q73" i="70"/>
  <c r="R73" i="70"/>
  <c r="S73" i="70" s="1"/>
  <c r="T73" i="70" s="1"/>
  <c r="U73" i="70" s="1"/>
  <c r="V73" i="70" s="1"/>
  <c r="T72" i="70"/>
  <c r="U72" i="70"/>
  <c r="V72" i="70"/>
  <c r="O72" i="70"/>
  <c r="P72" i="70"/>
  <c r="Q72" i="70"/>
  <c r="R72" i="70"/>
  <c r="S72" i="70"/>
  <c r="O73" i="70"/>
  <c r="P73" i="70" s="1"/>
  <c r="R48" i="70"/>
  <c r="D77" i="70"/>
  <c r="B133" i="70"/>
  <c r="B131" i="70"/>
  <c r="B129" i="70"/>
  <c r="D128" i="70"/>
  <c r="E128" i="70" s="1"/>
  <c r="F128" i="70" s="1"/>
  <c r="G128" i="70" s="1"/>
  <c r="H128" i="70" s="1"/>
  <c r="I128" i="70" s="1"/>
  <c r="J128" i="70" s="1"/>
  <c r="K128" i="70" s="1"/>
  <c r="L128" i="70" s="1"/>
  <c r="M128" i="70" s="1"/>
  <c r="D126" i="70"/>
  <c r="E126" i="70" s="1"/>
  <c r="F126" i="70" s="1"/>
  <c r="G126" i="70" s="1"/>
  <c r="H126" i="70" s="1"/>
  <c r="I126" i="70" s="1"/>
  <c r="J126" i="70" s="1"/>
  <c r="K126" i="70" s="1"/>
  <c r="L126" i="70" s="1"/>
  <c r="M126" i="70" s="1"/>
  <c r="D124" i="70"/>
  <c r="E124" i="70" s="1"/>
  <c r="F124" i="70" s="1"/>
  <c r="G124" i="70" s="1"/>
  <c r="H124" i="70" s="1"/>
  <c r="I124" i="70" s="1"/>
  <c r="J124" i="70" s="1"/>
  <c r="K124" i="70" s="1"/>
  <c r="L124" i="70" s="1"/>
  <c r="M124" i="70" s="1"/>
  <c r="D122" i="70"/>
  <c r="E122" i="70" s="1"/>
  <c r="F122" i="70" s="1"/>
  <c r="G122" i="70" s="1"/>
  <c r="H122" i="70" s="1"/>
  <c r="I122" i="70" s="1"/>
  <c r="J122" i="70" s="1"/>
  <c r="K122" i="70" s="1"/>
  <c r="L122" i="70" s="1"/>
  <c r="M122" i="70" s="1"/>
  <c r="M118" i="70"/>
  <c r="L118" i="70"/>
  <c r="K118" i="70"/>
  <c r="J118" i="70"/>
  <c r="I118" i="70"/>
  <c r="H118" i="70"/>
  <c r="G118" i="70"/>
  <c r="F118" i="70"/>
  <c r="E118" i="70"/>
  <c r="D118" i="70"/>
  <c r="C118" i="70"/>
  <c r="B116" i="70"/>
  <c r="B114" i="70"/>
  <c r="B112" i="70"/>
  <c r="E111" i="70"/>
  <c r="F111" i="70" s="1"/>
  <c r="G111" i="70" s="1"/>
  <c r="H111" i="70" s="1"/>
  <c r="I111" i="70" s="1"/>
  <c r="J111" i="70" s="1"/>
  <c r="K111" i="70" s="1"/>
  <c r="L111" i="70" s="1"/>
  <c r="M111" i="70" s="1"/>
  <c r="D111" i="70"/>
  <c r="D109" i="70"/>
  <c r="E109" i="70" s="1"/>
  <c r="F109" i="70" s="1"/>
  <c r="G109" i="70" s="1"/>
  <c r="E107" i="70"/>
  <c r="F107" i="70" s="1"/>
  <c r="G107" i="70" s="1"/>
  <c r="H107" i="70" s="1"/>
  <c r="I107" i="70" s="1"/>
  <c r="J107" i="70" s="1"/>
  <c r="K107" i="70" s="1"/>
  <c r="L107" i="70" s="1"/>
  <c r="M107" i="70" s="1"/>
  <c r="D107" i="70"/>
  <c r="B106" i="70"/>
  <c r="D105" i="70"/>
  <c r="E105" i="70" s="1"/>
  <c r="F105" i="70" s="1"/>
  <c r="G105" i="70" s="1"/>
  <c r="D103" i="70"/>
  <c r="E103" i="70" s="1"/>
  <c r="F103" i="70" s="1"/>
  <c r="G103" i="70" s="1"/>
  <c r="D101" i="70"/>
  <c r="E101" i="70" s="1"/>
  <c r="F101" i="70" s="1"/>
  <c r="G101" i="70" s="1"/>
  <c r="D99" i="70"/>
  <c r="E99" i="70" s="1"/>
  <c r="F99" i="70" s="1"/>
  <c r="G99" i="70" s="1"/>
  <c r="D97" i="70"/>
  <c r="E97" i="70" s="1"/>
  <c r="F97" i="70" s="1"/>
  <c r="G97" i="70" s="1"/>
  <c r="D95" i="70"/>
  <c r="E95" i="70" s="1"/>
  <c r="F95" i="70" s="1"/>
  <c r="G95" i="70" s="1"/>
  <c r="D93" i="70"/>
  <c r="E93" i="70" s="1"/>
  <c r="F93" i="70" s="1"/>
  <c r="G93" i="70" s="1"/>
  <c r="D91" i="70"/>
  <c r="E91" i="70" s="1"/>
  <c r="F91" i="70" s="1"/>
  <c r="G91" i="70" s="1"/>
  <c r="B88" i="70"/>
  <c r="B86" i="70"/>
  <c r="B84" i="70"/>
  <c r="D83" i="70"/>
  <c r="E83" i="70" s="1"/>
  <c r="F83" i="70" s="1"/>
  <c r="G83" i="70" s="1"/>
  <c r="H83" i="70" s="1"/>
  <c r="I83" i="70" s="1"/>
  <c r="J83" i="70" s="1"/>
  <c r="K83" i="70" s="1"/>
  <c r="L83" i="70" s="1"/>
  <c r="M83" i="70" s="1"/>
  <c r="M81" i="70"/>
  <c r="L81" i="70"/>
  <c r="K81" i="70"/>
  <c r="J81" i="70"/>
  <c r="I81" i="70"/>
  <c r="H81" i="70"/>
  <c r="G81" i="70"/>
  <c r="F81" i="70"/>
  <c r="E81" i="70"/>
  <c r="D81" i="70"/>
  <c r="C81" i="70"/>
  <c r="E73" i="70"/>
  <c r="F73" i="70" s="1"/>
  <c r="G73" i="70" s="1"/>
  <c r="H73" i="70" s="1"/>
  <c r="I73" i="70" s="1"/>
  <c r="J73" i="70" s="1"/>
  <c r="K73" i="70" s="1"/>
  <c r="L73" i="70" s="1"/>
  <c r="M73" i="70" s="1"/>
  <c r="N73" i="70" s="1"/>
  <c r="D73" i="70"/>
  <c r="B73" i="70"/>
  <c r="H67" i="70"/>
  <c r="I67" i="70" s="1"/>
  <c r="C67" i="70" s="1"/>
  <c r="H66" i="70"/>
  <c r="I66" i="70" s="1"/>
  <c r="C66" i="70" s="1"/>
  <c r="H65" i="70"/>
  <c r="I65" i="70" s="1"/>
  <c r="C65" i="70" s="1"/>
  <c r="H64" i="70"/>
  <c r="I64" i="70" s="1"/>
  <c r="C64" i="70" s="1"/>
  <c r="H63" i="70"/>
  <c r="I63" i="70" s="1"/>
  <c r="C63" i="70" s="1"/>
  <c r="H62" i="70"/>
  <c r="I62" i="70" s="1"/>
  <c r="C62" i="70"/>
  <c r="I61" i="70"/>
  <c r="C61" i="70" s="1"/>
  <c r="H61" i="70"/>
  <c r="H60" i="70"/>
  <c r="I60" i="70" s="1"/>
  <c r="C60" i="70"/>
  <c r="H59" i="70"/>
  <c r="I59" i="70" s="1"/>
  <c r="C59" i="70" s="1"/>
  <c r="J57" i="70"/>
  <c r="E55" i="70"/>
  <c r="F55" i="70" s="1"/>
  <c r="P50" i="70"/>
  <c r="P49" i="70"/>
  <c r="V48" i="70"/>
  <c r="T48" i="70"/>
  <c r="P48" i="70"/>
  <c r="Q47" i="70"/>
  <c r="Z47" i="70" s="1"/>
  <c r="J47" i="70"/>
  <c r="AC47" i="70" s="1"/>
  <c r="H47" i="70"/>
  <c r="AB47" i="70" s="1"/>
  <c r="F47" i="70"/>
  <c r="AA47" i="70" s="1"/>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4" i="70"/>
  <c r="Z34" i="70" s="1"/>
  <c r="Q33" i="70"/>
  <c r="Z33" i="70" s="1"/>
  <c r="J33" i="70"/>
  <c r="AC33" i="70" s="1"/>
  <c r="H33" i="70"/>
  <c r="AB33" i="70" s="1"/>
  <c r="F33" i="70"/>
  <c r="AA33" i="70" s="1"/>
  <c r="Q31" i="70"/>
  <c r="Z31" i="70" s="1"/>
  <c r="J31" i="70"/>
  <c r="AC31" i="70" s="1"/>
  <c r="H31" i="70"/>
  <c r="AB31" i="70" s="1"/>
  <c r="F31" i="70"/>
  <c r="AA31" i="70" s="1"/>
  <c r="C31" i="70"/>
  <c r="Q29" i="70"/>
  <c r="Z29" i="70" s="1"/>
  <c r="J29" i="70"/>
  <c r="AC29" i="70" s="1"/>
  <c r="F29" i="70"/>
  <c r="AA29" i="70" s="1"/>
  <c r="C29" i="70"/>
  <c r="Q27" i="70"/>
  <c r="Z27" i="70" s="1"/>
  <c r="C27" i="70"/>
  <c r="Q25" i="70"/>
  <c r="Z25" i="70" s="1"/>
  <c r="J25" i="70"/>
  <c r="W25" i="70" s="1"/>
  <c r="H25" i="70"/>
  <c r="AB25" i="70" s="1"/>
  <c r="F25" i="70"/>
  <c r="AA25" i="70" s="1"/>
  <c r="C25" i="70"/>
  <c r="Q23" i="70"/>
  <c r="Z23" i="70" s="1"/>
  <c r="J23" i="70"/>
  <c r="AC23" i="70" s="1"/>
  <c r="H23" i="70"/>
  <c r="AB23" i="70" s="1"/>
  <c r="F23" i="70"/>
  <c r="AA23" i="70" s="1"/>
  <c r="C23" i="70"/>
  <c r="Q21" i="70"/>
  <c r="Z21" i="70" s="1"/>
  <c r="H21" i="70"/>
  <c r="AB21" i="70" s="1"/>
  <c r="C21" i="70"/>
  <c r="Q19" i="70"/>
  <c r="Z19" i="70" s="1"/>
  <c r="J19" i="70"/>
  <c r="AC19" i="70" s="1"/>
  <c r="H19" i="70"/>
  <c r="AB19" i="70" s="1"/>
  <c r="F19" i="70"/>
  <c r="AA19" i="70" s="1"/>
  <c r="C19" i="70"/>
  <c r="Q17" i="70"/>
  <c r="Z17" i="70" s="1"/>
  <c r="J17" i="70"/>
  <c r="W17" i="70" s="1"/>
  <c r="H17" i="70"/>
  <c r="AB17" i="70" s="1"/>
  <c r="F17" i="70"/>
  <c r="AA17" i="70" s="1"/>
  <c r="C17" i="70"/>
  <c r="Q16" i="70"/>
  <c r="Z16" i="70" s="1"/>
  <c r="J16" i="70"/>
  <c r="AC16" i="70" s="1"/>
  <c r="H16" i="70"/>
  <c r="AB16" i="70" s="1"/>
  <c r="F16" i="70"/>
  <c r="AA16" i="70" s="1"/>
  <c r="Q15" i="70"/>
  <c r="Z15" i="70" s="1"/>
  <c r="J15" i="70"/>
  <c r="AC15" i="70" s="1"/>
  <c r="H15" i="70"/>
  <c r="AB15" i="70" s="1"/>
  <c r="F15" i="70"/>
  <c r="AA15" i="70" s="1"/>
  <c r="Q14" i="70"/>
  <c r="Z14" i="70" s="1"/>
  <c r="J14" i="70"/>
  <c r="AC14" i="70" s="1"/>
  <c r="H14" i="70"/>
  <c r="AB14" i="70" s="1"/>
  <c r="F14" i="70"/>
  <c r="AA14" i="70" s="1"/>
  <c r="Q13" i="70"/>
  <c r="Z13" i="70" s="1"/>
  <c r="Q12" i="70"/>
  <c r="Z12" i="70" s="1"/>
  <c r="C12" i="70"/>
  <c r="Q11" i="70"/>
  <c r="Z11" i="70" s="1"/>
  <c r="J11" i="70"/>
  <c r="AC11" i="70" s="1"/>
  <c r="H11" i="70"/>
  <c r="AB11" i="70" s="1"/>
  <c r="F11" i="70"/>
  <c r="AA11" i="70" s="1"/>
  <c r="W10" i="70"/>
  <c r="S10" i="70"/>
  <c r="J10" i="70"/>
  <c r="AC10" i="70" s="1"/>
  <c r="H10" i="70"/>
  <c r="U10" i="70" s="1"/>
  <c r="F10" i="70"/>
  <c r="AA10" i="70" s="1"/>
  <c r="C9" i="70"/>
  <c r="C70" i="70" s="1"/>
  <c r="I7" i="21"/>
  <c r="G7" i="21"/>
  <c r="E73" i="39"/>
  <c r="F73" i="39" s="1"/>
  <c r="G73" i="39" s="1"/>
  <c r="H73" i="39" s="1"/>
  <c r="I73" i="39" s="1"/>
  <c r="J73" i="39" s="1"/>
  <c r="K73" i="39" s="1"/>
  <c r="L73" i="39" s="1"/>
  <c r="M73" i="39" s="1"/>
  <c r="N73" i="39" s="1"/>
  <c r="D73" i="39"/>
  <c r="C12" i="39"/>
  <c r="K13" i="3"/>
  <c r="F20" i="6" s="1"/>
  <c r="E22" i="4"/>
  <c r="E21" i="4"/>
  <c r="B5" i="4"/>
  <c r="D3" i="4"/>
  <c r="H29" i="70" l="1"/>
  <c r="AB29" i="70" s="1"/>
  <c r="G55" i="70"/>
  <c r="H55" i="70" s="1"/>
  <c r="H27" i="70"/>
  <c r="AB27" i="70" s="1"/>
  <c r="F21" i="70"/>
  <c r="AA21" i="70" s="1"/>
  <c r="J21" i="70"/>
  <c r="W21" i="70" s="1"/>
  <c r="F27" i="70"/>
  <c r="S27" i="70" s="1"/>
  <c r="J27" i="70"/>
  <c r="W27" i="70" s="1"/>
  <c r="H109" i="70"/>
  <c r="I109" i="70" s="1"/>
  <c r="J109" i="70" s="1"/>
  <c r="K109" i="70" s="1"/>
  <c r="L109" i="70" s="1"/>
  <c r="M109" i="70" s="1"/>
  <c r="H34" i="70"/>
  <c r="AB34" i="70" s="1"/>
  <c r="J34" i="70"/>
  <c r="AC34" i="70" s="1"/>
  <c r="F34" i="70"/>
  <c r="AA34" i="70" s="1"/>
  <c r="AC17" i="70"/>
  <c r="AC25" i="70"/>
  <c r="S11" i="70"/>
  <c r="W11" i="70"/>
  <c r="U14" i="70"/>
  <c r="S15" i="70"/>
  <c r="W15" i="70"/>
  <c r="U16" i="70"/>
  <c r="S19" i="70"/>
  <c r="S23" i="70"/>
  <c r="AA27" i="70"/>
  <c r="AC27" i="70"/>
  <c r="AB10" i="70"/>
  <c r="D70" i="70"/>
  <c r="C72" i="70"/>
  <c r="U11" i="70"/>
  <c r="S14" i="70"/>
  <c r="W14" i="70"/>
  <c r="U15" i="70"/>
  <c r="S16" i="70"/>
  <c r="W16" i="70"/>
  <c r="S17" i="70"/>
  <c r="W19" i="70"/>
  <c r="S21" i="70"/>
  <c r="W23" i="70"/>
  <c r="S25" i="70"/>
  <c r="U17" i="70"/>
  <c r="U19" i="70"/>
  <c r="U21" i="70"/>
  <c r="U23" i="70"/>
  <c r="U25" i="70"/>
  <c r="U27" i="70"/>
  <c r="U31" i="70"/>
  <c r="S33" i="70"/>
  <c r="W33" i="70"/>
  <c r="U34" i="70"/>
  <c r="S36" i="70"/>
  <c r="W36" i="70"/>
  <c r="U37" i="70"/>
  <c r="S38" i="70"/>
  <c r="W38" i="70"/>
  <c r="U39" i="70"/>
  <c r="S41" i="70"/>
  <c r="W41" i="70"/>
  <c r="U42" i="70"/>
  <c r="S43" i="70"/>
  <c r="W43" i="70"/>
  <c r="U44" i="70"/>
  <c r="S45" i="70"/>
  <c r="W45" i="70"/>
  <c r="U46" i="70"/>
  <c r="S47" i="70"/>
  <c r="W47" i="70"/>
  <c r="S29" i="70"/>
  <c r="W29" i="70"/>
  <c r="S31" i="70"/>
  <c r="W31" i="70"/>
  <c r="U33" i="70"/>
  <c r="S34" i="70"/>
  <c r="W34" i="70"/>
  <c r="U36" i="70"/>
  <c r="S37" i="70"/>
  <c r="W37" i="70"/>
  <c r="U38" i="70"/>
  <c r="S39" i="70"/>
  <c r="W39" i="70"/>
  <c r="U41" i="70"/>
  <c r="S42" i="70"/>
  <c r="W42" i="70"/>
  <c r="U43" i="70"/>
  <c r="S44" i="70"/>
  <c r="W44" i="70"/>
  <c r="U45" i="70"/>
  <c r="S46" i="70"/>
  <c r="W46" i="70"/>
  <c r="U47" i="70"/>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s="1"/>
  <c r="D9" i="59"/>
  <c r="AH7" i="59"/>
  <c r="AG7" i="59"/>
  <c r="AE7" i="59"/>
  <c r="AF7" i="59"/>
  <c r="AD7" i="59"/>
  <c r="AE8" i="59"/>
  <c r="AF8" i="59"/>
  <c r="AG8" i="59"/>
  <c r="AH8" i="59"/>
  <c r="AD8" i="59"/>
  <c r="Q8" i="59"/>
  <c r="AB7" i="59"/>
  <c r="P8" i="59"/>
  <c r="AA7" i="59"/>
  <c r="O8" i="59"/>
  <c r="Y7" i="59"/>
  <c r="Z7" i="59"/>
  <c r="N8" i="59"/>
  <c r="X7" i="59"/>
  <c r="N9" i="59"/>
  <c r="Q9" i="59"/>
  <c r="P9" i="59"/>
  <c r="O9" i="59"/>
  <c r="K59" i="15"/>
  <c r="P62" i="15" s="1"/>
  <c r="Q74" i="44"/>
  <c r="Q61" i="44"/>
  <c r="Q60" i="44"/>
  <c r="Q53" i="44"/>
  <c r="J51" i="44"/>
  <c r="J52" i="44"/>
  <c r="M48" i="44"/>
  <c r="A16" i="55"/>
  <c r="A15" i="55"/>
  <c r="B66" i="63" s="1"/>
  <c r="A10" i="55"/>
  <c r="A9" i="55"/>
  <c r="A8" i="55"/>
  <c r="A6" i="54"/>
  <c r="A8" i="54"/>
  <c r="B53" i="63" s="1"/>
  <c r="A7" i="54"/>
  <c r="A28" i="51"/>
  <c r="N4" i="63" s="1"/>
  <c r="A27" i="51"/>
  <c r="D5" i="46"/>
  <c r="Q10" i="59"/>
  <c r="AB8" i="59"/>
  <c r="O10" i="59"/>
  <c r="Y8" i="59"/>
  <c r="Z8" i="59"/>
  <c r="N11" i="59"/>
  <c r="O11" i="59"/>
  <c r="P11" i="59"/>
  <c r="Q11" i="59"/>
  <c r="N10" i="59"/>
  <c r="X8" i="59"/>
  <c r="P10" i="59"/>
  <c r="AA8" i="59"/>
  <c r="B12" i="59"/>
  <c r="C12" i="59"/>
  <c r="D12" i="59"/>
  <c r="E12" i="59"/>
  <c r="F12" i="59"/>
  <c r="K75" i="9"/>
  <c r="K6" i="4"/>
  <c r="O76" i="9" s="1"/>
  <c r="L76"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1" i="63"/>
  <c r="A46" i="9"/>
  <c r="K41" i="9" s="1"/>
  <c r="B8" i="63"/>
  <c r="A21" i="55"/>
  <c r="B71" i="63" s="1"/>
  <c r="A20" i="55"/>
  <c r="B69" i="63"/>
  <c r="B26" i="63"/>
  <c r="B28" i="63"/>
  <c r="B29" i="63"/>
  <c r="B31" i="63"/>
  <c r="B33" i="63"/>
  <c r="B35" i="63"/>
  <c r="B36" i="63"/>
  <c r="B37" i="63"/>
  <c r="B63" i="63"/>
  <c r="B64" i="63"/>
  <c r="B68" i="63"/>
  <c r="D51" i="10"/>
  <c r="B61" i="63"/>
  <c r="B60" i="63"/>
  <c r="B59" i="63"/>
  <c r="B10" i="63"/>
  <c r="B51" i="10"/>
  <c r="B20" i="63"/>
  <c r="B17" i="63"/>
  <c r="A15" i="51"/>
  <c r="B12" i="63" s="1"/>
  <c r="A14" i="51"/>
  <c r="B11" i="63" s="1"/>
  <c r="A4" i="55"/>
  <c r="B57" i="63" s="1"/>
  <c r="B41" i="63"/>
  <c r="G5" i="54"/>
  <c r="B34" i="63" s="1"/>
  <c r="E5" i="54"/>
  <c r="B32" i="63" s="1"/>
  <c r="R2" i="54"/>
  <c r="B24" i="63" s="1"/>
  <c r="B49" i="50"/>
  <c r="B5" i="63"/>
  <c r="B40" i="50"/>
  <c r="B3" i="63" s="1"/>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L16" i="4" s="1"/>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s="1"/>
  <c r="C22" i="20"/>
  <c r="B65" i="46"/>
  <c r="S18" i="36"/>
  <c r="S18" i="35"/>
  <c r="S21" i="37"/>
  <c r="S21" i="34"/>
  <c r="S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32" i="6"/>
  <c r="E20" i="6"/>
  <c r="E21" i="6"/>
  <c r="K8" i="1"/>
  <c r="M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c r="G109" i="39"/>
  <c r="H109" i="39"/>
  <c r="I109" i="39"/>
  <c r="J109" i="39"/>
  <c r="K109" i="39"/>
  <c r="L109" i="39"/>
  <c r="M109" i="39"/>
  <c r="D107" i="39"/>
  <c r="E107" i="39" s="1"/>
  <c r="F107" i="39" s="1"/>
  <c r="G107" i="39" s="1"/>
  <c r="H107" i="39" s="1"/>
  <c r="I107" i="39" s="1"/>
  <c r="J107" i="39" s="1"/>
  <c r="K107" i="39" s="1"/>
  <c r="L107" i="39" s="1"/>
  <c r="M107" i="39" s="1"/>
  <c r="D103" i="39"/>
  <c r="D101" i="39"/>
  <c r="E101" i="39"/>
  <c r="F101" i="39"/>
  <c r="G101" i="39"/>
  <c r="Q41" i="39"/>
  <c r="Z41" i="39"/>
  <c r="Q42" i="39"/>
  <c r="Z42" i="39" s="1"/>
  <c r="Q43" i="39"/>
  <c r="Q44" i="39"/>
  <c r="Z44" i="39"/>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c r="G99" i="39"/>
  <c r="D97" i="39"/>
  <c r="D95" i="39"/>
  <c r="E95" i="39" s="1"/>
  <c r="F95" i="39" s="1"/>
  <c r="G95" i="39" s="1"/>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c r="Q27" i="39"/>
  <c r="Z27" i="39"/>
  <c r="Q25" i="39"/>
  <c r="Z25" i="39"/>
  <c r="Q23" i="39"/>
  <c r="Z23" i="39"/>
  <c r="Q21" i="39"/>
  <c r="Z21" i="39" s="1"/>
  <c r="Q19" i="39"/>
  <c r="Z19" i="39"/>
  <c r="Q17" i="39"/>
  <c r="Z17" i="39"/>
  <c r="Q16" i="39"/>
  <c r="Z16" i="39" s="1"/>
  <c r="Q15" i="39"/>
  <c r="Z15" i="39" s="1"/>
  <c r="Q14" i="39"/>
  <c r="Z14" i="39" s="1"/>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s="1"/>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c r="F77" i="21" s="1"/>
  <c r="G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c r="H10" i="21"/>
  <c r="U10" i="21" s="1"/>
  <c r="H39" i="21"/>
  <c r="AB39" i="21" s="1"/>
  <c r="J34" i="21"/>
  <c r="W34" i="21" s="1"/>
  <c r="H36" i="21"/>
  <c r="U36" i="21" s="1"/>
  <c r="F35" i="21"/>
  <c r="AA35" i="21" s="1"/>
  <c r="J10" i="21"/>
  <c r="AC10" i="21" s="1"/>
  <c r="H26" i="2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A38" i="21"/>
  <c r="AC35"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c r="BL572" i="3"/>
  <c r="AZ572" i="3"/>
  <c r="J14" i="21"/>
  <c r="F14" i="21"/>
  <c r="AA14" i="21" s="1"/>
  <c r="H14" i="21"/>
  <c r="U14" i="21" s="1"/>
  <c r="H28" i="21"/>
  <c r="AB28" i="21" s="1"/>
  <c r="F28" i="21"/>
  <c r="J28" i="21"/>
  <c r="AC28" i="21"/>
  <c r="H30" i="21"/>
  <c r="U30" i="21" s="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W9" i="21"/>
  <c r="J32" i="21"/>
  <c r="AC32" i="21" s="1"/>
  <c r="G13" i="3"/>
  <c r="G5" i="3" s="1"/>
  <c r="B3" i="3" s="1"/>
  <c r="AC5" i="3"/>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s="1"/>
  <c r="H21" i="39"/>
  <c r="AB21" i="39" s="1"/>
  <c r="J21" i="39"/>
  <c r="W21" i="39"/>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c r="E103" i="39"/>
  <c r="F103" i="39"/>
  <c r="G103" i="39"/>
  <c r="H29" i="39"/>
  <c r="U29" i="39"/>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c r="J25" i="39"/>
  <c r="AC25" i="39"/>
  <c r="F25" i="39"/>
  <c r="AA25" i="39"/>
  <c r="F45" i="39"/>
  <c r="AA45" i="39"/>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17"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U27" i="39"/>
  <c r="H23" i="39"/>
  <c r="AB23" i="39"/>
  <c r="J23" i="39"/>
  <c r="AC23" i="39"/>
  <c r="F97" i="39"/>
  <c r="G97"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A33" i="39"/>
  <c r="S33" i="39"/>
  <c r="S17" i="39"/>
  <c r="U11" i="36"/>
  <c r="F80" i="35"/>
  <c r="G80" i="35"/>
  <c r="H80" i="35"/>
  <c r="I80" i="35"/>
  <c r="J80" i="35"/>
  <c r="K80" i="35"/>
  <c r="L80" i="35"/>
  <c r="M80" i="35"/>
  <c r="W14" i="35"/>
  <c r="F90" i="34"/>
  <c r="G90" i="34"/>
  <c r="H90" i="34"/>
  <c r="I90" i="34"/>
  <c r="J90" i="34"/>
  <c r="K90" i="34"/>
  <c r="L90" i="34"/>
  <c r="M90" i="34"/>
  <c r="F27" i="34"/>
  <c r="S27" i="34"/>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O11" i="1" s="1"/>
  <c r="B9" i="1"/>
  <c r="E9" i="1"/>
  <c r="K9" i="1"/>
  <c r="M9" i="1" s="1"/>
  <c r="O9" i="1" s="1"/>
  <c r="B7" i="1"/>
  <c r="E7" i="1" s="1"/>
  <c r="K7" i="1"/>
  <c r="M7" i="1" s="1"/>
  <c r="F6" i="1"/>
  <c r="AP6" i="1" s="1"/>
  <c r="G11" i="1"/>
  <c r="M22" i="44"/>
  <c r="F32" i="15"/>
  <c r="F59" i="15" s="1"/>
  <c r="F70" i="9"/>
  <c r="M20" i="44"/>
  <c r="F30" i="44"/>
  <c r="C30" i="44" s="1"/>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W28" i="21"/>
  <c r="AC46" i="21"/>
  <c r="AC26" i="21"/>
  <c r="F15" i="21"/>
  <c r="S15" i="21" s="1"/>
  <c r="H15" i="21"/>
  <c r="AB15" i="21" s="1"/>
  <c r="W13" i="21"/>
  <c r="AC21" i="21"/>
  <c r="W21" i="21"/>
  <c r="W44"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S27" i="39"/>
  <c r="AA21" i="39"/>
  <c r="AC19" i="39"/>
  <c r="AC38" i="39"/>
  <c r="W29" i="39"/>
  <c r="S29" i="39"/>
  <c r="AC21" i="39"/>
  <c r="AC17" i="39"/>
  <c r="S14" i="39"/>
  <c r="U11" i="39"/>
  <c r="U41" i="39"/>
  <c r="U23" i="39"/>
  <c r="AB38" i="39"/>
  <c r="U31" i="39"/>
  <c r="AB31" i="39"/>
  <c r="S25" i="39"/>
  <c r="S38" i="39"/>
  <c r="S22" i="31"/>
  <c r="M20" i="15"/>
  <c r="F28" i="15"/>
  <c r="C28" i="15" s="1"/>
  <c r="BA16" i="3"/>
  <c r="BA17" i="3"/>
  <c r="AZ17" i="3"/>
  <c r="F3" i="35"/>
  <c r="K1" i="43"/>
  <c r="K1" i="12"/>
  <c r="G1" i="44"/>
  <c r="I4" i="6"/>
  <c r="G3" i="46" s="1"/>
  <c r="AZ15" i="3"/>
  <c r="BK5" i="3"/>
  <c r="BO5" i="3"/>
  <c r="BP5" i="3"/>
  <c r="BN5" i="3"/>
  <c r="BL18" i="3"/>
  <c r="AZ18" i="3"/>
  <c r="BC5" i="3"/>
  <c r="E8" i="6" s="1"/>
  <c r="E58" i="70" s="1"/>
  <c r="BD5" i="3"/>
  <c r="BR5" i="3"/>
  <c r="G28" i="6" s="1"/>
  <c r="G30" i="6" s="1"/>
  <c r="G31" i="6" s="1"/>
  <c r="BS5" i="3"/>
  <c r="BQ5" i="3"/>
  <c r="BL16" i="3"/>
  <c r="BL5" i="3"/>
  <c r="BM5" i="3"/>
  <c r="BA13" i="3"/>
  <c r="H48" i="46"/>
  <c r="H52" i="46"/>
  <c r="H53" i="46"/>
  <c r="G28" i="12"/>
  <c r="G26" i="12"/>
  <c r="D26" i="44"/>
  <c r="G23"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s="1"/>
  <c r="C5" i="46" s="1"/>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B46" i="50"/>
  <c r="B4" i="63" s="1"/>
  <c r="C46" i="36"/>
  <c r="D46" i="36"/>
  <c r="C59" i="34"/>
  <c r="D59" i="34"/>
  <c r="E59" i="34" s="1"/>
  <c r="C48" i="35"/>
  <c r="D48" i="35" s="1"/>
  <c r="C52" i="37"/>
  <c r="D52" i="37" s="1"/>
  <c r="E52" i="37" s="1"/>
  <c r="F52" i="37" s="1"/>
  <c r="G52" i="37" s="1"/>
  <c r="H52" i="37" s="1"/>
  <c r="I52" i="37" s="1"/>
  <c r="J52" i="37" s="1"/>
  <c r="K52" i="37" s="1"/>
  <c r="L52" i="37" s="1"/>
  <c r="M52" i="37" s="1"/>
  <c r="N52" i="37" s="1"/>
  <c r="O52" i="37" s="1"/>
  <c r="C67" i="40"/>
  <c r="D65" i="40"/>
  <c r="P24" i="46"/>
  <c r="B68" i="40" s="1"/>
  <c r="P25" i="46"/>
  <c r="B73" i="39" s="1"/>
  <c r="P23" i="46"/>
  <c r="P21" i="46"/>
  <c r="P22" i="46"/>
  <c r="C72" i="39"/>
  <c r="D70" i="39"/>
  <c r="O19" i="46"/>
  <c r="H77" i="46"/>
  <c r="H73" i="46"/>
  <c r="H69" i="46"/>
  <c r="H74" i="46"/>
  <c r="H86" i="46"/>
  <c r="H82" i="46"/>
  <c r="H63" i="46"/>
  <c r="H59" i="46"/>
  <c r="H64" i="46"/>
  <c r="H60" i="46"/>
  <c r="H10" i="48"/>
  <c r="H87" i="46"/>
  <c r="H85" i="46"/>
  <c r="H83" i="46"/>
  <c r="O13" i="1"/>
  <c r="K10" i="1"/>
  <c r="M10" i="1" s="1"/>
  <c r="O10" i="1" s="1"/>
  <c r="S11" i="1"/>
  <c r="R11" i="1"/>
  <c r="S13" i="1"/>
  <c r="R13" i="1"/>
  <c r="B6" i="1"/>
  <c r="E6" i="1" s="1"/>
  <c r="B10" i="1"/>
  <c r="E10" i="1"/>
  <c r="S10" i="1"/>
  <c r="B8" i="1"/>
  <c r="E8" i="1"/>
  <c r="B12" i="1"/>
  <c r="E12" i="1"/>
  <c r="S12" i="1"/>
  <c r="K6" i="1"/>
  <c r="M6" i="1" s="1"/>
  <c r="C15" i="43" s="1"/>
  <c r="P11"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W37" i="40"/>
  <c r="S17" i="40"/>
  <c r="W30" i="40"/>
  <c r="S34" i="40"/>
  <c r="U17" i="40"/>
  <c r="U38" i="40"/>
  <c r="S40" i="40"/>
  <c r="S42" i="40"/>
  <c r="J31" i="39"/>
  <c r="AC31" i="39" s="1"/>
  <c r="S45" i="39"/>
  <c r="AB43" i="39"/>
  <c r="AB33" i="39"/>
  <c r="AC46" i="39"/>
  <c r="S34" i="39"/>
  <c r="W42" i="39"/>
  <c r="W36" i="39"/>
  <c r="W23" i="39"/>
  <c r="AC37" i="39"/>
  <c r="U14" i="39"/>
  <c r="W16" i="39"/>
  <c r="S15" i="39"/>
  <c r="W25" i="39"/>
  <c r="W45" i="39"/>
  <c r="S41" i="39"/>
  <c r="AA46" i="39"/>
  <c r="W10" i="39"/>
  <c r="W11" i="39"/>
  <c r="U42" i="39"/>
  <c r="S32" i="40"/>
  <c r="C27" i="39"/>
  <c r="C17" i="40"/>
  <c r="C19" i="40"/>
  <c r="C17" i="39"/>
  <c r="C19" i="39"/>
  <c r="C21" i="39"/>
  <c r="C23" i="40"/>
  <c r="B48" i="46"/>
  <c r="B51" i="46"/>
  <c r="B55" i="46"/>
  <c r="B59" i="46"/>
  <c r="B62" i="46"/>
  <c r="B66" i="46"/>
  <c r="B53" i="46"/>
  <c r="B64" i="46"/>
  <c r="G6" i="1"/>
  <c r="E86" i="3"/>
  <c r="F29" i="6"/>
  <c r="F28" i="6"/>
  <c r="E28" i="6" s="1"/>
  <c r="AO6" i="3"/>
  <c r="E47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 i="6"/>
  <c r="X6" i="3"/>
  <c r="E349" i="3"/>
  <c r="E321" i="3"/>
  <c r="E36" i="3"/>
  <c r="E376" i="3"/>
  <c r="E149" i="3"/>
  <c r="E187" i="3"/>
  <c r="E131" i="3"/>
  <c r="E387" i="3"/>
  <c r="E295" i="3"/>
  <c r="E253" i="3"/>
  <c r="E237" i="3"/>
  <c r="E294" i="3"/>
  <c r="E249" i="3"/>
  <c r="E225" i="3"/>
  <c r="E304" i="3"/>
  <c r="R6" i="3"/>
  <c r="E89" i="3"/>
  <c r="E537" i="3"/>
  <c r="E428" i="3"/>
  <c r="E21" i="3"/>
  <c r="E549" i="3"/>
  <c r="E199"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AZ5" i="3" s="1"/>
  <c r="G29" i="6"/>
  <c r="AZ16" i="3"/>
  <c r="G16" i="1"/>
  <c r="F30" i="6"/>
  <c r="H70" i="46"/>
  <c r="H72" i="46"/>
  <c r="A9" i="64"/>
  <c r="A9" i="51"/>
  <c r="B9" i="63" s="1"/>
  <c r="E46" i="36"/>
  <c r="F46" i="36"/>
  <c r="G46" i="36" s="1"/>
  <c r="H46" i="36"/>
  <c r="I46" i="36" s="1"/>
  <c r="J46" i="36" s="1"/>
  <c r="D72" i="39"/>
  <c r="E70" i="39"/>
  <c r="D67" i="40"/>
  <c r="E65" i="40"/>
  <c r="E4" i="4"/>
  <c r="B21" i="55" s="1"/>
  <c r="B72" i="63" s="1"/>
  <c r="G66" i="36"/>
  <c r="J18" i="36"/>
  <c r="AE8" i="1"/>
  <c r="AE6" i="1"/>
  <c r="H7" i="37"/>
  <c r="J7" i="37"/>
  <c r="F7" i="37"/>
  <c r="AA7" i="37" s="1"/>
  <c r="R42" i="37" s="1"/>
  <c r="W18" i="36"/>
  <c r="AC18" i="36"/>
  <c r="AG6" i="1"/>
  <c r="D21" i="12"/>
  <c r="C21" i="12" s="1"/>
  <c r="D12" i="11"/>
  <c r="C12" i="11" s="1"/>
  <c r="E29" i="6"/>
  <c r="K15" i="1" s="1"/>
  <c r="L20" i="6"/>
  <c r="L19" i="6"/>
  <c r="AC7" i="37"/>
  <c r="V42" i="37"/>
  <c r="I42" i="37" s="1"/>
  <c r="W7" i="37"/>
  <c r="F7" i="21"/>
  <c r="S7" i="21" s="1"/>
  <c r="J7" i="21"/>
  <c r="H7" i="21"/>
  <c r="U7" i="21" s="1"/>
  <c r="E67" i="40"/>
  <c r="F65" i="40"/>
  <c r="E72" i="39"/>
  <c r="F70" i="39"/>
  <c r="U7" i="37"/>
  <c r="AB7" i="37"/>
  <c r="T42" i="37" s="1"/>
  <c r="G42" i="37" s="1"/>
  <c r="J22" i="46"/>
  <c r="S8" i="1"/>
  <c r="S9" i="1"/>
  <c r="AC7" i="21"/>
  <c r="W7" i="21"/>
  <c r="F72" i="39"/>
  <c r="G70" i="39"/>
  <c r="F67" i="40"/>
  <c r="G65" i="40"/>
  <c r="G67" i="40"/>
  <c r="H65" i="40"/>
  <c r="G72" i="39"/>
  <c r="H70" i="39"/>
  <c r="R9" i="1"/>
  <c r="I70" i="39"/>
  <c r="H72" i="39"/>
  <c r="I65" i="40"/>
  <c r="H67" i="40"/>
  <c r="R8" i="1"/>
  <c r="J65" i="40"/>
  <c r="I67" i="40"/>
  <c r="J70" i="39"/>
  <c r="I72" i="39"/>
  <c r="K70" i="39"/>
  <c r="J72" i="39"/>
  <c r="K65" i="40"/>
  <c r="K67" i="40" s="1"/>
  <c r="J67" i="40"/>
  <c r="L65" i="40"/>
  <c r="K72" i="39"/>
  <c r="L70" i="39"/>
  <c r="L72" i="39" s="1"/>
  <c r="M70" i="39"/>
  <c r="N70" i="39" s="1"/>
  <c r="N72" i="39" s="1"/>
  <c r="M65" i="40"/>
  <c r="L67" i="40"/>
  <c r="M72" i="39"/>
  <c r="N65" i="40"/>
  <c r="N67" i="40" s="1"/>
  <c r="M67" i="40"/>
  <c r="C45" i="9"/>
  <c r="H14" i="66" s="1"/>
  <c r="B7" i="66" s="1"/>
  <c r="K31" i="9"/>
  <c r="K32" i="9" s="1"/>
  <c r="N76" i="9"/>
  <c r="C46" i="9"/>
  <c r="K33" i="9" s="1"/>
  <c r="F33" i="44"/>
  <c r="F31" i="15"/>
  <c r="F37" i="15"/>
  <c r="F8" i="44"/>
  <c r="F9" i="15"/>
  <c r="F6" i="15"/>
  <c r="B10" i="67"/>
  <c r="F15" i="44"/>
  <c r="M23" i="44"/>
  <c r="E9" i="67"/>
  <c r="B14" i="67"/>
  <c r="L49" i="44"/>
  <c r="F16" i="15"/>
  <c r="F42" i="15"/>
  <c r="B8" i="67"/>
  <c r="M30" i="44"/>
  <c r="M28" i="44"/>
  <c r="M9" i="15"/>
  <c r="F18" i="44"/>
  <c r="L47" i="15"/>
  <c r="J7" i="65"/>
  <c r="F38" i="15"/>
  <c r="N7" i="65"/>
  <c r="M8" i="15"/>
  <c r="F8" i="67"/>
  <c r="F11" i="67"/>
  <c r="M24" i="44"/>
  <c r="F26" i="15"/>
  <c r="M8" i="44"/>
  <c r="E11" i="67"/>
  <c r="F39" i="44"/>
  <c r="B9" i="67"/>
  <c r="L48" i="44"/>
  <c r="C19" i="44"/>
  <c r="M6" i="15"/>
  <c r="I3" i="65"/>
  <c r="I4" i="65"/>
  <c r="F8" i="15"/>
  <c r="F13" i="15"/>
  <c r="M23" i="15"/>
  <c r="I6" i="65"/>
  <c r="M25" i="44"/>
  <c r="M29" i="44"/>
  <c r="F9" i="67"/>
  <c r="J3" i="65"/>
  <c r="J15" i="15"/>
  <c r="F37" i="44"/>
  <c r="M27" i="15"/>
  <c r="M28" i="15"/>
  <c r="J36" i="15"/>
  <c r="F14" i="67"/>
  <c r="F13" i="67"/>
  <c r="N4" i="65"/>
  <c r="E8" i="67"/>
  <c r="M26" i="15"/>
  <c r="F43" i="44"/>
  <c r="B12" i="67"/>
  <c r="F40" i="15"/>
  <c r="J5" i="65"/>
  <c r="B13" i="67"/>
  <c r="L48" i="15"/>
  <c r="E13" i="67"/>
  <c r="F40" i="44"/>
  <c r="F38" i="44"/>
  <c r="J17" i="44"/>
  <c r="I5" i="65"/>
  <c r="M24" i="15"/>
  <c r="E10" i="67"/>
  <c r="F7" i="15"/>
  <c r="F45" i="44"/>
  <c r="N6" i="65"/>
  <c r="F11" i="44"/>
  <c r="M22" i="15"/>
  <c r="F43" i="15"/>
  <c r="F12" i="67"/>
  <c r="M11" i="44"/>
  <c r="J6" i="65"/>
  <c r="E14" i="67"/>
  <c r="M29" i="15"/>
  <c r="F10" i="44"/>
  <c r="N3" i="65"/>
  <c r="M26" i="44"/>
  <c r="J4" i="65"/>
  <c r="B11" i="67"/>
  <c r="E12" i="67"/>
  <c r="M10" i="44"/>
  <c r="M31" i="44"/>
  <c r="N5" i="65"/>
  <c r="F9" i="44"/>
  <c r="F36" i="15"/>
  <c r="F10" i="67"/>
  <c r="I7" i="65"/>
  <c r="F28" i="44"/>
  <c r="F46" i="44"/>
  <c r="O40" i="9" l="1"/>
  <c r="R7" i="54" s="1"/>
  <c r="B52" i="63" s="1"/>
  <c r="U29" i="70"/>
  <c r="G21" i="43"/>
  <c r="G27" i="12"/>
  <c r="D24" i="44"/>
  <c r="G22" i="43"/>
  <c r="D24" i="15"/>
  <c r="D23" i="15"/>
  <c r="F85" i="21"/>
  <c r="G85" i="21" s="1"/>
  <c r="J23" i="21"/>
  <c r="W23" i="21" s="1"/>
  <c r="H23" i="21"/>
  <c r="F23" i="21"/>
  <c r="H19" i="21"/>
  <c r="AB19" i="21" s="1"/>
  <c r="F81" i="21"/>
  <c r="G81" i="21" s="1"/>
  <c r="F19" i="21"/>
  <c r="AA19" i="21" s="1"/>
  <c r="J19" i="21"/>
  <c r="W19" i="21" s="1"/>
  <c r="F17" i="21"/>
  <c r="J17" i="21"/>
  <c r="AC17" i="21" s="1"/>
  <c r="F79" i="21"/>
  <c r="G79" i="21" s="1"/>
  <c r="H17" i="21"/>
  <c r="AB17" i="21" s="1"/>
  <c r="AA15" i="21"/>
  <c r="J15" i="21"/>
  <c r="F42" i="21"/>
  <c r="AA42" i="21" s="1"/>
  <c r="H42" i="21"/>
  <c r="AB42" i="21" s="1"/>
  <c r="U19" i="21"/>
  <c r="AC19" i="21"/>
  <c r="W17" i="21"/>
  <c r="B10" i="52"/>
  <c r="AC21" i="70"/>
  <c r="B6" i="52"/>
  <c r="E9" i="52"/>
  <c r="O6" i="1"/>
  <c r="P6" i="1" s="1"/>
  <c r="C15" i="12" s="1"/>
  <c r="J12" i="40"/>
  <c r="W12" i="40" s="1"/>
  <c r="J12" i="70"/>
  <c r="F12" i="70"/>
  <c r="H12" i="70"/>
  <c r="D72" i="70"/>
  <c r="E70" i="70"/>
  <c r="S31" i="39"/>
  <c r="AC43" i="39"/>
  <c r="W14" i="39"/>
  <c r="W32" i="21"/>
  <c r="J37" i="21"/>
  <c r="H37" i="21"/>
  <c r="H113" i="21"/>
  <c r="F37" i="21"/>
  <c r="AC36" i="21"/>
  <c r="AA36" i="21"/>
  <c r="W42" i="21"/>
  <c r="AC40" i="21"/>
  <c r="AA43" i="21"/>
  <c r="AA40" i="21"/>
  <c r="AC38" i="21"/>
  <c r="AB36" i="21"/>
  <c r="AB32" i="21"/>
  <c r="U39" i="21"/>
  <c r="AB34" i="21"/>
  <c r="S21" i="21"/>
  <c r="AB7" i="21"/>
  <c r="W8" i="21"/>
  <c r="AA9" i="21"/>
  <c r="AA7" i="21"/>
  <c r="B23" i="52"/>
  <c r="B4" i="52"/>
  <c r="E11" i="52"/>
  <c r="W34" i="39"/>
  <c r="W41" i="39"/>
  <c r="AA44" i="39"/>
  <c r="AC44" i="39"/>
  <c r="AB44" i="39"/>
  <c r="AC33" i="39"/>
  <c r="U21" i="39"/>
  <c r="AB15" i="39"/>
  <c r="S16" i="39"/>
  <c r="W15" i="39"/>
  <c r="D18" i="9"/>
  <c r="M44" i="9" s="1"/>
  <c r="M43" i="9"/>
  <c r="A30" i="51"/>
  <c r="B22" i="63" s="1"/>
  <c r="A30" i="64"/>
  <c r="C27" i="40"/>
  <c r="AB13" i="21"/>
  <c r="P75" i="15"/>
  <c r="E5" i="52"/>
  <c r="B16" i="52"/>
  <c r="E10" i="52"/>
  <c r="B8" i="52"/>
  <c r="B9" i="52"/>
  <c r="B7" i="52"/>
  <c r="M18" i="15"/>
  <c r="D96" i="9"/>
  <c r="F31" i="43"/>
  <c r="C31" i="43" s="1"/>
  <c r="D86" i="9"/>
  <c r="F29" i="12"/>
  <c r="F72" i="9"/>
  <c r="F66" i="9"/>
  <c r="P72" i="9" s="1"/>
  <c r="L27" i="6"/>
  <c r="Q16" i="1"/>
  <c r="F24" i="43" s="1"/>
  <c r="C26" i="43" s="1"/>
  <c r="D24" i="43" s="1"/>
  <c r="K14" i="1"/>
  <c r="M14" i="1" s="1"/>
  <c r="E30" i="6"/>
  <c r="E12" i="6"/>
  <c r="E59" i="40" s="1"/>
  <c r="E10" i="6"/>
  <c r="E11" i="6"/>
  <c r="E63" i="70" s="1"/>
  <c r="E14" i="6"/>
  <c r="E15" i="6"/>
  <c r="E67" i="39" s="1"/>
  <c r="E13" i="6"/>
  <c r="E53" i="40"/>
  <c r="F27" i="6"/>
  <c r="F31" i="6" s="1"/>
  <c r="E58" i="39"/>
  <c r="AC12" i="40"/>
  <c r="E61" i="40"/>
  <c r="E60" i="40"/>
  <c r="E16" i="6"/>
  <c r="J12" i="39"/>
  <c r="AC12" i="39" s="1"/>
  <c r="H16" i="1"/>
  <c r="P9" i="1"/>
  <c r="K16" i="1"/>
  <c r="E3" i="6"/>
  <c r="C33" i="21" s="1"/>
  <c r="AY6" i="3"/>
  <c r="D3" i="6" s="1"/>
  <c r="O7" i="1"/>
  <c r="E41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H6" i="3" s="1"/>
  <c r="E430" i="3"/>
  <c r="E103" i="3"/>
  <c r="E82" i="3"/>
  <c r="E548" i="3"/>
  <c r="E146" i="3"/>
  <c r="O8" i="1"/>
  <c r="P8" i="1" s="1"/>
  <c r="P10" i="1"/>
  <c r="P13" i="1"/>
  <c r="AY41" i="3"/>
  <c r="AY36" i="3"/>
  <c r="AY333" i="3"/>
  <c r="AY117" i="3"/>
  <c r="AY123" i="3"/>
  <c r="AY340" i="3"/>
  <c r="AY226" i="3"/>
  <c r="AY310" i="3"/>
  <c r="AY181" i="3"/>
  <c r="AY118" i="3"/>
  <c r="AY191" i="3"/>
  <c r="AY103" i="3"/>
  <c r="H22" i="46"/>
  <c r="AB11" i="46"/>
  <c r="AB13" i="46" s="1"/>
  <c r="AE11" i="46"/>
  <c r="AE13" i="46" s="1"/>
  <c r="AJ11" i="46"/>
  <c r="AJ13" i="46" s="1"/>
  <c r="AF11" i="46"/>
  <c r="AF13" i="46" s="1"/>
  <c r="Y11" i="46"/>
  <c r="Y13" i="46" s="1"/>
  <c r="AG11" i="46"/>
  <c r="AG13" i="46" s="1"/>
  <c r="AC11" i="46"/>
  <c r="AC13" i="46" s="1"/>
  <c r="E22" i="46"/>
  <c r="H101" i="46"/>
  <c r="M101" i="46"/>
  <c r="D101" i="46"/>
  <c r="I101" i="46"/>
  <c r="G22" i="46"/>
  <c r="AI11" i="46"/>
  <c r="AI13" i="46" s="1"/>
  <c r="AA11" i="46"/>
  <c r="AA13" i="46" s="1"/>
  <c r="C23" i="46"/>
  <c r="C21" i="46" s="1"/>
  <c r="C29" i="46" s="1"/>
  <c r="AH11" i="46"/>
  <c r="AH13" i="46" s="1"/>
  <c r="AD11" i="46"/>
  <c r="AD13" i="46" s="1"/>
  <c r="Z11" i="46"/>
  <c r="Z13" i="46" s="1"/>
  <c r="F101" i="46"/>
  <c r="N101" i="46"/>
  <c r="K101" i="46"/>
  <c r="Z7" i="46"/>
  <c r="E101" i="46"/>
  <c r="F22" i="46"/>
  <c r="L101" i="46"/>
  <c r="N104" i="45"/>
  <c r="B113" i="46"/>
  <c r="J101" i="46"/>
  <c r="G101" i="46"/>
  <c r="C101" i="46"/>
  <c r="A18" i="51"/>
  <c r="B14" i="63" s="1"/>
  <c r="A18" i="64"/>
  <c r="B74" i="63" s="1"/>
  <c r="C53" i="10"/>
  <c r="L5" i="54"/>
  <c r="B39" i="63" s="1"/>
  <c r="T41" i="4"/>
  <c r="A17" i="51" s="1"/>
  <c r="B13" i="63" s="1"/>
  <c r="K5" i="54"/>
  <c r="B38" i="63" s="1"/>
  <c r="A17" i="64"/>
  <c r="E4" i="52"/>
  <c r="E16" i="52"/>
  <c r="B11" i="52"/>
  <c r="E8" i="52"/>
  <c r="B5" i="52"/>
  <c r="B13" i="52"/>
  <c r="B22" i="52"/>
  <c r="E21" i="52"/>
  <c r="B14" i="52"/>
  <c r="E6" i="52"/>
  <c r="E7" i="52"/>
  <c r="C4" i="4" s="1"/>
  <c r="B20" i="55" s="1"/>
  <c r="B70" i="63" s="1"/>
  <c r="A3" i="55"/>
  <c r="B56" i="63" s="1"/>
  <c r="A11" i="55"/>
  <c r="B62" i="63" s="1"/>
  <c r="K17" i="4"/>
  <c r="A22" i="51" s="1"/>
  <c r="B16" i="63" s="1"/>
  <c r="AP16" i="1"/>
  <c r="F22" i="11" s="1"/>
  <c r="F12" i="40"/>
  <c r="F12" i="39"/>
  <c r="AA12" i="39" s="1"/>
  <c r="H12" i="40"/>
  <c r="W12" i="39"/>
  <c r="H12" i="39"/>
  <c r="K34" i="9"/>
  <c r="I14" i="66"/>
  <c r="B8" i="66" s="1"/>
  <c r="D46" i="9"/>
  <c r="O41" i="9"/>
  <c r="R8" i="54" s="1"/>
  <c r="B54" i="63" s="1"/>
  <c r="K76" i="9"/>
  <c r="K77" i="9" s="1"/>
  <c r="K79" i="9" s="1"/>
  <c r="K81" i="9" s="1"/>
  <c r="J9" i="39"/>
  <c r="F9" i="39"/>
  <c r="H9" i="39"/>
  <c r="F9" i="40"/>
  <c r="J9" i="40"/>
  <c r="H9" i="40"/>
  <c r="G47" i="37"/>
  <c r="H47" i="37" s="1"/>
  <c r="G46" i="37"/>
  <c r="H46" i="37" s="1"/>
  <c r="K46" i="36"/>
  <c r="L46" i="36" s="1"/>
  <c r="M46" i="36" s="1"/>
  <c r="N46" i="36" s="1"/>
  <c r="O46" i="36" s="1"/>
  <c r="J7" i="36"/>
  <c r="I46" i="37"/>
  <c r="J46" i="37" s="1"/>
  <c r="E42" i="37"/>
  <c r="I47" i="37" s="1"/>
  <c r="J47" i="37" s="1"/>
  <c r="R43" i="37"/>
  <c r="S7" i="37"/>
  <c r="E48" i="35"/>
  <c r="E58" i="33"/>
  <c r="F58" i="33" s="1"/>
  <c r="G58" i="33" s="1"/>
  <c r="H58" i="33" s="1"/>
  <c r="I58" i="33" s="1"/>
  <c r="J58" i="33" s="1"/>
  <c r="K58" i="33" s="1"/>
  <c r="L58" i="33" s="1"/>
  <c r="M58" i="33" s="1"/>
  <c r="N58" i="33" s="1"/>
  <c r="O58" i="33" s="1"/>
  <c r="H7" i="33"/>
  <c r="C39" i="46"/>
  <c r="C38" i="46"/>
  <c r="C37" i="46"/>
  <c r="C36" i="46"/>
  <c r="C35" i="46"/>
  <c r="C34" i="46"/>
  <c r="C33" i="46"/>
  <c r="T8" i="46"/>
  <c r="V8" i="46" s="1"/>
  <c r="T10" i="46"/>
  <c r="V10" i="46" s="1"/>
  <c r="T12" i="46"/>
  <c r="V12" i="46" s="1"/>
  <c r="T14" i="46"/>
  <c r="V14" i="46" s="1"/>
  <c r="T16" i="46"/>
  <c r="V16" i="46" s="1"/>
  <c r="T9" i="46"/>
  <c r="V9" i="46" s="1"/>
  <c r="T11" i="46"/>
  <c r="V11" i="46" s="1"/>
  <c r="T13" i="46"/>
  <c r="V13" i="46" s="1"/>
  <c r="T15" i="46"/>
  <c r="V15" i="46" s="1"/>
  <c r="F59" i="34"/>
  <c r="G59" i="34" s="1"/>
  <c r="H59" i="34" s="1"/>
  <c r="I59" i="34" s="1"/>
  <c r="J59" i="34" s="1"/>
  <c r="K59" i="34" s="1"/>
  <c r="L59" i="34" s="1"/>
  <c r="M59" i="34" s="1"/>
  <c r="N59" i="34" s="1"/>
  <c r="O59" i="34" s="1"/>
  <c r="J7" i="34"/>
  <c r="H7" i="34"/>
  <c r="F7" i="34"/>
  <c r="C36" i="44"/>
  <c r="J22" i="44"/>
  <c r="F65" i="15"/>
  <c r="F50" i="15"/>
  <c r="L58" i="15"/>
  <c r="L59" i="15"/>
  <c r="C8" i="44"/>
  <c r="F49" i="15"/>
  <c r="M7" i="15"/>
  <c r="J6" i="15" s="1"/>
  <c r="C29" i="44"/>
  <c r="F63" i="15"/>
  <c r="Q72" i="15"/>
  <c r="I1" i="65"/>
  <c r="Q73" i="44"/>
  <c r="F70" i="15"/>
  <c r="F64" i="15"/>
  <c r="M9" i="44"/>
  <c r="J8" i="44" s="1"/>
  <c r="F67" i="15"/>
  <c r="C6" i="15"/>
  <c r="L60" i="44"/>
  <c r="L59" i="44"/>
  <c r="C27" i="15"/>
  <c r="J1" i="65"/>
  <c r="C4" i="65"/>
  <c r="B39" i="1" s="1"/>
  <c r="E20" i="46"/>
  <c r="I55" i="44"/>
  <c r="J60" i="44"/>
  <c r="L57" i="44"/>
  <c r="J54" i="44"/>
  <c r="J58" i="44"/>
  <c r="J56" i="44" s="1"/>
  <c r="J59" i="44" s="1"/>
  <c r="Q52" i="44" s="1"/>
  <c r="J61" i="44"/>
  <c r="Q50" i="44" s="1"/>
  <c r="J57" i="15"/>
  <c r="J55" i="15" s="1"/>
  <c r="J58" i="15" s="1"/>
  <c r="Q51" i="15" s="1"/>
  <c r="J53" i="15"/>
  <c r="I54" i="15"/>
  <c r="L56" i="15"/>
  <c r="M17" i="15"/>
  <c r="M19" i="44"/>
  <c r="F58" i="15"/>
  <c r="C18" i="44"/>
  <c r="C16" i="15"/>
  <c r="E3" i="65"/>
  <c r="E2" i="65"/>
  <c r="AY13" i="3" l="1"/>
  <c r="AY21" i="3"/>
  <c r="AY92" i="3"/>
  <c r="AY317" i="3"/>
  <c r="AY65" i="3"/>
  <c r="AY459" i="3"/>
  <c r="AY400" i="3"/>
  <c r="AY183" i="3"/>
  <c r="AY374" i="3"/>
  <c r="AY408" i="3"/>
  <c r="AY246" i="3"/>
  <c r="AY128" i="3"/>
  <c r="AY82" i="3"/>
  <c r="AC23" i="21"/>
  <c r="U42" i="21"/>
  <c r="S23" i="21"/>
  <c r="AA23" i="21"/>
  <c r="U23" i="21"/>
  <c r="AB23" i="21"/>
  <c r="S19" i="21"/>
  <c r="U17" i="21"/>
  <c r="S17" i="21"/>
  <c r="AA17" i="21"/>
  <c r="W15" i="21"/>
  <c r="AC15" i="21"/>
  <c r="S42" i="21"/>
  <c r="C22" i="4"/>
  <c r="C40" i="70"/>
  <c r="C40" i="39"/>
  <c r="D25" i="6"/>
  <c r="D8" i="6"/>
  <c r="F45" i="9"/>
  <c r="E63" i="40"/>
  <c r="D23" i="6"/>
  <c r="E46" i="9"/>
  <c r="F46" i="9"/>
  <c r="E45" i="9"/>
  <c r="BL6" i="3"/>
  <c r="AY64" i="3"/>
  <c r="AY52" i="3"/>
  <c r="AY204" i="3"/>
  <c r="AY31" i="3"/>
  <c r="AY234" i="3"/>
  <c r="AY402" i="3"/>
  <c r="AY343" i="3"/>
  <c r="AY265" i="3"/>
  <c r="AY350" i="3"/>
  <c r="AY50" i="3"/>
  <c r="AY346" i="3"/>
  <c r="AY161" i="3"/>
  <c r="AY101" i="3"/>
  <c r="AY172" i="3"/>
  <c r="AY311" i="3"/>
  <c r="AY280" i="3"/>
  <c r="AY28" i="3"/>
  <c r="AY432" i="3"/>
  <c r="AY216" i="3"/>
  <c r="AY150" i="3"/>
  <c r="AY95" i="3"/>
  <c r="AY203" i="3"/>
  <c r="AY37" i="3"/>
  <c r="AC6" i="3"/>
  <c r="E6" i="3" s="1"/>
  <c r="H33" i="21"/>
  <c r="J33" i="21"/>
  <c r="F33" i="21"/>
  <c r="E65" i="39"/>
  <c r="E65" i="70"/>
  <c r="E66" i="39"/>
  <c r="E66" i="70"/>
  <c r="AA12" i="70"/>
  <c r="S12" i="70"/>
  <c r="E62" i="40"/>
  <c r="E67" i="70"/>
  <c r="E64" i="39"/>
  <c r="E64" i="70"/>
  <c r="E68" i="70" s="1"/>
  <c r="AB12" i="70"/>
  <c r="U12" i="70"/>
  <c r="AC12" i="70"/>
  <c r="W12" i="70"/>
  <c r="F70" i="70"/>
  <c r="E72" i="70"/>
  <c r="S37" i="21"/>
  <c r="AA37" i="21"/>
  <c r="U37" i="21"/>
  <c r="AB37" i="21"/>
  <c r="W37" i="21"/>
  <c r="AC37" i="21"/>
  <c r="S12" i="39"/>
  <c r="F18" i="11"/>
  <c r="C18" i="11" s="1"/>
  <c r="F33" i="12"/>
  <c r="C34" i="12" s="1"/>
  <c r="D33" i="12" s="1"/>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122" i="3"/>
  <c r="AY194" i="3"/>
  <c r="AY450" i="3"/>
  <c r="AY342" i="3"/>
  <c r="AY302" i="3"/>
  <c r="AY295" i="3"/>
  <c r="AY155" i="3"/>
  <c r="AY81" i="3"/>
  <c r="AY389" i="3"/>
  <c r="AY464" i="3"/>
  <c r="AY376" i="3"/>
  <c r="AY256" i="3"/>
  <c r="AY269" i="3"/>
  <c r="AY168" i="3"/>
  <c r="AY62" i="3"/>
  <c r="AY548" i="3"/>
  <c r="AY550" i="3"/>
  <c r="AY315" i="3"/>
  <c r="AY372" i="3"/>
  <c r="AY366" i="3"/>
  <c r="AY294" i="3"/>
  <c r="AY258" i="3"/>
  <c r="AY169" i="3"/>
  <c r="AY70" i="3"/>
  <c r="AY398" i="3"/>
  <c r="AY364" i="3"/>
  <c r="AY286" i="3"/>
  <c r="AY139" i="3"/>
  <c r="AY202" i="3"/>
  <c r="AY479" i="3"/>
  <c r="AY425" i="3"/>
  <c r="AY467" i="3"/>
  <c r="AY384" i="3"/>
  <c r="AY264" i="3"/>
  <c r="D28" i="6"/>
  <c r="D13" i="6"/>
  <c r="D19" i="6"/>
  <c r="AY154" i="3"/>
  <c r="AY42" i="3"/>
  <c r="AY160" i="3"/>
  <c r="AY515" i="3"/>
  <c r="AY75" i="3"/>
  <c r="AY175" i="3"/>
  <c r="AY277" i="3"/>
  <c r="AY209" i="3"/>
  <c r="AY416" i="3"/>
  <c r="AY55" i="3"/>
  <c r="AY250" i="3"/>
  <c r="AY560" i="3"/>
  <c r="AY141" i="3"/>
  <c r="AY238" i="3"/>
  <c r="AY348" i="3"/>
  <c r="BK6" i="3"/>
  <c r="AY72" i="3"/>
  <c r="AY115" i="3"/>
  <c r="AY241" i="3"/>
  <c r="AY435" i="3"/>
  <c r="AY30" i="3"/>
  <c r="AY230" i="3"/>
  <c r="AY542" i="3"/>
  <c r="AY132" i="3"/>
  <c r="AY200" i="3"/>
  <c r="AY38" i="3"/>
  <c r="AY445" i="3"/>
  <c r="AY304" i="3"/>
  <c r="AY271" i="3"/>
  <c r="AY114" i="3"/>
  <c r="AY187" i="3"/>
  <c r="AY414" i="3"/>
  <c r="AY411" i="3"/>
  <c r="AY556" i="3"/>
  <c r="AY386" i="3"/>
  <c r="AY275" i="3"/>
  <c r="AY293" i="3"/>
  <c r="AY274" i="3"/>
  <c r="AY105" i="3"/>
  <c r="AY179" i="3"/>
  <c r="AY159" i="3"/>
  <c r="AY58" i="3"/>
  <c r="AY67" i="3"/>
  <c r="AY80" i="3"/>
  <c r="AY486" i="3"/>
  <c r="E27" i="6"/>
  <c r="E58" i="40"/>
  <c r="E63" i="39"/>
  <c r="M16" i="1"/>
  <c r="N16" i="1" s="1"/>
  <c r="C29" i="43" s="1"/>
  <c r="O14" i="1"/>
  <c r="P14" i="1" s="1"/>
  <c r="D20" i="6"/>
  <c r="D14" i="6"/>
  <c r="D10" i="6"/>
  <c r="D21" i="6"/>
  <c r="D16" i="43"/>
  <c r="C16" i="43" s="1"/>
  <c r="C21" i="4"/>
  <c r="O5" i="54" s="1"/>
  <c r="B45" i="63" s="1"/>
  <c r="D10" i="11"/>
  <c r="D45" i="9"/>
  <c r="D16" i="12"/>
  <c r="E6" i="6"/>
  <c r="L38" i="9"/>
  <c r="B14" i="66" s="1"/>
  <c r="B1" i="66" s="1"/>
  <c r="C7" i="66" s="1"/>
  <c r="P7" i="1"/>
  <c r="AY537" i="3"/>
  <c r="AY53" i="3"/>
  <c r="AY73" i="3"/>
  <c r="AY74" i="3"/>
  <c r="AY144" i="3"/>
  <c r="AY98" i="3"/>
  <c r="AY57" i="3"/>
  <c r="AY136" i="3"/>
  <c r="AY262" i="3"/>
  <c r="AY232" i="3"/>
  <c r="AY349" i="3"/>
  <c r="AY448" i="3"/>
  <c r="AY397" i="3"/>
  <c r="AY49" i="3"/>
  <c r="AY149" i="3"/>
  <c r="AY381" i="3"/>
  <c r="AY379" i="3"/>
  <c r="AY326" i="3"/>
  <c r="AY463" i="3"/>
  <c r="AY178" i="3"/>
  <c r="AY135" i="3"/>
  <c r="AY227" i="3"/>
  <c r="AY257" i="3"/>
  <c r="AY335" i="3"/>
  <c r="AY337" i="3"/>
  <c r="AY558" i="3"/>
  <c r="BS6" i="3"/>
  <c r="AY111" i="3"/>
  <c r="AY25" i="3"/>
  <c r="AY120" i="3"/>
  <c r="AY254" i="3"/>
  <c r="AY224" i="3"/>
  <c r="AY341" i="3"/>
  <c r="AY424" i="3"/>
  <c r="AY394" i="3"/>
  <c r="AY85" i="3"/>
  <c r="AY197" i="3"/>
  <c r="AY266" i="3"/>
  <c r="AY359" i="3"/>
  <c r="AY369" i="3"/>
  <c r="AY76" i="3"/>
  <c r="AY156"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04" i="3"/>
  <c r="AY83" i="3"/>
  <c r="AY182" i="3"/>
  <c r="AY45" i="3"/>
  <c r="AY217" i="3"/>
  <c r="AY383" i="3"/>
  <c r="AY427" i="3"/>
  <c r="AY170" i="3"/>
  <c r="AY214" i="3"/>
  <c r="AY476" i="3"/>
  <c r="AY116" i="3"/>
  <c r="AY206" i="3"/>
  <c r="AY316" i="3"/>
  <c r="AY520" i="3"/>
  <c r="AY29" i="3"/>
  <c r="AY249" i="3"/>
  <c r="AY367" i="3"/>
  <c r="AY453" i="3"/>
  <c r="AY166" i="3"/>
  <c r="AY225" i="3"/>
  <c r="AY413" i="3"/>
  <c r="AY184"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59" i="3"/>
  <c r="AY505" i="3"/>
  <c r="AY63" i="3"/>
  <c r="AY220" i="3"/>
  <c r="AY483" i="3"/>
  <c r="AY100" i="3"/>
  <c r="AY126" i="3"/>
  <c r="AY291" i="3"/>
  <c r="AY422" i="3"/>
  <c r="AY324" i="3"/>
  <c r="AY288" i="3"/>
  <c r="AY318" i="3"/>
  <c r="AY147" i="3"/>
  <c r="AY561" i="3"/>
  <c r="AY162" i="3"/>
  <c r="AY2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9" i="3"/>
  <c r="AY284"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7" i="3"/>
  <c r="AY106" i="3"/>
  <c r="AY361" i="3"/>
  <c r="AY146" i="3"/>
  <c r="AY39" i="3"/>
  <c r="AY371" i="3"/>
  <c r="BA6" i="3"/>
  <c r="AY283" i="3"/>
  <c r="AY446" i="3"/>
  <c r="AY380" i="3"/>
  <c r="AY272" i="3"/>
  <c r="AY305" i="3"/>
  <c r="AY405" i="3"/>
  <c r="AY429" i="3"/>
  <c r="AY442" i="3"/>
  <c r="AY43" i="3"/>
  <c r="AY572" i="3"/>
  <c r="AY501" i="3"/>
  <c r="AY99" i="3"/>
  <c r="AY481" i="3"/>
  <c r="AY207" i="3"/>
  <c r="AY510" i="3"/>
  <c r="AY40" i="3"/>
  <c r="AY401" i="3"/>
  <c r="AY281" i="3"/>
  <c r="AY495" i="3"/>
  <c r="AY322" i="3"/>
  <c r="AY267" i="3"/>
  <c r="AY395" i="3"/>
  <c r="AY363" i="3"/>
  <c r="AY189" i="3"/>
  <c r="AY545" i="3"/>
  <c r="AY393" i="3"/>
  <c r="AY339" i="3"/>
  <c r="BO6" i="3"/>
  <c r="AY56" i="3"/>
  <c r="AY43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E68" i="39"/>
  <c r="K38" i="9"/>
  <c r="C14" i="66" s="1"/>
  <c r="B2" i="66" s="1"/>
  <c r="D7" i="66" s="1"/>
  <c r="D26" i="6"/>
  <c r="D11" i="6"/>
  <c r="D9" i="6"/>
  <c r="D29" i="6"/>
  <c r="D24" i="6"/>
  <c r="D22" i="6"/>
  <c r="D12" i="6"/>
  <c r="D5" i="6"/>
  <c r="D15" i="6"/>
  <c r="G104" i="46"/>
  <c r="G103" i="46"/>
  <c r="G106" i="46"/>
  <c r="G102" i="46"/>
  <c r="G105" i="46"/>
  <c r="G107" i="46"/>
  <c r="G109" i="46"/>
  <c r="D118" i="46"/>
  <c r="E118" i="46" s="1"/>
  <c r="F118" i="46" s="1"/>
  <c r="I116" i="46"/>
  <c r="J116" i="46" s="1"/>
  <c r="K116" i="46" s="1"/>
  <c r="L116" i="46" s="1"/>
  <c r="M116"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7" i="46"/>
  <c r="J117" i="46" s="1"/>
  <c r="K117" i="46" s="1"/>
  <c r="L117" i="46" s="1"/>
  <c r="M117" i="46" s="1"/>
  <c r="G118" i="46"/>
  <c r="H118"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9" i="46"/>
  <c r="K104" i="46"/>
  <c r="K105" i="46"/>
  <c r="K107" i="46"/>
  <c r="K103" i="46"/>
  <c r="K102" i="46"/>
  <c r="K106" i="46"/>
  <c r="F109" i="46"/>
  <c r="F107" i="46"/>
  <c r="F106" i="46"/>
  <c r="F103" i="46"/>
  <c r="F105" i="46"/>
  <c r="F102" i="46"/>
  <c r="F104" i="46"/>
  <c r="D106" i="46"/>
  <c r="D105" i="46"/>
  <c r="D107" i="46"/>
  <c r="D102" i="46"/>
  <c r="D109" i="46"/>
  <c r="D104" i="46"/>
  <c r="D103" i="46"/>
  <c r="H104" i="46"/>
  <c r="H105" i="46"/>
  <c r="H106" i="46"/>
  <c r="H109" i="46"/>
  <c r="H102" i="46"/>
  <c r="H107" i="46"/>
  <c r="H103" i="46"/>
  <c r="D27" i="6"/>
  <c r="C106" i="46"/>
  <c r="C105" i="46"/>
  <c r="C104" i="46"/>
  <c r="C107" i="46"/>
  <c r="C102" i="46"/>
  <c r="C103" i="46"/>
  <c r="C109" i="46"/>
  <c r="J104" i="46"/>
  <c r="J103" i="46"/>
  <c r="J105" i="46"/>
  <c r="J109" i="46"/>
  <c r="J107" i="46"/>
  <c r="J102" i="46"/>
  <c r="J106" i="46"/>
  <c r="N109" i="46"/>
  <c r="N103" i="46"/>
  <c r="N104" i="46"/>
  <c r="N106" i="46"/>
  <c r="N102" i="46"/>
  <c r="N105" i="46"/>
  <c r="N107" i="46"/>
  <c r="I105" i="46"/>
  <c r="I104" i="46"/>
  <c r="I103" i="46"/>
  <c r="I106" i="46"/>
  <c r="I109" i="46"/>
  <c r="I102" i="46"/>
  <c r="I107" i="46"/>
  <c r="M107" i="46"/>
  <c r="M104" i="46"/>
  <c r="M103" i="46"/>
  <c r="M105" i="46"/>
  <c r="M102" i="46"/>
  <c r="M109" i="46"/>
  <c r="M106" i="46"/>
  <c r="D22" i="46"/>
  <c r="A20" i="64"/>
  <c r="A20" i="51"/>
  <c r="B15" i="63" s="1"/>
  <c r="N5" i="54"/>
  <c r="B43" i="63" s="1"/>
  <c r="A6" i="51"/>
  <c r="B7" i="63" s="1"/>
  <c r="A6" i="64"/>
  <c r="A25" i="64"/>
  <c r="A25" i="51"/>
  <c r="B18" i="63" s="1"/>
  <c r="AB12" i="40"/>
  <c r="U12" i="40"/>
  <c r="AA12" i="40"/>
  <c r="S12" i="40"/>
  <c r="U12" i="39"/>
  <c r="AB12" i="39"/>
  <c r="C8" i="66"/>
  <c r="D8" i="66"/>
  <c r="U7" i="34"/>
  <c r="AB7" i="34"/>
  <c r="T49" i="34" s="1"/>
  <c r="G49" i="34" s="1"/>
  <c r="G33" i="46"/>
  <c r="I33" i="46" s="1"/>
  <c r="E33" i="46"/>
  <c r="E34" i="46"/>
  <c r="G34" i="46"/>
  <c r="I34" i="46" s="1"/>
  <c r="E36" i="46"/>
  <c r="G36" i="46"/>
  <c r="I36" i="46" s="1"/>
  <c r="E38" i="46"/>
  <c r="G38" i="46"/>
  <c r="I38" i="46" s="1"/>
  <c r="F7" i="33"/>
  <c r="J7" i="33"/>
  <c r="F48" i="35"/>
  <c r="C42" i="37"/>
  <c r="C43" i="37"/>
  <c r="B3" i="37" s="1"/>
  <c r="B2" i="37" s="1"/>
  <c r="F7" i="36"/>
  <c r="H7" i="36"/>
  <c r="U9" i="40"/>
  <c r="AB9" i="40"/>
  <c r="T44" i="40" s="1"/>
  <c r="G44" i="40" s="1"/>
  <c r="AA9" i="40"/>
  <c r="R44" i="40" s="1"/>
  <c r="S9" i="40"/>
  <c r="AA9" i="39"/>
  <c r="R49" i="39" s="1"/>
  <c r="S9" i="39"/>
  <c r="S7" i="34"/>
  <c r="AA7" i="34"/>
  <c r="R49" i="34" s="1"/>
  <c r="W7" i="34"/>
  <c r="AC7" i="34"/>
  <c r="V49" i="34" s="1"/>
  <c r="I49" i="34" s="1"/>
  <c r="C30" i="46"/>
  <c r="E30" i="46" s="1"/>
  <c r="E29" i="46"/>
  <c r="G35" i="46"/>
  <c r="I35" i="46" s="1"/>
  <c r="E35" i="46"/>
  <c r="G37" i="46"/>
  <c r="I37" i="46" s="1"/>
  <c r="E37" i="46"/>
  <c r="G39" i="46"/>
  <c r="I39" i="46" s="1"/>
  <c r="E39" i="46"/>
  <c r="U7" i="33"/>
  <c r="AB7" i="33"/>
  <c r="T48" i="33" s="1"/>
  <c r="G48" i="33" s="1"/>
  <c r="E46" i="37"/>
  <c r="F46" i="37" s="1"/>
  <c r="E47" i="37"/>
  <c r="F47" i="37" s="1"/>
  <c r="AC7" i="36"/>
  <c r="V36" i="36" s="1"/>
  <c r="I36" i="36" s="1"/>
  <c r="W7" i="36"/>
  <c r="W9" i="40"/>
  <c r="AC9" i="40"/>
  <c r="V44" i="40" s="1"/>
  <c r="I44" i="40" s="1"/>
  <c r="AB9" i="39"/>
  <c r="T49" i="39" s="1"/>
  <c r="G49" i="39" s="1"/>
  <c r="U9" i="39"/>
  <c r="W9" i="39"/>
  <c r="AC9" i="39"/>
  <c r="V49" i="39" s="1"/>
  <c r="I49" i="39" s="1"/>
  <c r="F17" i="11"/>
  <c r="C17" i="11" s="1"/>
  <c r="B40" i="1"/>
  <c r="Q54" i="44"/>
  <c r="F1" i="44"/>
  <c r="F11" i="15"/>
  <c r="F13" i="44"/>
  <c r="C12" i="44" s="1"/>
  <c r="C7" i="44" s="1"/>
  <c r="M11" i="15"/>
  <c r="J10" i="15" s="1"/>
  <c r="J5" i="15" s="1"/>
  <c r="M13" i="44"/>
  <c r="J12" i="44" s="1"/>
  <c r="J7" i="44" s="1"/>
  <c r="Q63" i="44"/>
  <c r="Q76" i="44"/>
  <c r="Q62" i="15"/>
  <c r="Q75" i="15"/>
  <c r="C48" i="15"/>
  <c r="F1" i="15"/>
  <c r="Q53" i="15"/>
  <c r="L47" i="44"/>
  <c r="O17" i="46"/>
  <c r="M17" i="46"/>
  <c r="P17" i="46"/>
  <c r="N17" i="46"/>
  <c r="Q75" i="44"/>
  <c r="Q62" i="44"/>
  <c r="Q74" i="15"/>
  <c r="Q61" i="15"/>
  <c r="AE7" i="1"/>
  <c r="F7" i="67"/>
  <c r="C19" i="11" l="1"/>
  <c r="C20" i="11" s="1"/>
  <c r="C21" i="11" s="1"/>
  <c r="C22" i="11" s="1"/>
  <c r="C23" i="11" s="1"/>
  <c r="B2" i="11" s="1"/>
  <c r="D16" i="6"/>
  <c r="W33" i="21"/>
  <c r="AC33" i="21"/>
  <c r="F40" i="39"/>
  <c r="H40" i="39"/>
  <c r="J40" i="39"/>
  <c r="AA33" i="21"/>
  <c r="S33" i="21"/>
  <c r="U33" i="21"/>
  <c r="AB33" i="21"/>
  <c r="H40" i="70"/>
  <c r="J40" i="70"/>
  <c r="F40" i="70"/>
  <c r="F72" i="70"/>
  <c r="G70" i="70"/>
  <c r="L16" i="1"/>
  <c r="O16" i="1"/>
  <c r="P16" i="1"/>
  <c r="C13" i="12" s="1"/>
  <c r="C17" i="12" s="1"/>
  <c r="C13" i="43"/>
  <c r="C17" i="43" s="1"/>
  <c r="K19" i="6"/>
  <c r="S6" i="1" s="1"/>
  <c r="E31" i="6"/>
  <c r="K24" i="6"/>
  <c r="M24" i="6" s="1"/>
  <c r="I24" i="6" s="1"/>
  <c r="K23" i="6"/>
  <c r="M23" i="6" s="1"/>
  <c r="I23" i="6" s="1"/>
  <c r="K21" i="6"/>
  <c r="M21" i="6" s="1"/>
  <c r="I21" i="6" s="1"/>
  <c r="K20" i="6"/>
  <c r="K26" i="6"/>
  <c r="M26" i="6" s="1"/>
  <c r="I26" i="6" s="1"/>
  <c r="K25" i="6"/>
  <c r="M25" i="6" s="1"/>
  <c r="I25" i="6" s="1"/>
  <c r="K22" i="6"/>
  <c r="M22" i="6" s="1"/>
  <c r="I22" i="6" s="1"/>
  <c r="D30" i="6"/>
  <c r="D31" i="6"/>
  <c r="I5" i="6" s="1"/>
  <c r="D22" i="12"/>
  <c r="C22" i="12" s="1"/>
  <c r="C20" i="12" s="1"/>
  <c r="D13" i="11"/>
  <c r="C13" i="11" s="1"/>
  <c r="D6" i="6"/>
  <c r="D19" i="12"/>
  <c r="C19" i="12" s="1"/>
  <c r="C16" i="12"/>
  <c r="S7" i="46"/>
  <c r="T7" i="46" s="1"/>
  <c r="V7" i="46" s="1"/>
  <c r="S5" i="46"/>
  <c r="T5" i="46" s="1"/>
  <c r="V5" i="46" s="1"/>
  <c r="S3" i="46"/>
  <c r="T3" i="46" s="1"/>
  <c r="V3" i="46" s="1"/>
  <c r="S4" i="46"/>
  <c r="T4" i="46" s="1"/>
  <c r="V4" i="46" s="1"/>
  <c r="S6" i="46"/>
  <c r="T6" i="46" s="1"/>
  <c r="V6" i="46" s="1"/>
  <c r="S2" i="46"/>
  <c r="T2" i="46" s="1"/>
  <c r="V2" i="46" s="1"/>
  <c r="C115" i="46"/>
  <c r="D113" i="46" s="1"/>
  <c r="C27" i="46"/>
  <c r="E4" i="67"/>
  <c r="G53" i="39"/>
  <c r="H53" i="39" s="1"/>
  <c r="G54" i="39"/>
  <c r="H54" i="39" s="1"/>
  <c r="I40" i="36"/>
  <c r="J40" i="36" s="1"/>
  <c r="R50" i="39"/>
  <c r="E49" i="39"/>
  <c r="I54" i="39" s="1"/>
  <c r="J54" i="39" s="1"/>
  <c r="R45" i="40"/>
  <c r="E44" i="40"/>
  <c r="I49" i="40" s="1"/>
  <c r="J49" i="40" s="1"/>
  <c r="I53" i="39"/>
  <c r="J53" i="39" s="1"/>
  <c r="I48" i="40"/>
  <c r="J48" i="40" s="1"/>
  <c r="G52" i="33"/>
  <c r="H52" i="33" s="1"/>
  <c r="G53" i="33"/>
  <c r="H53" i="33" s="1"/>
  <c r="C26" i="46"/>
  <c r="I53" i="34"/>
  <c r="J53" i="34" s="1"/>
  <c r="R50" i="34"/>
  <c r="E49" i="34"/>
  <c r="G48" i="40"/>
  <c r="H48" i="40" s="1"/>
  <c r="G49" i="40"/>
  <c r="H49" i="40" s="1"/>
  <c r="AB7" i="36"/>
  <c r="T36" i="36" s="1"/>
  <c r="G36" i="36" s="1"/>
  <c r="U7" i="36"/>
  <c r="W7" i="33"/>
  <c r="AC7" i="33"/>
  <c r="V48" i="33" s="1"/>
  <c r="I48" i="33" s="1"/>
  <c r="G53" i="34"/>
  <c r="H53" i="34" s="1"/>
  <c r="G54" i="34"/>
  <c r="H54" i="34" s="1"/>
  <c r="AA7" i="36"/>
  <c r="R36" i="36" s="1"/>
  <c r="S7" i="36"/>
  <c r="G48" i="35"/>
  <c r="H48" i="35" s="1"/>
  <c r="I48" i="35" s="1"/>
  <c r="J48" i="35" s="1"/>
  <c r="K48" i="35" s="1"/>
  <c r="L48" i="35" s="1"/>
  <c r="M48" i="35" s="1"/>
  <c r="N48" i="35" s="1"/>
  <c r="O48" i="35" s="1"/>
  <c r="H7" i="35"/>
  <c r="S7" i="33"/>
  <c r="AA7" i="33"/>
  <c r="R48" i="33" s="1"/>
  <c r="J20" i="44"/>
  <c r="J28" i="44"/>
  <c r="J31" i="44" s="1"/>
  <c r="J26" i="44"/>
  <c r="J18" i="15"/>
  <c r="J26" i="15"/>
  <c r="J24" i="15"/>
  <c r="C40" i="44"/>
  <c r="C34" i="44"/>
  <c r="F24" i="15"/>
  <c r="C24" i="15" s="1"/>
  <c r="F26" i="44"/>
  <c r="C26" i="44" s="1"/>
  <c r="F26" i="12"/>
  <c r="F21" i="43"/>
  <c r="C52" i="15"/>
  <c r="C47" i="15" s="1"/>
  <c r="C10" i="15"/>
  <c r="C5" i="15" s="1"/>
  <c r="L52" i="44"/>
  <c r="F41" i="15"/>
  <c r="E7" i="67"/>
  <c r="F68" i="15" l="1"/>
  <c r="J29" i="15"/>
  <c r="I6" i="6"/>
  <c r="AC40" i="70"/>
  <c r="W40" i="70"/>
  <c r="AC40" i="39"/>
  <c r="W40" i="39"/>
  <c r="AA40" i="39"/>
  <c r="S40" i="39"/>
  <c r="C13" i="70"/>
  <c r="C13" i="39"/>
  <c r="AA40" i="70"/>
  <c r="S40" i="70"/>
  <c r="AB40" i="70"/>
  <c r="U40" i="70"/>
  <c r="AB40" i="39"/>
  <c r="U40" i="39"/>
  <c r="H70" i="70"/>
  <c r="G72" i="70"/>
  <c r="C14" i="12"/>
  <c r="C18" i="12" s="1"/>
  <c r="C23" i="12" s="1"/>
  <c r="M20" i="6"/>
  <c r="I20" i="6" s="1"/>
  <c r="H20" i="6" s="1"/>
  <c r="R20" i="6" s="1"/>
  <c r="R7" i="1" s="1"/>
  <c r="S7" i="1"/>
  <c r="S16" i="1" s="1"/>
  <c r="C14" i="43"/>
  <c r="C18" i="43" s="1"/>
  <c r="C19" i="43" s="1"/>
  <c r="C25" i="43" s="1"/>
  <c r="C24" i="43" s="1"/>
  <c r="S25" i="6"/>
  <c r="H25" i="6"/>
  <c r="R25" i="6" s="1"/>
  <c r="S23" i="6"/>
  <c r="H23" i="6"/>
  <c r="R23" i="6" s="1"/>
  <c r="S22" i="6"/>
  <c r="H22" i="6"/>
  <c r="R22" i="6" s="1"/>
  <c r="S26" i="6"/>
  <c r="H26" i="6"/>
  <c r="R26" i="6" s="1"/>
  <c r="S21" i="6"/>
  <c r="H21" i="6"/>
  <c r="R21" i="6" s="1"/>
  <c r="S24" i="6"/>
  <c r="H24" i="6"/>
  <c r="R24" i="6" s="1"/>
  <c r="K27" i="6"/>
  <c r="M19" i="6"/>
  <c r="E3" i="67"/>
  <c r="AB7" i="35"/>
  <c r="T38" i="35" s="1"/>
  <c r="G38" i="35" s="1"/>
  <c r="U7" i="35"/>
  <c r="E36" i="36"/>
  <c r="R37" i="36"/>
  <c r="C50" i="34"/>
  <c r="B3" i="34" s="1"/>
  <c r="B2" i="34" s="1"/>
  <c r="C49" i="34"/>
  <c r="F7" i="35"/>
  <c r="R49" i="33"/>
  <c r="E48" i="33"/>
  <c r="G40" i="36"/>
  <c r="H40" i="36" s="1"/>
  <c r="G41" i="36"/>
  <c r="H41" i="36" s="1"/>
  <c r="E48" i="40"/>
  <c r="F48" i="40" s="1"/>
  <c r="E49" i="40"/>
  <c r="F49" i="40" s="1"/>
  <c r="E54" i="39"/>
  <c r="F54" i="39" s="1"/>
  <c r="E53" i="39"/>
  <c r="F53" i="39" s="1"/>
  <c r="J7" i="35"/>
  <c r="I52" i="33"/>
  <c r="J52" i="33" s="1"/>
  <c r="I53" i="33"/>
  <c r="J53" i="33" s="1"/>
  <c r="E54" i="34"/>
  <c r="F54" i="34" s="1"/>
  <c r="E53" i="34"/>
  <c r="F53" i="34" s="1"/>
  <c r="I54" i="34"/>
  <c r="J54" i="34" s="1"/>
  <c r="B2" i="46"/>
  <c r="C44" i="40"/>
  <c r="C45" i="40"/>
  <c r="C49" i="39"/>
  <c r="C50" i="39"/>
  <c r="Q69" i="44"/>
  <c r="L58" i="44"/>
  <c r="L61" i="44" s="1"/>
  <c r="C59" i="15"/>
  <c r="C65" i="15"/>
  <c r="B3" i="11"/>
  <c r="B5" i="11"/>
  <c r="B4" i="11"/>
  <c r="C23" i="43"/>
  <c r="D21" i="43" s="1"/>
  <c r="C32" i="15"/>
  <c r="C38" i="15"/>
  <c r="C27" i="12"/>
  <c r="D26" i="12" s="1"/>
  <c r="C32" i="12" s="1"/>
  <c r="D30" i="12" s="1"/>
  <c r="Q67" i="44"/>
  <c r="Q49" i="44"/>
  <c r="Q55" i="44" s="1"/>
  <c r="Q58" i="44"/>
  <c r="F35" i="15"/>
  <c r="B7" i="67"/>
  <c r="M21" i="15"/>
  <c r="C17" i="15"/>
  <c r="T12" i="1" l="1"/>
  <c r="T6" i="1"/>
  <c r="T11" i="1"/>
  <c r="J20" i="15"/>
  <c r="C34" i="15"/>
  <c r="F62" i="15"/>
  <c r="C61" i="15" s="1"/>
  <c r="S20" i="6"/>
  <c r="T8" i="1"/>
  <c r="T10" i="1"/>
  <c r="C11" i="21"/>
  <c r="H13" i="39"/>
  <c r="J13" i="39"/>
  <c r="F13" i="39"/>
  <c r="H13" i="70"/>
  <c r="F13" i="70"/>
  <c r="J13" i="70"/>
  <c r="H72" i="70"/>
  <c r="I70" i="70"/>
  <c r="C22" i="43"/>
  <c r="C21" i="43" s="1"/>
  <c r="C28" i="43" s="1"/>
  <c r="C30" i="43" s="1"/>
  <c r="C32" i="43" s="1"/>
  <c r="B2" i="43" s="1"/>
  <c r="B3" i="43" s="1"/>
  <c r="T13" i="1"/>
  <c r="T9" i="1"/>
  <c r="T7" i="1"/>
  <c r="M27" i="6"/>
  <c r="I19" i="6"/>
  <c r="B2" i="67"/>
  <c r="B66" i="39"/>
  <c r="F66" i="39" s="1"/>
  <c r="B64" i="39"/>
  <c r="F64" i="39" s="1"/>
  <c r="B61" i="39"/>
  <c r="F61" i="39" s="1"/>
  <c r="B65" i="39"/>
  <c r="F65" i="39" s="1"/>
  <c r="B59" i="39"/>
  <c r="F59" i="39" s="1"/>
  <c r="B58" i="39"/>
  <c r="F58" i="39" s="1"/>
  <c r="F68" i="39" s="1"/>
  <c r="B2" i="39" s="1"/>
  <c r="B63" i="39"/>
  <c r="F63" i="39" s="1"/>
  <c r="B62" i="39"/>
  <c r="F62" i="39" s="1"/>
  <c r="B60" i="39"/>
  <c r="F60" i="39" s="1"/>
  <c r="B67" i="39"/>
  <c r="F67"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D4" i="46"/>
  <c r="B4" i="46"/>
  <c r="B3" i="46"/>
  <c r="AC7" i="35"/>
  <c r="V38" i="35" s="1"/>
  <c r="I38" i="35" s="1"/>
  <c r="W7" i="35"/>
  <c r="E52" i="33"/>
  <c r="F52" i="33" s="1"/>
  <c r="E53" i="33"/>
  <c r="F53" i="33" s="1"/>
  <c r="AA7" i="35"/>
  <c r="R38" i="35" s="1"/>
  <c r="S7" i="35"/>
  <c r="E41" i="36"/>
  <c r="F41" i="36" s="1"/>
  <c r="E40" i="36"/>
  <c r="F40" i="36" s="1"/>
  <c r="I41" i="36"/>
  <c r="J41" i="36" s="1"/>
  <c r="G42" i="35"/>
  <c r="H42" i="35" s="1"/>
  <c r="G43" i="35"/>
  <c r="H43" i="35" s="1"/>
  <c r="C49" i="33"/>
  <c r="B3" i="33" s="1"/>
  <c r="B2" i="33" s="1"/>
  <c r="C48" i="33"/>
  <c r="C37" i="36"/>
  <c r="B3" i="36" s="1"/>
  <c r="B2" i="36" s="1"/>
  <c r="C36" i="36"/>
  <c r="Q59" i="44"/>
  <c r="Q64" i="44" s="1"/>
  <c r="Q68" i="44"/>
  <c r="Q77" i="44" s="1"/>
  <c r="C14" i="15"/>
  <c r="C16" i="44"/>
  <c r="T16" i="1" l="1"/>
  <c r="C18" i="15"/>
  <c r="C15" i="15"/>
  <c r="C17" i="44"/>
  <c r="C20" i="44"/>
  <c r="AA13" i="70"/>
  <c r="S13" i="70"/>
  <c r="AA13" i="39"/>
  <c r="S13" i="39"/>
  <c r="AB13" i="39"/>
  <c r="U13" i="39"/>
  <c r="AC13" i="70"/>
  <c r="W13" i="70"/>
  <c r="AB13" i="70"/>
  <c r="U13" i="70"/>
  <c r="AC13" i="39"/>
  <c r="W13" i="39"/>
  <c r="H11" i="21"/>
  <c r="F11" i="21"/>
  <c r="J11" i="21"/>
  <c r="J70" i="70"/>
  <c r="I72" i="70"/>
  <c r="B4" i="43"/>
  <c r="H19" i="6"/>
  <c r="I27" i="6"/>
  <c r="S19" i="6"/>
  <c r="S27" i="6" s="1"/>
  <c r="B5" i="43"/>
  <c r="B4" i="39"/>
  <c r="B3" i="39"/>
  <c r="B5" i="39"/>
  <c r="R39" i="35"/>
  <c r="E38" i="35"/>
  <c r="I42" i="35"/>
  <c r="J42" i="35" s="1"/>
  <c r="I43" i="35"/>
  <c r="J43" i="35" s="1"/>
  <c r="B4" i="40"/>
  <c r="B3" i="40"/>
  <c r="B5" i="40"/>
  <c r="B3" i="67"/>
  <c r="B4" i="67"/>
  <c r="C21" i="44" l="1"/>
  <c r="C22" i="44" s="1"/>
  <c r="C19" i="15"/>
  <c r="C20" i="15" s="1"/>
  <c r="C26" i="15" s="1"/>
  <c r="S11" i="21"/>
  <c r="AA11" i="21"/>
  <c r="R48" i="21" s="1"/>
  <c r="W11" i="21"/>
  <c r="AC11" i="21"/>
  <c r="V48" i="21" s="1"/>
  <c r="I48" i="21" s="1"/>
  <c r="U11" i="21"/>
  <c r="AB11" i="21"/>
  <c r="T48" i="21" s="1"/>
  <c r="G48" i="21" s="1"/>
  <c r="J72" i="70"/>
  <c r="K70" i="70"/>
  <c r="H27" i="6"/>
  <c r="R19" i="6"/>
  <c r="C38" i="35"/>
  <c r="C39" i="35"/>
  <c r="B3" i="35" s="1"/>
  <c r="B2" i="35" s="1"/>
  <c r="E43" i="35"/>
  <c r="F43" i="35" s="1"/>
  <c r="E42" i="35"/>
  <c r="F42" i="35" s="1"/>
  <c r="C25" i="44" l="1"/>
  <c r="C28" i="44"/>
  <c r="C23" i="15"/>
  <c r="C29" i="15" s="1"/>
  <c r="J19" i="15" s="1"/>
  <c r="J17" i="15" s="1"/>
  <c r="G53" i="21"/>
  <c r="H53" i="21" s="1"/>
  <c r="G52" i="21"/>
  <c r="H52" i="21" s="1"/>
  <c r="I52" i="21"/>
  <c r="J52" i="21" s="1"/>
  <c r="R49" i="21"/>
  <c r="E48" i="21"/>
  <c r="L70" i="70"/>
  <c r="K72" i="70"/>
  <c r="C33" i="15"/>
  <c r="C31" i="15" s="1"/>
  <c r="R27" i="6"/>
  <c r="R6" i="1"/>
  <c r="R16" i="1" s="1"/>
  <c r="C31" i="44" l="1"/>
  <c r="C15" i="44" s="1"/>
  <c r="C39" i="44" s="1"/>
  <c r="C13" i="15"/>
  <c r="Q71" i="15" s="1"/>
  <c r="C36" i="15"/>
  <c r="Q50" i="15"/>
  <c r="J14" i="15"/>
  <c r="J22" i="15" s="1"/>
  <c r="J59" i="15"/>
  <c r="J60" i="15" s="1"/>
  <c r="Q49" i="15" s="1"/>
  <c r="C56" i="15"/>
  <c r="C63" i="15" s="1"/>
  <c r="E52" i="21"/>
  <c r="F52" i="21" s="1"/>
  <c r="E53" i="21"/>
  <c r="F53" i="21" s="1"/>
  <c r="I53" i="21"/>
  <c r="J53" i="21" s="1"/>
  <c r="C48" i="21"/>
  <c r="C49" i="21"/>
  <c r="B3" i="21" s="1"/>
  <c r="L72" i="70"/>
  <c r="M70" i="70"/>
  <c r="C38" i="44"/>
  <c r="C60" i="15"/>
  <c r="C58" i="15" s="1"/>
  <c r="Q72" i="44" l="1"/>
  <c r="C43" i="44"/>
  <c r="C35" i="44"/>
  <c r="C33" i="44" s="1"/>
  <c r="J13" i="15"/>
  <c r="J23" i="15" s="1"/>
  <c r="J16" i="15" s="1"/>
  <c r="J25" i="15" s="1"/>
  <c r="J21" i="44"/>
  <c r="J19" i="44" s="1"/>
  <c r="Q51" i="44"/>
  <c r="J16" i="44"/>
  <c r="J24" i="44" s="1"/>
  <c r="J35" i="15"/>
  <c r="C55" i="15"/>
  <c r="C64" i="15" s="1"/>
  <c r="C57" i="15" s="1"/>
  <c r="C66" i="15" s="1"/>
  <c r="C67" i="15" s="1"/>
  <c r="C37" i="15"/>
  <c r="C30" i="15" s="1"/>
  <c r="C39" i="15" s="1"/>
  <c r="Q70" i="15" s="1"/>
  <c r="Q69" i="15" s="1"/>
  <c r="C8" i="12"/>
  <c r="B2" i="21"/>
  <c r="C10" i="12" s="1"/>
  <c r="N70" i="70"/>
  <c r="N72" i="70" s="1"/>
  <c r="M72" i="70"/>
  <c r="C32" i="44"/>
  <c r="C42" i="44" s="1"/>
  <c r="L57" i="15"/>
  <c r="L60" i="15" s="1"/>
  <c r="L46" i="15" s="1"/>
  <c r="J15" i="44" l="1"/>
  <c r="J25" i="44" s="1"/>
  <c r="C44" i="44"/>
  <c r="C45" i="44" s="1"/>
  <c r="B2" i="44" s="1"/>
  <c r="B4" i="44" s="1"/>
  <c r="J39" i="15"/>
  <c r="J40" i="15" s="1"/>
  <c r="C40" i="15"/>
  <c r="B2" i="15" s="1"/>
  <c r="F9" i="70"/>
  <c r="J9" i="70"/>
  <c r="H9" i="70"/>
  <c r="Q71" i="44"/>
  <c r="Q70" i="44" s="1"/>
  <c r="J18" i="44"/>
  <c r="J27" i="44" s="1"/>
  <c r="B3" i="44"/>
  <c r="Q67" i="15"/>
  <c r="Q58" i="15"/>
  <c r="C70" i="15"/>
  <c r="L51" i="15"/>
  <c r="B5" i="44" l="1"/>
  <c r="Q68" i="15"/>
  <c r="C46" i="15"/>
  <c r="Q57" i="15"/>
  <c r="Q63" i="15" s="1"/>
  <c r="C43" i="15"/>
  <c r="Q66" i="15"/>
  <c r="Q76" i="15" s="1"/>
  <c r="J42" i="15"/>
  <c r="J43" i="15" s="1"/>
  <c r="Q48" i="15"/>
  <c r="Q54" i="15" s="1"/>
  <c r="W9" i="70"/>
  <c r="AC9" i="70"/>
  <c r="V49" i="70" s="1"/>
  <c r="I49" i="70" s="1"/>
  <c r="AB9" i="70"/>
  <c r="T49" i="70" s="1"/>
  <c r="G49" i="70" s="1"/>
  <c r="U9" i="70"/>
  <c r="S9" i="70"/>
  <c r="AA9" i="70"/>
  <c r="R49" i="70" s="1"/>
  <c r="B3" i="15"/>
  <c r="D8" i="12" s="1"/>
  <c r="D10" i="12"/>
  <c r="C6" i="12" s="1"/>
  <c r="C29" i="12" l="1"/>
  <c r="C24" i="12"/>
  <c r="R50" i="70"/>
  <c r="E49" i="70"/>
  <c r="I54" i="70" s="1"/>
  <c r="J54" i="70" s="1"/>
  <c r="I53" i="70"/>
  <c r="J53" i="70" s="1"/>
  <c r="G54" i="70"/>
  <c r="H54" i="70" s="1"/>
  <c r="G53" i="70"/>
  <c r="H53" i="70" s="1"/>
  <c r="C28" i="12" l="1"/>
  <c r="C26" i="12" s="1"/>
  <c r="C31" i="12" s="1"/>
  <c r="C30" i="12" s="1"/>
  <c r="C35" i="12"/>
  <c r="C33" i="12" s="1"/>
  <c r="E54" i="70"/>
  <c r="F54" i="70" s="1"/>
  <c r="E53" i="70"/>
  <c r="F53" i="70" s="1"/>
  <c r="C50" i="70"/>
  <c r="C49" i="70"/>
  <c r="C36" i="12" l="1"/>
  <c r="B2" i="12" s="1"/>
  <c r="B4" i="12" s="1"/>
  <c r="B62" i="70"/>
  <c r="F62" i="70" s="1"/>
  <c r="B60" i="70"/>
  <c r="F60" i="70" s="1"/>
  <c r="B67" i="70"/>
  <c r="F67" i="70" s="1"/>
  <c r="B65" i="70"/>
  <c r="F65" i="70" s="1"/>
  <c r="B63" i="70"/>
  <c r="F63" i="70" s="1"/>
  <c r="B61" i="70"/>
  <c r="F61" i="70" s="1"/>
  <c r="B58" i="70"/>
  <c r="F58" i="70" s="1"/>
  <c r="B66" i="70"/>
  <c r="F66" i="70" s="1"/>
  <c r="B64" i="70"/>
  <c r="F64" i="70" s="1"/>
  <c r="B59" i="70"/>
  <c r="F59" i="70" s="1"/>
  <c r="D19" i="9"/>
  <c r="D21" i="9"/>
  <c r="B5" i="12" l="1"/>
  <c r="L44" i="9"/>
  <c r="B3" i="12"/>
  <c r="F68" i="70"/>
  <c r="B2" i="70" s="1"/>
  <c r="C19" i="9"/>
  <c r="D20" i="9"/>
  <c r="L43" i="9" l="1"/>
  <c r="D22" i="9"/>
  <c r="G19" i="9"/>
  <c r="B4" i="70"/>
  <c r="B5" i="70"/>
  <c r="B3" i="70"/>
  <c r="C21" i="9"/>
  <c r="C20" i="9"/>
  <c r="G20" i="9" l="1"/>
  <c r="G21" i="9"/>
  <c r="N43" i="9"/>
  <c r="G22" i="9"/>
  <c r="C32" i="9"/>
  <c r="C35" i="9" l="1"/>
  <c r="F42" i="9" s="1"/>
  <c r="O38" i="9"/>
  <c r="C42" i="9"/>
  <c r="C34" i="9"/>
  <c r="C33" i="9"/>
  <c r="O43" i="9"/>
  <c r="N38" i="9" l="1"/>
  <c r="K28" i="9" s="1"/>
  <c r="D42" i="9"/>
  <c r="Q5" i="54" s="1"/>
  <c r="B47" i="63" s="1"/>
  <c r="D14" i="66"/>
  <c r="N68" i="9"/>
  <c r="R5" i="54"/>
  <c r="B48" i="63" s="1"/>
  <c r="C44" i="9"/>
  <c r="D63" i="9"/>
  <c r="D73" i="9" s="1"/>
  <c r="N73" i="9" s="1"/>
  <c r="E42" i="9"/>
  <c r="P5" i="54" s="1"/>
  <c r="B46" i="63" s="1"/>
  <c r="M38" i="9"/>
  <c r="K27" i="9" s="1"/>
  <c r="K25" i="9"/>
  <c r="K26" i="9"/>
  <c r="C96" i="9" l="1"/>
  <c r="C91" i="9" s="1"/>
  <c r="C82" i="9"/>
  <c r="C81" i="9" s="1"/>
  <c r="C85" i="9" s="1"/>
  <c r="C86" i="9" s="1"/>
  <c r="D72" i="9" s="1"/>
  <c r="D70" i="9"/>
  <c r="D77" i="9"/>
  <c r="N75" i="9" s="1"/>
  <c r="C111" i="9"/>
  <c r="C104" i="9" s="1"/>
  <c r="C90" i="9"/>
  <c r="C103" i="9"/>
  <c r="D71" i="9"/>
  <c r="D66" i="9" s="1"/>
  <c r="N72" i="9" s="1"/>
  <c r="F14" i="66"/>
  <c r="B5" i="66"/>
  <c r="E14" i="66"/>
  <c r="D44" i="9"/>
  <c r="O39" i="9"/>
  <c r="N69" i="9"/>
  <c r="E44" i="9"/>
  <c r="G14" i="66"/>
  <c r="B6" i="66" s="1"/>
  <c r="F44" i="9"/>
  <c r="C113" i="9" l="1"/>
  <c r="C114" i="9" s="1"/>
  <c r="E114" i="9" s="1"/>
  <c r="E115" i="9" s="1"/>
  <c r="R6" i="54"/>
  <c r="B50" i="63" s="1"/>
  <c r="K29" i="9"/>
  <c r="K30" i="9" s="1"/>
  <c r="D6" i="66"/>
  <c r="C6" i="66"/>
  <c r="M88" i="9"/>
  <c r="N88" i="9" s="1"/>
  <c r="M85" i="9"/>
  <c r="N85" i="9" s="1"/>
  <c r="M87" i="9"/>
  <c r="N87" i="9" s="1"/>
  <c r="M83" i="9"/>
  <c r="N83" i="9" s="1"/>
  <c r="M84" i="9"/>
  <c r="N84" i="9" s="1"/>
  <c r="M86" i="9"/>
  <c r="N86" i="9" s="1"/>
  <c r="D5" i="66"/>
  <c r="C5" i="66"/>
  <c r="C97" i="9"/>
  <c r="C115" i="9" l="1"/>
  <c r="D76" i="9" s="1"/>
  <c r="D74" i="9" s="1"/>
  <c r="N74" i="9" s="1"/>
  <c r="O77" i="9" s="1"/>
  <c r="O79" i="9" s="1"/>
  <c r="O81" i="9" s="1"/>
  <c r="N89" i="9"/>
  <c r="O89" i="9" s="1"/>
  <c r="C98" i="9"/>
  <c r="E98" i="9" s="1"/>
  <c r="E99" i="9" s="1"/>
  <c r="O78" i="9" l="1"/>
  <c r="O80" i="9"/>
  <c r="C99" i="9"/>
  <c r="Q7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<sst xmlns="http://schemas.openxmlformats.org/spreadsheetml/2006/main" count="10836" uniqueCount="4176">
  <si>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</si>
  <si>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</si>
  <si>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</si>
  <si>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</si>
  <si>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</si>
  <si>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</si>
  <si>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</si>
  <si>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</si>
  <si>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</si>
  <si>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</si>
  <si>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</si>
  <si>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</si>
  <si>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</si>
  <si>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</si>
  <si>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</si>
  <si>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</si>
  <si>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</si>
  <si>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</si>
  <si>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</si>
  <si>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</si>
  <si>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</si>
  <si>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</si>
  <si>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</si>
  <si>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</si>
  <si>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</si>
  <si>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</si>
  <si>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</si>
  <si>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</si>
  <si>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</si>
  <si>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</si>
  <si>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</si>
  <si>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</si>
  <si>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</si>
  <si>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</si>
  <si>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</si>
  <si>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</si>
  <si>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</si>
  <si>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</si>
  <si>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</si>
  <si>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</si>
  <si>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</si>
  <si>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</si>
  <si>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</si>
  <si>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</si>
  <si>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</si>
  <si>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</si>
  <si>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</si>
  <si>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</si>
  <si>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</si>
  <si>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</si>
  <si>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</si>
  <si>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</si>
  <si>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</si>
  <si>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</si>
  <si>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</si>
  <si>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</si>
  <si>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</si>
  <si>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</si>
  <si>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</si>
  <si>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</si>
  <si>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</si>
  <si>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</si>
  <si>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</si>
  <si>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</si>
  <si>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</si>
  <si>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</si>
  <si>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</si>
  <si>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</si>
  <si>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</si>
  <si>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</si>
  <si>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</si>
  <si>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</si>
  <si>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</si>
  <si>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</si>
  <si>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</si>
  <si>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</si>
  <si>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</si>
  <si>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</si>
  <si>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</si>
  <si>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</si>
  <si>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</si>
  <si>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</si>
  <si>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</si>
  <si>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</si>
  <si>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</si>
  <si>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</si>
  <si>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</si>
  <si>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</si>
  <si>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</si>
  <si>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</si>
  <si>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</si>
  <si>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</si>
  <si>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</si>
  <si>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</si>
  <si>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</si>
  <si>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</si>
  <si>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</si>
  <si>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</si>
  <si>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</si>
  <si>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</si>
  <si>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</si>
  <si>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</si>
  <si>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</si>
  <si>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</si>
  <si>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</si>
  <si>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</si>
  <si>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</si>
  <si>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</si>
  <si>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</si>
  <si>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</si>
  <si>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</si>
  <si>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</si>
  <si>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</si>
  <si>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</si>
  <si>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</si>
  <si>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</si>
  <si>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</si>
  <si>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</si>
  <si>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</si>
  <si>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</si>
  <si>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</si>
  <si>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</si>
  <si>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</si>
  <si>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</si>
  <si>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</si>
  <si>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</si>
  <si>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</si>
  <si>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</si>
  <si>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</si>
  <si>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</si>
  <si>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</si>
  <si>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</si>
  <si>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</si>
  <si>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</si>
  <si>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</si>
  <si>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</si>
  <si>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</si>
  <si>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</si>
  <si>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</si>
  <si>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</si>
  <si>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</si>
  <si>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</si>
  <si>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</si>
  <si>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</si>
  <si>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</si>
  <si>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</si>
  <si>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</si>
  <si>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</si>
  <si>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</si>
  <si>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</si>
  <si>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</si>
  <si>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</si>
  <si>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</si>
  <si>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</si>
  <si>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</si>
  <si>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</si>
  <si>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</si>
  <si>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</si>
  <si>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</si>
  <si>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</si>
  <si>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</si>
  <si>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</si>
  <si>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</si>
  <si>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</si>
  <si>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</si>
  <si>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</si>
  <si>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</si>
  <si>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</si>
  <si>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</si>
  <si>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</si>
  <si>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</si>
  <si>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</si>
  <si>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</si>
  <si>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</si>
  <si>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</si>
  <si>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</si>
  <si>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</si>
  <si>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</si>
  <si>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</si>
  <si>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</si>
  <si>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</si>
  <si>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</si>
  <si>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</si>
  <si>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</si>
  <si>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</si>
  <si>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</si>
  <si>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</si>
  <si>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</si>
  <si>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</si>
  <si>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</si>
  <si>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</si>
  <si>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</si>
  <si>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</si>
  <si>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</si>
  <si>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</si>
  <si>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</si>
  <si>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</si>
  <si>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</si>
  <si>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</si>
  <si>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</si>
  <si>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</si>
  <si>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</si>
  <si>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</si>
  <si>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</si>
  <si>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</si>
  <si>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</si>
  <si>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</si>
  <si>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</si>
  <si>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</si>
  <si>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</si>
  <si>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</si>
  <si>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</si>
  <si>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</si>
  <si>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</si>
  <si>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</si>
  <si>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</si>
  <si>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</si>
  <si>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</si>
  <si>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</si>
  <si>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</si>
  <si>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</si>
  <si>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</si>
  <si>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</si>
  <si>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</si>
  <si>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</si>
  <si>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</si>
  <si>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</si>
  <si>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</si>
  <si>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</si>
  <si>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</si>
  <si>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</si>
  <si>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</si>
  <si>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</si>
  <si>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</si>
  <si>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</si>
  <si>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</si>
  <si>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</si>
  <si>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</si>
  <si>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</si>
  <si>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</si>
  <si>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</si>
  <si>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</si>
  <si>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</si>
  <si>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</si>
  <si>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</si>
  <si>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</si>
  <si>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</si>
  <si>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</si>
  <si>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</si>
  <si>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</si>
  <si>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</si>
  <si>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</si>
  <si>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</si>
  <si>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</si>
  <si>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</si>
  <si>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</si>
  <si>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</si>
  <si>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</si>
  <si>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</si>
  <si>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</si>
  <si>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</si>
  <si>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</si>
  <si>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</si>
  <si>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</si>
  <si>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</si>
  <si>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</si>
  <si>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</si>
  <si>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</si>
  <si>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</si>
  <si>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</si>
  <si>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</si>
  <si>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</si>
  <si>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</si>
  <si>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</si>
  <si>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</si>
  <si>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</si>
  <si>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</si>
  <si>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</si>
  <si>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</si>
  <si>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</si>
  <si>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</si>
  <si>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</si>
  <si>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</si>
  <si>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</si>
  <si>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</si>
  <si>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</si>
  <si>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</si>
  <si>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</si>
  <si>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</si>
  <si>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</si>
  <si>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</si>
  <si>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</si>
  <si>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</si>
  <si>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</si>
  <si>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</si>
  <si>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</si>
  <si>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</si>
  <si>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</si>
  <si>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</si>
  <si>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</si>
  <si>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</si>
  <si>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</si>
  <si>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</si>
  <si>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</si>
  <si>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</si>
  <si>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</si>
  <si>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</si>
  <si>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</si>
  <si>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</si>
  <si>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</si>
  <si>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</si>
  <si>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</si>
  <si>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</si>
  <si>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</si>
  <si>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</si>
  <si>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</si>
  <si>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</si>
  <si>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</si>
  <si>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</si>
  <si>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</si>
  <si>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</si>
  <si>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</si>
  <si>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</si>
  <si>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</si>
  <si>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</si>
  <si>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</si>
  <si>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</si>
  <si>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</si>
  <si>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</si>
  <si>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</si>
  <si>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</si>
  <si>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</si>
  <si>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</si>
  <si>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</si>
  <si>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</si>
  <si>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</si>
  <si>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</si>
  <si>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</si>
  <si>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</si>
  <si>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</si>
  <si>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</si>
  <si>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</si>
  <si>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</si>
  <si>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</si>
  <si>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</si>
  <si>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</si>
  <si>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</si>
  <si>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</si>
  <si>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</si>
  <si>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</si>
  <si>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</si>
  <si>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</si>
  <si>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</si>
  <si>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</si>
  <si>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</si>
  <si>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</si>
  <si>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</si>
  <si>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</si>
  <si>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</si>
  <si>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</si>
  <si>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</si>
  <si>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</si>
  <si>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</si>
  <si>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</si>
  <si>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</si>
  <si>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</si>
  <si>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</si>
  <si>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</si>
  <si>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</si>
  <si>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</si>
  <si>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</si>
  <si>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</si>
  <si>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</si>
  <si>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</si>
  <si>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</si>
  <si>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</si>
  <si>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</si>
  <si>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</si>
  <si>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</si>
  <si>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</si>
  <si>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</si>
  <si>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</si>
  <si>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</si>
  <si>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</si>
  <si>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</si>
  <si>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</si>
  <si>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</si>
  <si>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</si>
  <si>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</si>
  <si>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</si>
  <si>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</si>
  <si>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</si>
  <si>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</si>
  <si>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</si>
  <si>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</si>
  <si>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</si>
  <si>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</si>
  <si>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</si>
  <si>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</si>
  <si>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</si>
  <si>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</si>
  <si>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</si>
  <si>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</si>
  <si>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</si>
  <si>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</si>
  <si>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</si>
  <si>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</si>
  <si>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</si>
  <si>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</si>
  <si>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</si>
  <si>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</si>
  <si>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</si>
  <si>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</si>
  <si>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</si>
  <si>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</si>
  <si>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</si>
  <si>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</si>
  <si>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</si>
  <si>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</si>
  <si>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</si>
  <si>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</si>
  <si>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</si>
  <si>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</si>
  <si>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</si>
  <si>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</si>
  <si>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</si>
  <si>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</si>
  <si>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</si>
  <si>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</si>
  <si>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</si>
  <si>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</si>
  <si>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</si>
  <si>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</si>
  <si>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</si>
  <si>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</si>
  <si>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</si>
  <si>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</si>
  <si>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</si>
  <si>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</si>
  <si>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</si>
  <si>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</si>
  <si>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</si>
  <si>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</si>
  <si>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</si>
  <si>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</si>
  <si>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</si>
  <si>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</si>
  <si>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</si>
  <si>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</si>
  <si>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</si>
  <si>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</si>
  <si>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</si>
  <si>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</si>
  <si>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</si>
  <si>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</si>
  <si>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</si>
  <si>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</si>
  <si>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</si>
  <si>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</si>
  <si>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</si>
  <si>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</si>
  <si>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</si>
  <si>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</si>
  <si>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</si>
  <si>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</si>
  <si>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</si>
  <si>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</si>
  <si>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</si>
  <si>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</si>
  <si>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</si>
  <si>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</si>
  <si>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</si>
  <si>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</si>
  <si>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</si>
  <si>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</si>
  <si>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</si>
  <si>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</si>
  <si>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</si>
  <si>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</si>
  <si>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</si>
  <si>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</si>
  <si>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</si>
  <si>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</si>
  <si>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</si>
  <si>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</si>
  <si>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</si>
  <si>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</si>
  <si>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</si>
  <si>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</si>
  <si>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</si>
  <si>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</si>
  <si>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</si>
  <si>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</si>
  <si>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</si>
  <si>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</si>
  <si>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</si>
  <si>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</si>
  <si>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</si>
  <si>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</si>
  <si>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</si>
  <si>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</si>
  <si>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</si>
  <si>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</si>
  <si>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</si>
  <si>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</si>
  <si>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</si>
  <si>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</si>
  <si>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</si>
  <si>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</si>
  <si>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</si>
  <si>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</si>
  <si>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</si>
  <si>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</si>
  <si>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</si>
  <si>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</si>
  <si>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</si>
  <si>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</si>
  <si>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</si>
  <si>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</si>
  <si>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</si>
  <si>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</si>
  <si>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</si>
  <si>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</si>
  <si>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</si>
  <si>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</si>
  <si>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</si>
  <si>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</si>
  <si>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</si>
  <si>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</si>
  <si>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</si>
  <si>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</si>
  <si>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</si>
  <si>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</si>
  <si>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</si>
  <si>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</si>
  <si>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</si>
  <si>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</si>
  <si>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</si>
  <si>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</si>
  <si>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</si>
  <si>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</si>
  <si>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</si>
  <si>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</si>
  <si>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</si>
  <si>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</si>
  <si>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</si>
  <si>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</si>
  <si>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</si>
  <si>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</si>
  <si>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</si>
  <si>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</si>
  <si>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</si>
  <si>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</si>
  <si>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</si>
  <si>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</si>
  <si>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</si>
  <si>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</si>
  <si>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</si>
  <si>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</si>
  <si>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</si>
  <si>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</si>
  <si>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</si>
  <si>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</si>
  <si>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</si>
  <si>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</si>
  <si>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</si>
  <si>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</si>
  <si>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</si>
  <si>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</si>
  <si>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</si>
  <si>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</si>
  <si>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</si>
  <si>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</si>
  <si>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</si>
  <si>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</si>
  <si>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</si>
  <si>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</si>
  <si>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</si>
  <si>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</si>
  <si>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</si>
  <si>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</si>
  <si>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</si>
  <si>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</si>
  <si>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</si>
  <si>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</si>
  <si>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</si>
  <si>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</si>
  <si>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</si>
  <si>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</si>
  <si>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</si>
  <si>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</si>
  <si>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</si>
  <si>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</si>
  <si>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</si>
  <si>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</si>
  <si>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</si>
  <si>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</si>
  <si>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</si>
  <si>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</si>
  <si>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</si>
  <si>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</si>
  <si>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</si>
  <si>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</si>
  <si>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</si>
  <si>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</si>
  <si>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</si>
  <si>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</si>
  <si>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</si>
  <si>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</si>
  <si>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</si>
  <si>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</si>
  <si>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</si>
  <si>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</si>
  <si>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</si>
  <si>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</si>
  <si>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</si>
  <si>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</si>
  <si>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</si>
  <si>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</si>
  <si>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</si>
  <si>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</si>
  <si>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</si>
  <si>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</si>
  <si>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</si>
  <si>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</si>
  <si>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</si>
  <si>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</si>
  <si>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</si>
  <si>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</si>
  <si>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</si>
  <si>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</si>
  <si>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</si>
  <si>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</si>
  <si>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</si>
  <si>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</si>
  <si>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</si>
  <si>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</si>
  <si>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</si>
  <si>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</si>
  <si>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</si>
  <si>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</si>
  <si>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</si>
  <si>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</si>
  <si>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</si>
  <si>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</si>
  <si>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</si>
  <si>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</si>
  <si>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</si>
  <si>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</si>
  <si>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</si>
  <si>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</si>
  <si>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</si>
  <si>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</si>
  <si>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</si>
  <si>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</si>
  <si>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</si>
  <si>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</si>
  <si>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</si>
  <si>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</si>
  <si>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</si>
  <si>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</si>
  <si>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</si>
  <si>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</si>
  <si>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</si>
  <si>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</si>
  <si>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</si>
  <si>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</si>
  <si>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</si>
  <si>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</si>
  <si>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</si>
  <si>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</si>
  <si>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</si>
  <si>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</si>
  <si>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</si>
  <si>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</si>
  <si>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</si>
  <si>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</si>
  <si>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</si>
  <si>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</si>
  <si>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</si>
  <si>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</si>
  <si>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</si>
  <si>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</si>
  <si>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</si>
  <si>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</si>
  <si>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</si>
  <si>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</si>
  <si>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</si>
  <si>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</si>
  <si>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</si>
  <si>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</si>
  <si>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</si>
  <si>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</si>
  <si>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</si>
  <si>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</si>
  <si>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</si>
  <si>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</si>
  <si>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</si>
  <si>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</si>
  <si>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</si>
  <si>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</si>
  <si>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</si>
  <si>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</si>
  <si>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</si>
  <si>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</si>
  <si>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</si>
  <si>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</si>
  <si>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</si>
  <si>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</si>
  <si>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</si>
  <si>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</si>
  <si>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</si>
  <si>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</si>
  <si>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</si>
  <si>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</si>
  <si>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</si>
  <si>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</si>
  <si>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</si>
  <si>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</si>
  <si>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</si>
  <si>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</si>
  <si>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</si>
  <si>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</si>
  <si>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</si>
  <si>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</si>
  <si>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</si>
  <si>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</si>
  <si>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</si>
  <si>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</si>
  <si>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</si>
  <si>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</si>
  <si>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</si>
  <si>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</si>
  <si>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</si>
  <si>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</si>
  <si>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</si>
  <si>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</si>
  <si>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</si>
  <si>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</si>
  <si>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</si>
  <si>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</si>
  <si>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</si>
  <si>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</si>
  <si>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</si>
  <si>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</si>
  <si>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</si>
  <si>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</si>
  <si>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</si>
  <si>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</si>
  <si>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</si>
  <si>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</si>
  <si>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</si>
  <si>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</si>
  <si>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</si>
  <si>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</si>
  <si>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</si>
  <si>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</si>
  <si>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</si>
  <si>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</si>
  <si>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</si>
  <si>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</si>
  <si>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</si>
  <si>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</si>
  <si>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</si>
  <si>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</si>
  <si>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</si>
  <si>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</si>
  <si>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</si>
  <si>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</si>
  <si>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</si>
  <si>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</si>
  <si>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</si>
  <si>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</si>
  <si>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</si>
  <si>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</si>
  <si>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</si>
  <si>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</si>
  <si>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</si>
  <si>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</si>
  <si>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</si>
  <si>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</si>
  <si>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</si>
  <si>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</si>
  <si>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</si>
  <si>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</si>
  <si>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</si>
  <si>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</si>
  <si>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</si>
  <si>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</si>
  <si>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</si>
  <si>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</si>
  <si>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</si>
  <si>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</si>
  <si>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</si>
  <si>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</si>
  <si>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</si>
  <si>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</si>
  <si>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</si>
  <si>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</si>
  <si>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</si>
  <si>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</si>
  <si>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</si>
  <si>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</si>
  <si>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</si>
  <si>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</si>
  <si>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</si>
  <si>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</si>
  <si>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</si>
  <si>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</si>
  <si>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</si>
  <si>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</si>
  <si>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</si>
  <si>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</si>
  <si>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</si>
  <si>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</si>
  <si>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</si>
  <si>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</si>
  <si>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</si>
  <si>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</si>
  <si>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</si>
  <si>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</si>
  <si>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</si>
  <si>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</si>
  <si>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</si>
  <si>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</si>
  <si>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</si>
  <si>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</si>
  <si>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</si>
  <si>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</si>
  <si>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</si>
  <si>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</si>
  <si>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</si>
  <si>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</si>
  <si>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</si>
  <si>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</si>
  <si>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</si>
  <si>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</si>
  <si>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</si>
  <si>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</si>
  <si>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</si>
  <si>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</si>
  <si>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</si>
  <si>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</si>
  <si>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</si>
  <si>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</si>
  <si>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</si>
  <si>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</si>
  <si>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</si>
  <si>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</si>
  <si>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</si>
  <si>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</si>
  <si>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</si>
  <si>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</si>
  <si>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</si>
  <si>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</si>
  <si>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</si>
  <si>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</si>
  <si>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</si>
  <si>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</si>
  <si>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</si>
  <si>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</si>
  <si>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</si>
  <si>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</si>
  <si>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</si>
  <si>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</si>
  <si>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</si>
  <si>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</si>
  <si>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</si>
  <si>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</si>
  <si>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</si>
  <si>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</si>
  <si>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</si>
  <si>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</si>
  <si>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</si>
  <si>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</si>
  <si>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</si>
  <si>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</si>
  <si>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</si>
  <si>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</si>
  <si>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</si>
  <si>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</si>
  <si>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</si>
  <si>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</si>
  <si>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</si>
  <si>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</si>
  <si>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</si>
  <si>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</si>
  <si>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</si>
  <si>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</si>
  <si>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</si>
  <si>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</si>
  <si>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</si>
  <si>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</si>
  <si>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</si>
  <si>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</si>
  <si>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</si>
  <si>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</si>
  <si>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</si>
  <si>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</si>
  <si>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</si>
  <si>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</si>
  <si>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</si>
  <si>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</si>
  <si>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</si>
  <si>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</si>
  <si>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</si>
  <si>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</si>
  <si>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</si>
  <si>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</si>
  <si>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</si>
  <si>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</si>
  <si>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</si>
  <si>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</si>
  <si>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</si>
  <si>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</si>
  <si>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</si>
  <si>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</si>
  <si>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</si>
  <si>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</si>
  <si>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</si>
  <si>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</si>
  <si>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</si>
  <si>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</si>
  <si>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</si>
  <si>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</si>
  <si>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</si>
  <si>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</si>
  <si>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</si>
  <si>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</si>
  <si>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</si>
  <si>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</si>
  <si>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</si>
  <si>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</si>
  <si>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</si>
  <si>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</si>
  <si>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</si>
  <si>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</si>
  <si>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</si>
  <si>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</si>
  <si>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</si>
  <si>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</si>
  <si>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</si>
  <si>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</si>
  <si>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</si>
  <si>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</si>
  <si>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</si>
  <si>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</si>
  <si>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</si>
  <si>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</si>
  <si>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</si>
  <si>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</si>
  <si>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</si>
  <si>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</si>
  <si>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</si>
  <si>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</si>
  <si>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</si>
  <si>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</si>
  <si>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</si>
  <si>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</si>
  <si>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</si>
  <si>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</si>
  <si>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</si>
  <si>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</si>
  <si>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</si>
  <si>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</si>
  <si>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</si>
  <si>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</si>
  <si>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</si>
  <si>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</si>
  <si>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</si>
  <si>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</si>
  <si>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</si>
  <si>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</si>
  <si>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</si>
  <si>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</si>
  <si>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</si>
  <si>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</si>
  <si>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</si>
  <si>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</si>
  <si>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</si>
  <si>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</si>
  <si>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</si>
  <si>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</si>
  <si>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</si>
  <si>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</si>
  <si>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</si>
  <si>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</si>
  <si>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</si>
  <si>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</si>
  <si>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</si>
  <si>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</si>
  <si>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</si>
  <si>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</si>
  <si>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</si>
  <si>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</si>
  <si>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</si>
  <si>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</si>
  <si>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</si>
  <si>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</si>
  <si>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</si>
  <si>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</si>
  <si>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</si>
  <si>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</si>
  <si>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</si>
  <si>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</si>
  <si>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</si>
  <si>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</si>
  <si>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</si>
  <si>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</si>
  <si>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</si>
  <si>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</si>
  <si>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</si>
  <si>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</si>
  <si>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</si>
  <si>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</si>
  <si>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</si>
  <si>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</si>
  <si>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</si>
  <si>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</si>
  <si>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</si>
  <si>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</si>
  <si>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</si>
  <si>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</si>
  <si>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</si>
  <si>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</si>
  <si>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</si>
  <si>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</si>
  <si>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</si>
  <si>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</si>
  <si>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</si>
  <si>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</si>
  <si>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</si>
  <si>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</si>
  <si>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</si>
  <si>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</si>
  <si>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</si>
  <si>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</si>
  <si>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</si>
  <si>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</si>
  <si>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</si>
  <si>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</si>
  <si>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</si>
  <si>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</si>
  <si>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</si>
  <si>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</si>
  <si>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</si>
  <si>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</si>
  <si>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</si>
  <si>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</si>
  <si>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</si>
  <si>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</si>
  <si>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</si>
  <si>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</si>
  <si>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</si>
  <si>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</si>
  <si>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</si>
  <si>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</si>
  <si>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</si>
  <si>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</si>
  <si>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</si>
  <si>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</si>
  <si>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</si>
  <si>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</si>
  <si>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</si>
  <si>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</si>
  <si>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</si>
  <si>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</si>
  <si>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</si>
  <si>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</si>
  <si>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</si>
  <si>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</si>
  <si>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</si>
  <si>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</si>
  <si>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</si>
  <si>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</si>
  <si>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</si>
  <si>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</si>
  <si>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</si>
  <si>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</si>
  <si>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</si>
  <si>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</si>
  <si>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</si>
  <si>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</si>
  <si>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</si>
  <si>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</si>
  <si>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</si>
  <si>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</si>
  <si>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</si>
  <si>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</si>
  <si>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</si>
  <si>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</si>
  <si>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</si>
  <si>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</si>
  <si>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</si>
  <si>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</si>
  <si>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</si>
  <si>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</si>
  <si>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</si>
  <si>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</si>
  <si>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</si>
  <si>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</si>
  <si>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</si>
  <si>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</si>
  <si>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</si>
  <si>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</si>
  <si>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</si>
  <si>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</si>
  <si>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</si>
  <si>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</si>
  <si>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</si>
  <si>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</si>
  <si>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</si>
  <si>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</si>
  <si>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</si>
  <si>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</si>
  <si>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</si>
  <si>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</si>
  <si>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</si>
  <si>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</si>
  <si>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</si>
  <si>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</si>
  <si>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</si>
  <si>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</si>
  <si>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</si>
  <si>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</si>
  <si>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</si>
  <si>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</si>
  <si>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</si>
  <si>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</si>
  <si>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</si>
  <si>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</si>
  <si>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</si>
  <si>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</si>
  <si>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</si>
  <si>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</si>
  <si>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</si>
  <si>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</si>
  <si>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</si>
  <si>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</si>
  <si>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</si>
  <si>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</si>
  <si>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</si>
  <si>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</si>
  <si>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</si>
  <si>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</si>
  <si>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</si>
  <si>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</si>
  <si>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</si>
  <si>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</si>
  <si>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</si>
  <si>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</si>
  <si>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</si>
  <si>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</si>
  <si>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</si>
  <si>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</si>
  <si>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</si>
  <si>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</si>
  <si>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</si>
  <si>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</si>
  <si>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</si>
  <si>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</si>
  <si>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</si>
  <si>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</si>
  <si>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</si>
  <si>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</si>
  <si>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</si>
  <si>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</si>
  <si>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</si>
  <si>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</si>
  <si>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</si>
  <si>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</si>
  <si>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</si>
  <si>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</si>
  <si>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</si>
  <si>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</si>
  <si>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</si>
  <si>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</si>
  <si>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</si>
  <si>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</si>
  <si>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</si>
  <si>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</si>
  <si>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</si>
  <si>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</si>
  <si>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</si>
  <si>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</si>
  <si>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</si>
  <si>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</si>
  <si>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</si>
  <si>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</si>
  <si>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</si>
  <si>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</si>
  <si>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</si>
  <si>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</si>
  <si>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</si>
  <si>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</si>
  <si>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</si>
  <si>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</si>
  <si>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</si>
  <si>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</si>
  <si>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</si>
  <si>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</si>
  <si>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</si>
  <si>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</si>
  <si>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</si>
  <si>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</si>
  <si>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</si>
  <si>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</si>
  <si>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</si>
  <si>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</si>
  <si>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</si>
  <si>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</si>
  <si>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</si>
  <si>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</si>
  <si>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</si>
  <si>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</si>
  <si>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</si>
  <si>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</si>
  <si>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</si>
  <si>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</si>
  <si>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</si>
  <si>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</si>
  <si>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</si>
  <si>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</si>
  <si>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</si>
  <si>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</si>
  <si>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</si>
  <si>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</si>
  <si>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</si>
  <si>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</si>
  <si>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</si>
  <si>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</si>
  <si>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</si>
  <si>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</si>
  <si>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</si>
  <si>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</si>
  <si>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</si>
  <si>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</si>
  <si>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</si>
  <si>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</si>
  <si>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</si>
  <si>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</si>
  <si>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</si>
  <si>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</si>
  <si>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</si>
  <si>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</si>
  <si>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</si>
  <si>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</si>
  <si>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</si>
  <si>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</si>
  <si>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</si>
  <si>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</si>
  <si>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</si>
  <si>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</si>
  <si>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</si>
  <si>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</si>
  <si>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</si>
  <si>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</si>
  <si>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</si>
  <si>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</si>
  <si>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</si>
  <si>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</si>
  <si>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</si>
  <si>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</si>
  <si>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</si>
  <si>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</si>
  <si>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</si>
  <si>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</si>
  <si>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</si>
  <si>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</si>
  <si>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</si>
  <si>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</si>
  <si>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</si>
  <si>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</si>
  <si>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</si>
  <si>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</si>
  <si>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</si>
  <si>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</si>
  <si>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</si>
  <si>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</si>
  <si>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</si>
  <si>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</si>
  <si>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</si>
  <si>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</si>
  <si>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</si>
  <si>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</si>
  <si>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</si>
  <si>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</si>
  <si>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</si>
  <si>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</si>
  <si>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</si>
  <si>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</si>
  <si>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</si>
  <si>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</si>
  <si>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</si>
  <si>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</si>
  <si>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</si>
  <si>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</si>
  <si>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</si>
  <si>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</si>
  <si>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</si>
  <si>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</si>
  <si>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</si>
  <si>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</si>
  <si>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</si>
  <si>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</si>
  <si>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</si>
  <si>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</si>
  <si>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</si>
  <si>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</si>
  <si>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</si>
  <si>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</si>
  <si>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</si>
  <si>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</si>
  <si>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</si>
  <si>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</si>
  <si>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</si>
  <si>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</si>
  <si>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</si>
  <si>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</si>
  <si>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</si>
  <si>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</si>
  <si>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</si>
  <si>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</si>
  <si>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</si>
  <si>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</si>
  <si>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</si>
  <si>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</si>
  <si>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</si>
  <si>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</si>
  <si>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</si>
  <si>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</si>
  <si>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</si>
  <si>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</si>
  <si>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</si>
  <si>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</si>
  <si>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</si>
  <si>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</si>
  <si>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</si>
  <si>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</si>
  <si>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</si>
  <si>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</si>
  <si>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</si>
  <si>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</si>
  <si>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</si>
  <si>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</si>
  <si>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</si>
  <si>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</si>
  <si>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</si>
  <si>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</si>
  <si>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</si>
  <si>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</si>
  <si>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</si>
  <si>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</si>
  <si>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</si>
  <si>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</si>
  <si>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</si>
  <si>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</si>
  <si>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</si>
  <si>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</si>
  <si>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</si>
  <si>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</si>
  <si>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</si>
  <si>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</si>
  <si>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</si>
  <si>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</si>
  <si>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</si>
  <si>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</si>
  <si>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</si>
  <si>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</si>
  <si>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</si>
  <si>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</si>
  <si>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</si>
  <si>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</si>
  <si>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</si>
  <si>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</si>
  <si>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</si>
  <si>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</si>
  <si>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</si>
  <si>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</si>
  <si>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</si>
  <si>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</si>
  <si>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</si>
  <si>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</si>
  <si>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</si>
  <si>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</si>
  <si>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</si>
  <si>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</si>
  <si>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</si>
  <si>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</si>
  <si>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</si>
  <si>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</si>
  <si>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</si>
  <si>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</si>
  <si>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</si>
  <si>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</si>
  <si>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</si>
  <si>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</si>
  <si>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</si>
  <si>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</si>
  <si>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</si>
  <si>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</si>
  <si>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</si>
  <si>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</si>
  <si>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</si>
  <si>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</si>
  <si>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</si>
  <si>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</si>
  <si>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</si>
  <si>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</si>
  <si>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</si>
  <si>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</si>
  <si>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</si>
  <si>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</si>
  <si>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</si>
  <si>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</si>
  <si>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</si>
  <si>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</si>
  <si>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</si>
  <si>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</si>
  <si>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</si>
  <si>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</si>
  <si>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</si>
  <si>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</si>
  <si>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</si>
  <si>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</si>
  <si>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</si>
  <si>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</si>
  <si>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</si>
  <si>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</si>
  <si>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</si>
  <si>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</si>
  <si>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</si>
  <si>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</si>
  <si>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</si>
  <si>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</si>
  <si>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</si>
  <si>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</si>
  <si>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</si>
  <si>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</si>
  <si>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</si>
  <si>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</si>
  <si>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</si>
  <si>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</si>
  <si>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</si>
  <si>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</si>
  <si>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</si>
  <si>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</si>
  <si>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</si>
  <si>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</si>
  <si>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</si>
  <si>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</si>
  <si>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</si>
  <si>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</si>
  <si>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</si>
  <si>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</si>
  <si>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</si>
  <si>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</si>
  <si>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</si>
  <si>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</si>
  <si>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</si>
  <si>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</si>
  <si>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</si>
  <si>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</si>
  <si>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</si>
  <si>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</si>
  <si>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</si>
  <si>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</si>
  <si>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</si>
  <si>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</si>
  <si>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</si>
  <si>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</si>
  <si>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</si>
  <si>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</si>
  <si>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</si>
  <si>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</si>
  <si>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</si>
  <si>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</si>
  <si>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</si>
  <si>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</si>
  <si>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</si>
  <si>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</si>
  <si>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</si>
  <si>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</si>
  <si>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</si>
  <si>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</si>
  <si>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</si>
  <si>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</si>
  <si>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</si>
  <si>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</si>
  <si>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</si>
  <si>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</si>
  <si>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</si>
  <si>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</si>
  <si>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</si>
  <si>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</si>
  <si>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</si>
  <si>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</si>
  <si>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</si>
  <si>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</si>
  <si>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</si>
  <si>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</si>
  <si>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</si>
  <si>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</si>
  <si>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</si>
  <si>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</si>
  <si>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</si>
  <si>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</si>
  <si>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</si>
  <si>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</si>
  <si>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</si>
  <si>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</si>
  <si>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</si>
  <si>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</si>
  <si>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</si>
  <si>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</si>
  <si>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</si>
  <si>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</si>
  <si>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</si>
  <si>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</si>
  <si>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</si>
  <si>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</si>
  <si>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</si>
  <si>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</si>
  <si>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</si>
  <si>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</si>
  <si>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</si>
  <si>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</si>
  <si>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</si>
  <si>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</si>
  <si>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</si>
  <si>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</si>
  <si>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</si>
  <si>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</si>
  <si>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</si>
  <si>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</si>
  <si>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</si>
  <si>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</si>
  <si>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</si>
  <si>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</si>
  <si>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</si>
  <si>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</si>
  <si>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</si>
  <si>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</si>
  <si>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</si>
  <si>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</si>
  <si>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</si>
  <si>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</si>
  <si>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</si>
  <si>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</si>
  <si>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</si>
  <si>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</si>
  <si>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</si>
  <si>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</si>
  <si>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</si>
  <si>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</si>
  <si>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</si>
  <si>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</si>
  <si>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</si>
  <si>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</si>
  <si>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</si>
  <si>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</si>
  <si>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</si>
  <si>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</si>
  <si>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</si>
  <si>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</si>
  <si>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</si>
  <si>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</si>
  <si>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</si>
  <si>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</si>
  <si>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</si>
  <si>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</si>
  <si>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</si>
  <si>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</si>
  <si>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</si>
  <si>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</si>
  <si>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</si>
  <si>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</si>
  <si>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</si>
  <si>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</si>
  <si>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</si>
  <si>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</si>
  <si>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</si>
  <si>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</si>
  <si>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</si>
  <si>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</si>
  <si>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</si>
  <si>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</si>
  <si>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</si>
  <si>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</si>
  <si>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</si>
  <si>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</si>
  <si>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</si>
  <si>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</si>
  <si>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</si>
  <si>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</si>
  <si>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</si>
  <si>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</si>
  <si>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</si>
  <si>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</si>
  <si>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</si>
  <si>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</si>
  <si>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</si>
  <si>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</si>
  <si>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</si>
  <si>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</si>
  <si>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</si>
  <si>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</si>
  <si>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</si>
  <si>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</si>
  <si>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</si>
  <si>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</si>
  <si>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</si>
  <si>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</si>
  <si>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</si>
  <si>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</si>
  <si>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</si>
  <si>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</si>
  <si>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</si>
  <si>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</si>
  <si>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</si>
  <si>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</si>
  <si>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</si>
  <si>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</si>
  <si>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</si>
  <si>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</si>
  <si>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</si>
  <si>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</si>
  <si>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</si>
  <si>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</si>
  <si>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</si>
  <si>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</si>
  <si>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</si>
  <si>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</si>
  <si>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</si>
  <si>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</si>
  <si>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</si>
  <si>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</si>
  <si>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</si>
  <si>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</si>
  <si>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</si>
  <si>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</si>
  <si>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</si>
  <si>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</si>
  <si>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</si>
  <si>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</si>
  <si>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</si>
  <si>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</si>
  <si>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</si>
  <si>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</si>
  <si>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</si>
  <si>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</si>
  <si>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</si>
  <si>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</si>
  <si>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</si>
  <si>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</si>
  <si>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</si>
  <si>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</si>
  <si>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</si>
  <si>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</si>
  <si>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</si>
  <si>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</si>
  <si>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</si>
  <si>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</si>
  <si>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</si>
  <si>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</si>
  <si>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</si>
  <si>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</si>
  <si>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</si>
  <si>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</si>
  <si>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</si>
  <si>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</si>
  <si>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</si>
  <si>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</si>
  <si>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</si>
  <si>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</si>
  <si>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</si>
  <si>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</si>
  <si>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</si>
  <si>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</si>
  <si>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</si>
  <si>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</si>
  <si>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</si>
  <si>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</si>
  <si>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</si>
  <si>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</si>
  <si>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</si>
  <si>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</si>
  <si>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</si>
  <si>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</si>
  <si>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</si>
  <si>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</si>
  <si>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</si>
  <si>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</si>
  <si>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</si>
  <si>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</si>
  <si>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</si>
  <si>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</si>
  <si>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</si>
  <si>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</si>
  <si>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</si>
  <si>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</si>
  <si>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</si>
  <si>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</si>
  <si>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</si>
  <si>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</si>
  <si>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</si>
  <si>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</si>
  <si>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</si>
  <si>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</si>
  <si>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</si>
  <si>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</si>
  <si>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</si>
  <si>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</si>
  <si>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</si>
  <si>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</si>
  <si>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</si>
  <si>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</si>
  <si>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</si>
  <si>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</si>
  <si>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</si>
  <si>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</si>
  <si>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</si>
  <si>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</si>
  <si>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</si>
  <si>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</si>
  <si>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</si>
  <si>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</si>
  <si>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</si>
  <si>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</si>
  <si>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</si>
  <si>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</si>
  <si>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</si>
  <si>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</si>
  <si>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</si>
  <si>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</si>
  <si>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</si>
  <si>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</si>
  <si>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</si>
  <si>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</si>
  <si>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</si>
  <si>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</si>
  <si>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</si>
  <si>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</si>
  <si>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</si>
  <si>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</si>
  <si>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</si>
  <si>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</si>
  <si>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</si>
  <si>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</si>
  <si>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</si>
  <si>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</si>
  <si>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</si>
  <si>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</si>
  <si>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</si>
  <si>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</si>
  <si>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</si>
  <si>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</si>
  <si>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</si>
  <si>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</si>
  <si>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</si>
  <si>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</si>
  <si>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</si>
  <si>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</si>
  <si>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</si>
  <si>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</si>
  <si>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</si>
  <si>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</si>
  <si>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</si>
  <si>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</si>
  <si>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</si>
  <si>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</si>
  <si>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</si>
  <si>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</si>
  <si>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</si>
  <si>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</si>
  <si>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</si>
  <si>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</si>
  <si>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</si>
  <si>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</si>
  <si>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</si>
  <si>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</si>
  <si>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</si>
  <si>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</si>
  <si>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</si>
  <si>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</si>
  <si>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</si>
  <si>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</si>
  <si>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</si>
  <si>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</si>
  <si>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</si>
  <si>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</si>
  <si>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</si>
  <si>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</si>
  <si>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</si>
  <si>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</si>
  <si>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</si>
  <si>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</si>
  <si>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</si>
  <si>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</si>
  <si>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</si>
  <si>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</si>
  <si>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</si>
  <si>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</si>
  <si>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</si>
  <si>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</si>
  <si>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</si>
  <si>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</si>
  <si>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</si>
  <si>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</si>
  <si>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</si>
  <si>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</si>
  <si>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</si>
  <si>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</si>
  <si>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</si>
  <si>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</si>
  <si>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</si>
  <si>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</si>
  <si>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</si>
  <si>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</si>
  <si>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</si>
  <si>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</si>
  <si>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</si>
  <si>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</si>
  <si>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</si>
  <si>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</si>
  <si>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</si>
  <si>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</si>
  <si>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</si>
  <si>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</si>
  <si>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</si>
  <si>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</si>
  <si>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</si>
  <si>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</si>
  <si>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</si>
  <si>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</si>
  <si>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</si>
  <si>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</si>
  <si>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</si>
  <si>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</si>
  <si>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</si>
  <si>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</si>
  <si>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</si>
  <si>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</si>
  <si>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</si>
  <si>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</si>
  <si>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</si>
  <si>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</si>
  <si>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</si>
  <si>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</si>
  <si>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</si>
  <si>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</si>
  <si>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</si>
  <si>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</si>
  <si>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</si>
  <si>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</si>
  <si>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</si>
  <si>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</si>
  <si>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</si>
  <si>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</si>
  <si>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</si>
  <si>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</si>
  <si>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</si>
  <si>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</si>
  <si>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</si>
  <si>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</si>
  <si>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</si>
  <si>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</si>
  <si>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</si>
  <si>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</si>
  <si>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</si>
  <si>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</si>
  <si>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</si>
  <si>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</si>
  <si>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</si>
  <si>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</si>
  <si>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</si>
  <si>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</si>
  <si>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</si>
  <si>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</si>
  <si>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</si>
  <si>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</si>
  <si>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</si>
  <si>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</si>
  <si>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</si>
  <si>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</si>
  <si>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</si>
  <si>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</si>
  <si>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</si>
  <si>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</si>
  <si>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</si>
  <si>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</si>
  <si>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</si>
  <si>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</si>
  <si>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</si>
  <si>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</si>
  <si>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</si>
  <si>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</si>
  <si>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</si>
  <si>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</si>
  <si>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</si>
  <si>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</si>
  <si>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</si>
  <si>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</si>
  <si>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</si>
  <si>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</si>
  <si>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</si>
  <si>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</si>
  <si>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</si>
  <si>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</si>
  <si>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</si>
  <si>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</si>
  <si>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</si>
  <si>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</si>
  <si>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</si>
  <si>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</si>
  <si>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</si>
  <si>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</si>
  <si>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</si>
  <si>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</si>
  <si>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</si>
  <si>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</si>
  <si>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</si>
  <si>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</si>
  <si>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</si>
  <si>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</si>
  <si>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</si>
  <si>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</si>
  <si>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</si>
  <si>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</si>
  <si>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</si>
  <si>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</si>
  <si>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</si>
  <si>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</si>
  <si>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</si>
  <si>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</si>
  <si>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</si>
  <si>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</si>
  <si>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</si>
  <si>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</si>
  <si>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</si>
  <si>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</si>
  <si>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</si>
  <si>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</si>
  <si>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</si>
  <si>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</si>
  <si>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</si>
  <si>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</si>
  <si>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</si>
  <si>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</si>
  <si>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</si>
  <si>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</si>
  <si>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</si>
  <si>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</si>
  <si>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</si>
  <si>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</si>
  <si>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</si>
  <si>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</si>
  <si>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</si>
  <si>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</si>
  <si>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</si>
  <si>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</si>
  <si>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</si>
  <si>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</si>
  <si>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</si>
  <si>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</si>
  <si>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</si>
  <si>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</si>
  <si>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</si>
  <si>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</si>
  <si>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</si>
  <si>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</si>
  <si>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</si>
  <si>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</si>
  <si>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</si>
  <si>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</si>
  <si>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</si>
  <si>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</si>
  <si>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</si>
  <si>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</si>
  <si>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</si>
  <si>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</si>
  <si>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</si>
  <si>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</si>
  <si>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</si>
  <si>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</si>
  <si>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</si>
  <si>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</si>
  <si>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</si>
  <si>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</si>
  <si>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</si>
  <si>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</si>
  <si>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</si>
  <si>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</si>
  <si>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</si>
  <si>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</si>
  <si>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</si>
  <si>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</si>
  <si>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</si>
  <si>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</si>
  <si>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</si>
  <si>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</si>
  <si>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</si>
  <si>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</si>
  <si>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</si>
  <si>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</si>
  <si>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</si>
  <si>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</si>
  <si>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</si>
  <si>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</si>
  <si>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</si>
  <si>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</si>
  <si>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</si>
  <si>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</si>
  <si>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</si>
  <si>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</si>
  <si>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</si>
  <si>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</si>
  <si>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</si>
  <si>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</si>
  <si>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</si>
  <si>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</si>
  <si>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</si>
  <si>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</si>
  <si>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</si>
  <si>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</si>
  <si>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</si>
  <si>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</si>
  <si>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</si>
  <si>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</si>
  <si>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</si>
  <si>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</si>
  <si>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</si>
  <si>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</si>
  <si>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</si>
  <si>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</si>
  <si>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</si>
  <si>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</si>
  <si>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</si>
  <si>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</si>
  <si>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</si>
  <si>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</si>
  <si>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</si>
  <si>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</si>
  <si>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</si>
  <si>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</si>
  <si>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</si>
  <si>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</si>
  <si>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</si>
  <si>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</si>
  <si>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</si>
  <si>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</si>
  <si>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</si>
  <si>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</si>
  <si>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</si>
  <si>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</si>
  <si>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</si>
  <si>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</si>
  <si>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</si>
  <si>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</si>
  <si>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</si>
  <si>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</si>
  <si>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</si>
  <si>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</si>
  <si>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</si>
  <si>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</si>
  <si>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</si>
  <si>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</si>
  <si>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</si>
  <si>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</si>
  <si>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</si>
  <si>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</si>
  <si>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</si>
  <si>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</si>
  <si>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</si>
  <si>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</si>
  <si>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</si>
  <si>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</si>
  <si>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</si>
  <si>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</si>
  <si>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</si>
  <si>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</si>
  <si>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</si>
  <si>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</si>
  <si>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</si>
  <si>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</si>
  <si>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</si>
  <si>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</si>
  <si>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</si>
  <si>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</si>
  <si>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</si>
  <si>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</si>
  <si>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</si>
  <si>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</si>
  <si>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</si>
  <si>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</si>
  <si>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</si>
  <si>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</si>
  <si>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</si>
  <si>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</si>
  <si>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</si>
  <si>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</si>
  <si>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</si>
  <si>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</si>
  <si>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</si>
  <si>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</si>
  <si>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</si>
  <si>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</si>
  <si>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</si>
  <si>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</si>
  <si>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</si>
  <si>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</si>
  <si>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</si>
  <si>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</si>
  <si>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</si>
  <si>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</si>
  <si>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</si>
  <si>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</si>
  <si>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</si>
  <si>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</si>
  <si>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</si>
  <si>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</si>
  <si>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</si>
  <si>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</si>
  <si>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</si>
  <si>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</si>
  <si>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</si>
  <si>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</si>
  <si>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</si>
  <si>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</si>
  <si>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</si>
  <si>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</si>
  <si>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</si>
  <si>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</si>
  <si>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</si>
  <si>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</si>
  <si>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</si>
  <si>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</si>
  <si>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</si>
  <si>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</si>
  <si>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</si>
  <si>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</si>
  <si>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</si>
  <si>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</si>
  <si>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</si>
  <si>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</si>
  <si>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</si>
  <si>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</si>
  <si>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</si>
  <si>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</si>
  <si>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</si>
  <si>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</si>
  <si>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</si>
  <si>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</si>
  <si>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</si>
  <si>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</si>
  <si>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</si>
  <si>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</si>
  <si>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</si>
  <si>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</si>
  <si>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</si>
  <si>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</si>
  <si>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</si>
  <si>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</si>
  <si>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</si>
  <si>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</si>
  <si>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</si>
  <si>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</si>
  <si>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</si>
  <si>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</si>
  <si>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</si>
  <si>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</si>
  <si>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</si>
  <si>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</si>
  <si>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</si>
  <si>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</si>
  <si>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</si>
  <si>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</si>
  <si>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</si>
  <si>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</si>
  <si>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</si>
  <si>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</si>
  <si>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</si>
  <si>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</si>
  <si>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</si>
  <si>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</si>
  <si>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</si>
  <si>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</si>
  <si>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</si>
  <si>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</si>
  <si>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</si>
  <si>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</si>
  <si>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</si>
  <si>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</si>
  <si>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</si>
  <si>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</si>
  <si>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</si>
  <si>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</si>
  <si>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</si>
  <si>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</si>
  <si>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</si>
  <si>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</si>
  <si>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</si>
  <si>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</si>
  <si>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</si>
  <si>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</si>
  <si>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</si>
  <si>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</si>
  <si>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</si>
  <si>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</si>
  <si>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</si>
  <si>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</si>
  <si>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</si>
  <si>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</si>
  <si>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</si>
  <si>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</si>
  <si>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</si>
  <si>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</si>
  <si>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</si>
  <si>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</si>
  <si>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</si>
  <si>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</si>
  <si>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</si>
  <si>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</si>
  <si>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</si>
  <si>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</si>
  <si>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</si>
  <si>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</si>
  <si>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</si>
  <si>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</si>
  <si>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</si>
  <si>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</si>
  <si>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</si>
  <si>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</si>
  <si>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</si>
  <si>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</si>
  <si>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</si>
  <si>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</si>
  <si>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</si>
  <si>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</si>
  <si>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</si>
  <si>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</si>
  <si>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</si>
  <si>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</si>
  <si>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</si>
  <si>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</si>
  <si>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</si>
  <si>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</si>
  <si>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</si>
  <si>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</si>
  <si>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</si>
  <si>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</si>
  <si>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</si>
  <si>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</si>
  <si>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</si>
  <si>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</si>
  <si>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</si>
  <si>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</si>
  <si>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</si>
  <si>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</si>
  <si>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</si>
  <si>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</si>
  <si>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</si>
  <si>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</si>
  <si>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</si>
  <si>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</si>
  <si>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</si>
  <si>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</si>
  <si>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</si>
  <si>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</si>
  <si>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</si>
  <si>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</si>
  <si>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</si>
  <si>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</si>
  <si>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</si>
  <si>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</si>
  <si>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</si>
  <si>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</si>
  <si>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</si>
  <si>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</si>
  <si>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</si>
  <si>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</si>
  <si>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</si>
  <si>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</si>
  <si>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</si>
  <si>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</si>
  <si>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</si>
  <si>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</si>
  <si>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</si>
  <si>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</si>
  <si>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</si>
  <si>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</si>
  <si>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</si>
  <si>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</si>
  <si>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</si>
  <si>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</si>
  <si>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</si>
  <si>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</si>
  <si>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</si>
  <si>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</si>
  <si>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</si>
  <si>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</si>
  <si>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</si>
  <si>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</si>
  <si>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</si>
  <si>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</si>
  <si>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</si>
  <si>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</si>
  <si>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</si>
  <si>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</si>
  <si>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</si>
  <si>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</si>
  <si>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</si>
  <si>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</si>
  <si>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</si>
  <si>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</si>
  <si>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</si>
  <si>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</si>
  <si>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</si>
  <si>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</si>
  <si>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</si>
  <si>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</si>
  <si>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</si>
  <si>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</si>
  <si>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</si>
  <si>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</si>
  <si>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</si>
  <si>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</si>
  <si>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</si>
  <si>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</si>
  <si>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</si>
  <si>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</si>
  <si>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</si>
  <si>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</si>
  <si>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</si>
  <si>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</si>
  <si>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</si>
  <si>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</si>
  <si>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</si>
  <si>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</si>
  <si>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</si>
  <si>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</si>
  <si>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</si>
  <si>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</si>
  <si>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</si>
  <si>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</si>
  <si>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</si>
  <si>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</si>
  <si>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</si>
  <si>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</si>
  <si>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</si>
  <si>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</si>
  <si>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</si>
  <si>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</si>
  <si>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</si>
  <si>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</si>
  <si>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</si>
  <si>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</si>
  <si>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</si>
  <si>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</si>
  <si>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</si>
  <si>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</si>
  <si>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</si>
  <si>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</si>
  <si>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</si>
  <si>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</si>
  <si>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</si>
  <si>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</si>
  <si>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</si>
  <si>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</si>
  <si>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</si>
  <si>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</si>
  <si>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</si>
  <si>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</si>
  <si>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</si>
  <si>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</si>
  <si>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</si>
  <si>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</si>
  <si>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</si>
  <si>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</si>
  <si>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</si>
  <si>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</si>
  <si>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</si>
  <si>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</si>
  <si>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</si>
  <si>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</si>
  <si>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</si>
  <si>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</si>
  <si>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</si>
  <si>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</si>
  <si>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</si>
  <si>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</si>
  <si>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</si>
  <si>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</si>
  <si>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</si>
  <si>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</si>
  <si>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</si>
  <si>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</si>
  <si>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</si>
  <si>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</si>
  <si>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</si>
  <si>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</si>
  <si>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</si>
  <si>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</si>
  <si>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</si>
  <si>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</si>
  <si>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</si>
  <si>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</si>
  <si>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</si>
  <si>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</si>
  <si>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</si>
  <si>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</si>
  <si>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</si>
  <si>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</si>
  <si>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</si>
  <si>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</si>
  <si>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</si>
  <si>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</si>
  <si>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</si>
  <si>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</si>
  <si>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</si>
  <si>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</si>
  <si>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</si>
  <si>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</si>
  <si>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</si>
  <si>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</si>
  <si>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</si>
  <si>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</si>
  <si>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</si>
  <si>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</si>
  <si>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</si>
  <si>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</si>
  <si>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</si>
  <si>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</si>
  <si>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</si>
  <si>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</si>
  <si>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</si>
  <si>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</si>
  <si>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</si>
  <si>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</si>
  <si>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</si>
  <si>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</si>
  <si>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</si>
  <si>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</si>
  <si>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</si>
  <si>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</si>
  <si>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</si>
  <si>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</si>
  <si>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</si>
  <si>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</si>
  <si>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</si>
  <si>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</si>
  <si>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</si>
  <si>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</si>
  <si>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</si>
  <si>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</si>
  <si>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</si>
  <si>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</si>
  <si>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</si>
  <si>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</si>
  <si>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</si>
  <si>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</si>
  <si>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</si>
  <si>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</si>
  <si>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</si>
  <si>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</si>
  <si>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</si>
  <si>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</si>
  <si>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</si>
  <si>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</si>
  <si>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</si>
  <si>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</si>
  <si>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</si>
  <si>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</si>
  <si>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</si>
  <si>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</si>
  <si>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</si>
  <si>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</si>
  <si>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</si>
  <si>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</si>
  <si>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</si>
  <si>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</si>
  <si>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</si>
  <si>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</si>
  <si>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</si>
  <si>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</si>
  <si>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</si>
  <si>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</si>
  <si>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</si>
  <si>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</si>
  <si>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</si>
  <si>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</si>
  <si>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</si>
  <si>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</si>
  <si>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</si>
  <si>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</si>
  <si>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</si>
  <si>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</si>
  <si>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</si>
  <si>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</si>
  <si>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</si>
  <si>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</si>
  <si>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</si>
  <si>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</si>
  <si>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</si>
  <si>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</si>
  <si>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</si>
  <si>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</si>
  <si>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</si>
  <si>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</si>
  <si>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</si>
  <si>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</si>
  <si>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</si>
  <si>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</si>
  <si>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</si>
  <si>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</si>
  <si>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</si>
  <si>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</si>
  <si>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</si>
  <si>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</si>
  <si>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</si>
  <si>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</si>
  <si>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</si>
  <si>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</si>
  <si>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</si>
  <si>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</si>
  <si>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</si>
  <si>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</si>
  <si>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</si>
  <si>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</si>
  <si>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</si>
  <si>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</si>
  <si>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</si>
  <si>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</si>
  <si>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</si>
  <si>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</si>
  <si>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</si>
  <si>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</si>
  <si>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</si>
  <si>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</si>
  <si>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</si>
  <si>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</si>
  <si>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</si>
  <si>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</si>
  <si>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</si>
  <si>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</si>
  <si>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</si>
  <si>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</si>
  <si>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</si>
  <si>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</si>
  <si>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</si>
  <si>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</si>
  <si>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</si>
  <si>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</si>
  <si>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</si>
  <si>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</si>
  <si>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</si>
  <si>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</si>
  <si>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</si>
  <si>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</si>
  <si>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</si>
  <si>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</si>
  <si>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</si>
  <si>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</si>
  <si>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</si>
  <si>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</si>
  <si>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</si>
  <si>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</si>
  <si>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</si>
  <si>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</si>
  <si>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</si>
  <si>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</si>
  <si>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</si>
  <si>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</si>
  <si>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</si>
  <si>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</si>
  <si>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</si>
  <si>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</si>
  <si>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</si>
  <si>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</si>
  <si>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</si>
  <si>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</si>
  <si>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</si>
  <si>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</si>
  <si>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</si>
  <si>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</si>
  <si>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</si>
  <si>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</si>
  <si>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</si>
  <si>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</si>
  <si>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</si>
  <si>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</si>
  <si>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</si>
  <si>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</si>
  <si>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</si>
  <si>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</si>
  <si>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</si>
  <si>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</si>
  <si>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</si>
  <si>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</si>
  <si>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</si>
  <si>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</si>
  <si>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</si>
  <si>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</si>
  <si>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</si>
  <si>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</si>
  <si>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</si>
  <si>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</si>
  <si>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</si>
  <si>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</si>
  <si>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</si>
  <si>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</si>
  <si>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</si>
  <si>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</si>
  <si>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</si>
  <si>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</si>
  <si>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</si>
  <si>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</si>
  <si>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</si>
  <si>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</si>
  <si>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</si>
  <si>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</si>
  <si>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</si>
  <si>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</si>
  <si>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</si>
  <si>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</si>
  <si>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</si>
  <si>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</si>
  <si>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</si>
  <si>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</si>
  <si>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</si>
  <si>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</si>
  <si>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</si>
  <si>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</si>
  <si>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</si>
  <si>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</si>
  <si>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</si>
  <si>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</si>
  <si>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</si>
  <si>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</si>
  <si>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</si>
  <si>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</si>
  <si>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</si>
  <si>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</si>
  <si>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</si>
  <si>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</si>
  <si>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</si>
  <si>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</si>
  <si>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</si>
  <si>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</si>
  <si>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</si>
  <si>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</si>
  <si>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</si>
  <si>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</si>
  <si>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</si>
  <si>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</si>
  <si>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</si>
  <si>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</si>
  <si>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</si>
  <si>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</si>
  <si>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</si>
  <si>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</si>
  <si>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</si>
  <si>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</si>
  <si>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</si>
  <si>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</si>
  <si>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</si>
  <si>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</si>
  <si>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</si>
  <si>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</si>
  <si>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</si>
  <si>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</si>
  <si>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</si>
  <si>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</si>
  <si>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</si>
  <si>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</si>
  <si>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</si>
  <si>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</si>
  <si>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</si>
  <si>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</si>
  <si>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</si>
  <si>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</si>
  <si>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</si>
  <si>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</si>
  <si>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</si>
  <si>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</si>
  <si>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</si>
  <si>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</si>
  <si>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</si>
  <si>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</si>
  <si>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</si>
  <si>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</si>
  <si>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</si>
  <si>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</si>
  <si>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</si>
  <si>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</si>
  <si>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</si>
  <si>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</si>
  <si>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</si>
  <si>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</si>
  <si>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</si>
  <si>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</si>
  <si>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</si>
  <si>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</si>
  <si>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</si>
  <si>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</si>
  <si>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</si>
  <si>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</si>
  <si>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</si>
  <si>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</si>
  <si>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</si>
  <si>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</si>
  <si>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</si>
  <si>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</si>
  <si>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</si>
  <si>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</si>
  <si>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</si>
  <si>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</si>
  <si>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</si>
  <si>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</si>
  <si>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</si>
  <si>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</si>
  <si>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</si>
  <si>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</si>
  <si>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</si>
  <si>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</si>
  <si>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</si>
  <si>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</si>
  <si>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</si>
  <si>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</si>
  <si>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</si>
  <si>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</si>
  <si>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</si>
  <si>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</si>
  <si>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</si>
  <si>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</si>
  <si>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</si>
  <si>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</si>
  <si>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</si>
  <si>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</si>
  <si>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</si>
  <si>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</si>
  <si>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</si>
  <si>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</si>
  <si>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</si>
  <si>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</si>
  <si>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</si>
  <si>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</si>
  <si>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</si>
  <si>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</si>
  <si>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</si>
  <si>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</si>
  <si>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</si>
  <si>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</si>
  <si>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</si>
  <si>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</si>
  <si>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</si>
  <si>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</si>
  <si>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</si>
  <si>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</si>
  <si>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</si>
  <si>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</si>
  <si>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</si>
  <si>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</si>
  <si>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</si>
  <si>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</si>
  <si>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</si>
  <si>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</si>
  <si>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</si>
  <si>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</si>
  <si>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</si>
  <si>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</si>
  <si>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</si>
  <si>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</si>
  <si>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</si>
  <si>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</si>
  <si>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</si>
  <si>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</si>
  <si>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</si>
  <si>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</si>
  <si>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</si>
  <si>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</si>
  <si>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</si>
  <si>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</si>
  <si>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</si>
  <si>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</si>
  <si>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</si>
  <si>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</si>
  <si>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</si>
  <si>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</si>
  <si>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</si>
  <si>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</si>
  <si>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</si>
  <si>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</si>
  <si>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</si>
  <si>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</si>
  <si>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</si>
  <si>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</si>
  <si>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</si>
  <si>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</si>
  <si>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</si>
  <si>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</si>
  <si>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</si>
  <si>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</si>
  <si>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</si>
  <si>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</si>
  <si>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</si>
  <si>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</si>
  <si>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</si>
  <si>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</si>
  <si>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</si>
  <si>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</si>
  <si>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</si>
  <si>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</si>
  <si>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</si>
  <si>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</si>
  <si>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</si>
  <si>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</si>
  <si>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</si>
  <si>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</si>
  <si>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</si>
  <si>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</si>
  <si>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</si>
  <si>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</si>
  <si>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</si>
  <si>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</si>
  <si>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</si>
  <si>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</si>
  <si>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</si>
  <si>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</si>
  <si>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</si>
  <si>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</si>
  <si>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</si>
  <si>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</si>
  <si>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</si>
  <si>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</si>
  <si>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</si>
  <si>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</si>
  <si>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</si>
  <si>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</si>
  <si>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</si>
  <si>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</si>
  <si>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</si>
  <si>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</si>
  <si>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</si>
  <si>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</si>
  <si>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</si>
  <si>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</si>
  <si>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</si>
  <si>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</si>
  <si>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</si>
  <si>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</si>
  <si>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</si>
  <si>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</si>
  <si>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</si>
  <si>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</si>
  <si>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</si>
  <si>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</si>
  <si>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</si>
  <si>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</si>
  <si>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</si>
  <si>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</si>
  <si>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</si>
  <si>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</si>
  <si>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</si>
  <si>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</si>
  <si>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</si>
  <si>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</si>
  <si>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</si>
  <si>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</si>
  <si>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</si>
  <si>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</si>
  <si>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</si>
  <si>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</si>
  <si>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</si>
  <si>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</si>
  <si>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</si>
  <si>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</si>
  <si>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</si>
  <si>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</si>
  <si>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</si>
  <si>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</si>
  <si>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</si>
  <si>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</si>
  <si>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</si>
  <si>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</si>
  <si>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</si>
  <si>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</si>
  <si>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</si>
  <si>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</si>
  <si>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</si>
  <si>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</si>
  <si>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</si>
  <si>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</si>
  <si>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</si>
  <si>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</si>
  <si>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</si>
  <si>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</si>
  <si>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</si>
  <si>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</si>
  <si>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</si>
  <si>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</si>
  <si>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</si>
  <si>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</si>
  <si>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</si>
  <si>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</si>
  <si>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</si>
  <si>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</si>
  <si>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</si>
  <si>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</si>
  <si>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</si>
  <si>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</si>
  <si>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</si>
  <si>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</si>
  <si>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</si>
  <si>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</si>
  <si>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</si>
  <si>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</si>
  <si>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</si>
  <si>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</si>
  <si>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</si>
  <si>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</si>
  <si>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</si>
  <si>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</si>
  <si>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</si>
  <si>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</si>
  <si>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</si>
  <si>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</si>
  <si>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</si>
  <si>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</si>
  <si>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</si>
  <si>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</si>
  <si>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</si>
  <si>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</si>
  <si>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</si>
  <si>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</si>
  <si>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</si>
  <si>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</si>
  <si>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</si>
  <si>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</si>
  <si>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</si>
  <si>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</si>
  <si>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</si>
  <si>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</si>
  <si>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</si>
  <si>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</si>
  <si>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</si>
  <si>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</si>
  <si>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</si>
  <si>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</si>
  <si>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</si>
  <si>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</si>
  <si>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</si>
  <si>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</si>
  <si>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</si>
  <si>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</si>
  <si>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</si>
  <si>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</si>
  <si>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</si>
  <si>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</si>
  <si>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</si>
  <si>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</si>
  <si>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</si>
  <si>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</si>
  <si>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</si>
  <si>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</si>
  <si>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</si>
  <si>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</si>
  <si>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</si>
  <si>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</si>
  <si>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</si>
  <si>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</si>
  <si>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</si>
  <si>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王鹏</t>
  </si>
  <si>
    <t>郑燚</t>
  </si>
  <si>
    <t>中信信托有限责任公司</t>
  </si>
  <si>
    <t>江苏瀚瑞投资控股有限公司</t>
  </si>
  <si>
    <t>抵押</t>
  </si>
  <si>
    <t>抵押价格</t>
  </si>
  <si>
    <t>江苏省镇江市</t>
  </si>
  <si>
    <t>其他：</t>
  </si>
  <si>
    <t>企业</t>
  </si>
  <si>
    <t>镇江新区丁岗三三八省道北321102092092GB01229W00000000号一宗住宅、商业用地</t>
  </si>
  <si>
    <t>城镇住宅、商务金融用地</t>
  </si>
  <si>
    <t>住宅、商业用地</t>
  </si>
  <si>
    <t>《不动产权证书》[苏（2018）镇江市不动产权第9000056号]</t>
  </si>
  <si>
    <t>《国有建设用地使用权出让合同》及附件[编号：3211232010CR012]、《土地情况说明》</t>
  </si>
  <si>
    <t>符合</t>
  </si>
  <si>
    <t>一致</t>
  </si>
  <si>
    <t>出让</t>
  </si>
  <si>
    <t>商业</t>
  </si>
  <si>
    <t>住宅61.9年、商业31.9年</t>
    <phoneticPr fontId="3" type="noConversion"/>
  </si>
  <si>
    <t>否</t>
  </si>
  <si>
    <t>场地平整</t>
  </si>
  <si>
    <t>平整</t>
  </si>
  <si>
    <t>通路</t>
  </si>
  <si>
    <t>通电</t>
  </si>
  <si>
    <t>通讯</t>
  </si>
  <si>
    <t>通上水</t>
  </si>
  <si>
    <t>通下水</t>
  </si>
  <si>
    <t>燃气</t>
  </si>
  <si>
    <t>地上</t>
  </si>
  <si>
    <t>省会市名称</t>
  </si>
  <si>
    <t>建筑型式</t>
  </si>
  <si>
    <t>多层</t>
  </si>
  <si>
    <t>小高层</t>
  </si>
  <si>
    <t>高层</t>
  </si>
  <si>
    <t>南京</t>
  </si>
  <si>
    <t>1461</t>
  </si>
  <si>
    <t>1754</t>
  </si>
  <si>
    <t>2083</t>
  </si>
  <si>
    <t>请录依据文件名称：《江苏省物价局、财政厅关于镇江市城市市政公用基础设施配套费问题的批复》[苏价服[2003]115号]
http://wjj.wuxi.gov.cn/doc/2014/10/20/333448.shtml</t>
    <phoneticPr fontId="3" type="noConversion"/>
  </si>
  <si>
    <t>不动产收益法</t>
  </si>
  <si>
    <t>土地（套用方法）</t>
  </si>
  <si>
    <t>按租金收入计税</t>
  </si>
  <si>
    <t>钢混</t>
  </si>
  <si>
    <t>售价</t>
  </si>
  <si>
    <t>比较法-住宅、综合</t>
  </si>
  <si>
    <t>剩余法-待开发</t>
  </si>
  <si>
    <t>项目全部</t>
  </si>
  <si>
    <t>土地</t>
  </si>
  <si>
    <t>楼面地价</t>
  </si>
  <si>
    <t>较好</t>
  </si>
  <si>
    <t>较好</t>
    <phoneticPr fontId="26" type="noConversion"/>
  </si>
  <si>
    <t>六通一平</t>
  </si>
  <si>
    <t>六通一平</t>
    <phoneticPr fontId="26" type="noConversion"/>
  </si>
  <si>
    <t>五通一平</t>
    <phoneticPr fontId="26" type="noConversion"/>
  </si>
  <si>
    <t>四通一平</t>
    <phoneticPr fontId="26" type="noConversion"/>
  </si>
  <si>
    <t>三通一平</t>
    <phoneticPr fontId="26" type="noConversion"/>
  </si>
  <si>
    <t>较规则</t>
  </si>
  <si>
    <t>较规则</t>
    <phoneticPr fontId="26" type="noConversion"/>
  </si>
  <si>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</si>
  <si>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</si>
  <si>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</si>
  <si>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</si>
  <si>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</si>
  <si>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</si>
  <si>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</si>
  <si>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</si>
  <si>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</si>
  <si>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</si>
  <si>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</si>
  <si>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</si>
  <si>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</si>
  <si>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</si>
  <si>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</si>
  <si>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</si>
  <si>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</si>
  <si>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</si>
  <si>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</si>
  <si>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</si>
  <si>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</si>
  <si>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</si>
  <si>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</si>
  <si>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边城镇东昌路西侧局部地块</t>
  </si>
  <si>
    <t>镇江市</t>
  </si>
  <si>
    <t>住宅用地</t>
  </si>
  <si>
    <t>2018-J3-10</t>
  </si>
  <si>
    <t>中低价位、中小套型普通商品住房用地</t>
  </si>
  <si>
    <t>大于1并且小于2</t>
  </si>
  <si>
    <t>2018-10-26</t>
  </si>
  <si>
    <t>句经地交告[2018]字第3号</t>
  </si>
  <si>
    <t>句容边城投资开发有限公司</t>
  </si>
  <si>
    <t>70年</t>
  </si>
  <si>
    <t>文昌东路南侧、高骊山路西侧局部地块</t>
  </si>
  <si>
    <t>2018-J3-01</t>
  </si>
  <si>
    <t>大于1并且小于2.5</t>
  </si>
  <si>
    <t>镇江润华置业有限公司</t>
  </si>
  <si>
    <t>后白镇茶香苑路北侧局部地块</t>
  </si>
  <si>
    <t>2018-J3-07</t>
  </si>
  <si>
    <t>大于1并且小于1.5</t>
  </si>
  <si>
    <t>句容市圣华投资发展有限公司</t>
  </si>
  <si>
    <t>白兔镇大行线西侧、122省道北侧局部地块B</t>
  </si>
  <si>
    <t>2018-J3-09</t>
  </si>
  <si>
    <t>句容市兴兔投资发展有限公司</t>
  </si>
  <si>
    <t>白兔镇大行线西侧、122省道北侧局部地块A</t>
  </si>
  <si>
    <t>2018-J3-08</t>
  </si>
  <si>
    <t>句容市银鹏房地产开发总公司</t>
  </si>
  <si>
    <t>DT1808</t>
  </si>
  <si>
    <t>综合用地(含住宅)</t>
  </si>
  <si>
    <t>丹徒区高桥镇</t>
  </si>
  <si>
    <t>商住、其他普通商品住房用地</t>
  </si>
  <si>
    <t>1＜容积率≤1.69</t>
  </si>
  <si>
    <t>2018-10-09</t>
  </si>
  <si>
    <t>丹徒区挂[2018]13号</t>
  </si>
  <si>
    <t>镇江高桥市政投资建设有限公司</t>
  </si>
  <si>
    <t>2018-5-6秀山美苑安置房地块</t>
  </si>
  <si>
    <t>谷阳路以南,朱岗路以东</t>
  </si>
  <si>
    <t>2018-5-6</t>
  </si>
  <si>
    <t>商住、中低价位、中小套型普通商品住房用地</t>
  </si>
  <si>
    <t>1＜容积率≤1.76</t>
  </si>
  <si>
    <t>2018-09-28</t>
  </si>
  <si>
    <t>镇江市本级挂[2018]J5号</t>
  </si>
  <si>
    <t>镇江市润州区土地房屋开发总公司</t>
  </si>
  <si>
    <t>焦山路以东,禹山路以北</t>
  </si>
  <si>
    <t>2018-5-1</t>
  </si>
  <si>
    <t>1＜容积率≤2.40</t>
  </si>
  <si>
    <t>南京昱庭房地产开发有限公司</t>
  </si>
  <si>
    <t>2018-5-3华诚安置房地块</t>
  </si>
  <si>
    <t>谏辛路以西,月湖路以南</t>
  </si>
  <si>
    <t>2018-5-3</t>
  </si>
  <si>
    <t>1＜容积率≤1.90</t>
  </si>
  <si>
    <t>镇江华源置业有限公司</t>
  </si>
  <si>
    <t>2018-5-4富润华庭安置房地块</t>
  </si>
  <si>
    <t>福馨路以北</t>
  </si>
  <si>
    <t>2018-5-4</t>
  </si>
  <si>
    <t>1＜容积率≤1.74</t>
  </si>
  <si>
    <t>镇江市诚润置业有限公司</t>
  </si>
  <si>
    <t>2018-5-5金润大道北一号安置房地块</t>
  </si>
  <si>
    <t>金润大道以北,润兴路以东</t>
  </si>
  <si>
    <t>2018-5-5</t>
  </si>
  <si>
    <t>1＜容积率≤2.50</t>
  </si>
  <si>
    <t>隆昌路南侧、杨塘路北侧局部地块A</t>
  </si>
  <si>
    <t>2018-J2-2-06</t>
  </si>
  <si>
    <t>大于1并且小于2.2</t>
  </si>
  <si>
    <t>2018-08-31</t>
  </si>
  <si>
    <t>句经地交告[2018]字第2-2号</t>
  </si>
  <si>
    <t>江苏句容新农控股集团有限公司</t>
  </si>
  <si>
    <t>杨塘路南侧、句卓路东侧局部地块B</t>
  </si>
  <si>
    <t>2018-J2-2-03</t>
  </si>
  <si>
    <t>句容弘业房地产开发有限公司</t>
  </si>
  <si>
    <t>长龙山路南侧、二圣路北侧局部地块</t>
  </si>
  <si>
    <t>2018-J2-2-04</t>
  </si>
  <si>
    <t>大于1并且小于3.5</t>
  </si>
  <si>
    <t>宁杭南路东侧、河滨西路西侧局部地块</t>
  </si>
  <si>
    <t>2018-J2-2-01</t>
  </si>
  <si>
    <t>隆昌路南侧、杨塘路北侧局部地块B</t>
  </si>
  <si>
    <t>2018-J2-2-07</t>
  </si>
  <si>
    <t>杨塘路南侧、句卓路东侧局部地块A</t>
  </si>
  <si>
    <t>2018-J2-2-02</t>
  </si>
  <si>
    <t>通宁路北侧、建业路东侧局部地块</t>
  </si>
  <si>
    <t>2018-J2-2-05</t>
  </si>
  <si>
    <t>隆昌路南侧、杨塘路北侧局部地块C</t>
  </si>
  <si>
    <t>2018-J2-2-08</t>
  </si>
  <si>
    <t>句容市开发区黄梅新村局部地块C</t>
  </si>
  <si>
    <t>2018-J1-2-03</t>
  </si>
  <si>
    <t>2018-08-29</t>
  </si>
  <si>
    <t>句经地交告[2018]字第1-2号</t>
  </si>
  <si>
    <t>句容市开发区黄梅新村局部地块J</t>
  </si>
  <si>
    <t>2018-J1-2-10</t>
  </si>
  <si>
    <t>句容市开发区黄梅新村局部地块H</t>
  </si>
  <si>
    <t>2018-J1-2-08</t>
  </si>
  <si>
    <t>句容市开发区黄梅新村局部地块E</t>
  </si>
  <si>
    <t>2018-J1-2-05</t>
  </si>
  <si>
    <t>句容市开发区黄梅新村局部地块I</t>
  </si>
  <si>
    <t>2018-J1-2-09</t>
  </si>
  <si>
    <t>句容市开发区黄梅新村局部地块K</t>
  </si>
  <si>
    <t>2018-J1-2-11</t>
  </si>
  <si>
    <t>句容市开发区黄梅新村局部地块F</t>
  </si>
  <si>
    <t>2018-J1-2-06</t>
  </si>
  <si>
    <t>句容市开发区黄梅新村局部地块G</t>
  </si>
  <si>
    <t>2018-J1-2-07</t>
  </si>
  <si>
    <t>句容市开发区黄梅新村局部地块L</t>
  </si>
  <si>
    <t>2018-J1-2-12</t>
  </si>
  <si>
    <t>句容市开发区黄梅新村局部地块D</t>
  </si>
  <si>
    <t>2018-J1-2-04</t>
  </si>
  <si>
    <t>句容市开发区黄梅新村局部地块A</t>
  </si>
  <si>
    <t>2018-J1-2-01</t>
  </si>
  <si>
    <t>句容市开发区黄梅新村局部地块B</t>
  </si>
  <si>
    <t>2018-J1-2-02</t>
  </si>
  <si>
    <t>后白镇柴家村西侧局部地块B</t>
  </si>
  <si>
    <t>2018-J2-1-05</t>
  </si>
  <si>
    <t>大于1并且小于1.1</t>
  </si>
  <si>
    <t>2018-08-22</t>
  </si>
  <si>
    <t>句经地交告[2018]字第2-1号</t>
  </si>
  <si>
    <t>江苏韵城文化旅游投资发展有限公司</t>
  </si>
  <si>
    <t>后白镇柴家村西侧局部地块A</t>
  </si>
  <si>
    <t>2018-J2-1-04</t>
  </si>
  <si>
    <t>宁杭北路东侧、赤岗路西侧局部地块</t>
  </si>
  <si>
    <t>2018-J2-1-15</t>
  </si>
  <si>
    <t>大于1并且小于5.5</t>
  </si>
  <si>
    <t>南京明发新城置业有限公司</t>
  </si>
  <si>
    <t>天王镇东顶水库南侧局部地块</t>
  </si>
  <si>
    <t>2018-J2-1-09</t>
  </si>
  <si>
    <t>句容市大美置业有限公司</t>
  </si>
  <si>
    <t>句容市开发区宁杭快速路以北、西部干线以西局部地块B</t>
  </si>
  <si>
    <t>2018-J2-1-13</t>
  </si>
  <si>
    <t>商住用地</t>
  </si>
  <si>
    <t>40年</t>
  </si>
  <si>
    <t>后白镇柴家村西侧局部地块D</t>
  </si>
  <si>
    <t>2018-J2-1-07</t>
  </si>
  <si>
    <t>句容市开发区宁杭快速路以北、西部干线以西局部地块A</t>
  </si>
  <si>
    <t>2018-J2-1-12</t>
  </si>
  <si>
    <t>茅山镇春华路东侧局部地块</t>
  </si>
  <si>
    <t>2018-J2-1-02</t>
  </si>
  <si>
    <t>大于1并且小于1.05</t>
  </si>
  <si>
    <t>江苏茅宝葛业有限公司</t>
  </si>
  <si>
    <t>后白镇柴家村西侧局部地块C</t>
  </si>
  <si>
    <t>2018-J2-1-06</t>
  </si>
  <si>
    <t>郭庄镇宁溧公路西侧、机场大道北侧局部地块</t>
  </si>
  <si>
    <t>2018-J2-1-01</t>
  </si>
  <si>
    <t>大于1并且小于2.8</t>
  </si>
  <si>
    <t>句容美高房地产开发有限公司</t>
  </si>
  <si>
    <t>后白镇柴家村西侧局部地块E</t>
  </si>
  <si>
    <t>2018-J2-1-08</t>
  </si>
  <si>
    <t>洪武路东侧、文昌中路南侧地块</t>
  </si>
  <si>
    <t>2018-J2-1-14</t>
  </si>
  <si>
    <t>大于1并且小于1.6</t>
  </si>
  <si>
    <t>江苏省句容经济开发区房地产开发总公司以</t>
  </si>
  <si>
    <t>曲阿路西侧,兰陵路北侧</t>
  </si>
  <si>
    <t>G1810</t>
  </si>
  <si>
    <t>＞1,≤2</t>
  </si>
  <si>
    <t>2018-07-20</t>
  </si>
  <si>
    <t>丹阳市网挂[2018]经营02号-2</t>
  </si>
  <si>
    <t>丹阳市融锦宏星置业发展有限公司</t>
  </si>
  <si>
    <t>创业路西侧</t>
  </si>
  <si>
    <t>G1811</t>
  </si>
  <si>
    <t>＞1,≤2.2</t>
  </si>
  <si>
    <t>丹阳市网挂[2018]经营02号-3</t>
  </si>
  <si>
    <t>丹阳市天怡房屋建设开发有限责任公司</t>
  </si>
  <si>
    <t>九曲路南侧</t>
  </si>
  <si>
    <t>G1809</t>
  </si>
  <si>
    <t>丹阳市网挂[2018]经营02号-1</t>
  </si>
  <si>
    <t>大亚科技集团有限公司</t>
  </si>
  <si>
    <t>兴港东路以北,普照路以西</t>
  </si>
  <si>
    <t>2018-4-2</t>
  </si>
  <si>
    <t>住宅*中低价位、中小套型普通商品住房用地</t>
  </si>
  <si>
    <t>1＜容积率≤1.95</t>
  </si>
  <si>
    <t>2018-06-29</t>
  </si>
  <si>
    <t>镇江市本级挂[2018]J4号-2</t>
  </si>
  <si>
    <t>江苏瑞城房地产开发有限公司</t>
  </si>
  <si>
    <t>云台山西侧</t>
  </si>
  <si>
    <t>2018-4-1</t>
  </si>
  <si>
    <t>住宅*其他普通商品住房用地</t>
  </si>
  <si>
    <t>1＜容积率≤1.30</t>
  </si>
  <si>
    <t>镇江市本级挂[2018]J4号-1</t>
  </si>
  <si>
    <t>无锡红豆置业有限公司</t>
  </si>
  <si>
    <t>水关路西侧</t>
  </si>
  <si>
    <t>G1805</t>
  </si>
  <si>
    <t>＞1,≤3.5</t>
  </si>
  <si>
    <t>2018-06-28</t>
  </si>
  <si>
    <t>丹阳市网挂[2018]经营01号-5</t>
  </si>
  <si>
    <t>江苏和美置业有限公司</t>
  </si>
  <si>
    <t>丝绸路南侧</t>
  </si>
  <si>
    <t>G1804</t>
  </si>
  <si>
    <t>＞1,≤2.5</t>
  </si>
  <si>
    <t>丹阳市网挂[2018]经营01号-4</t>
  </si>
  <si>
    <t>丹阳市金鼎投资有限公司</t>
  </si>
  <si>
    <t>丹句路北侧</t>
  </si>
  <si>
    <t>G1801</t>
  </si>
  <si>
    <t>丹阳市网挂[2018]经营01号-1</t>
  </si>
  <si>
    <t>丹阳市白鹤高新技术产业发展有限公司</t>
  </si>
  <si>
    <t>G1803</t>
  </si>
  <si>
    <t>丹阳市网挂[2018]经营01号-3</t>
  </si>
  <si>
    <t>银杏路北侧</t>
  </si>
  <si>
    <t>G1806</t>
  </si>
  <si>
    <t>丹阳市网挂[2018]经营01号-6</t>
  </si>
  <si>
    <t>丝绸路北侧、运河西路西侧</t>
  </si>
  <si>
    <t>G1802</t>
  </si>
  <si>
    <t>＞1,≤1.5</t>
  </si>
  <si>
    <t>丹阳市网挂[2018]经营01号-2</t>
  </si>
  <si>
    <t>丹阳市通泰房地产开发有限公司</t>
  </si>
  <si>
    <t>谷阳路以东,纬八路以北</t>
  </si>
  <si>
    <t>2018-3-1</t>
  </si>
  <si>
    <t>住宅、其他普通商品住房用地</t>
  </si>
  <si>
    <t>1＜容积率≤1.80</t>
  </si>
  <si>
    <t>2018-06-14</t>
  </si>
  <si>
    <t>镇江市本级挂[2018]J3号-1</t>
  </si>
  <si>
    <t>镇江凤凰文化地产有限公司</t>
  </si>
  <si>
    <t>智慧大道以西,四平山路以南</t>
  </si>
  <si>
    <t>2018-3-3</t>
  </si>
  <si>
    <t>1＜容积率≤2.30</t>
  </si>
  <si>
    <t>镇江市本级挂[2018]J3号-3</t>
  </si>
  <si>
    <t>金辉地产</t>
  </si>
  <si>
    <t>纬一路以北,经五路以西</t>
  </si>
  <si>
    <t>2018-3-2</t>
  </si>
  <si>
    <t>镇江市本级挂[2018]J3号-2</t>
  </si>
  <si>
    <t>镇江嘉源</t>
  </si>
  <si>
    <t>新扬北路东侧、天后宫路南侧</t>
  </si>
  <si>
    <t>扬土(2018)交-5号</t>
  </si>
  <si>
    <t>其他普通商品住房用地</t>
  </si>
  <si>
    <t>大于或等于1.2并且小于或等于1.8</t>
  </si>
  <si>
    <t>2018-05-28</t>
  </si>
  <si>
    <t>扬国土交[2018]2号</t>
  </si>
  <si>
    <t>江苏汇锦置业有限公司</t>
  </si>
  <si>
    <t>迎宾大道北侧、新扬南路东侧、三沙路西侧</t>
  </si>
  <si>
    <t>扬土(2018)交-4号</t>
  </si>
  <si>
    <t>大于或等于1.2并且小于或等于2.2</t>
  </si>
  <si>
    <t>南京市高淳区碧桂园房地产开发有限公司</t>
  </si>
  <si>
    <t>华阳北路西侧、文昌中路北侧局部地块</t>
  </si>
  <si>
    <t>2018-J1-1-02</t>
  </si>
  <si>
    <t>大于1并且小于3</t>
  </si>
  <si>
    <t>2018-05-25</t>
  </si>
  <si>
    <t>句经地交告[2018]字第1-1号</t>
  </si>
  <si>
    <t>句容市新城房产建设有限公司</t>
  </si>
  <si>
    <t>宝华镇经二路西侧局部地块</t>
  </si>
  <si>
    <t>2018-J1-1-07</t>
  </si>
  <si>
    <t>江苏利都房地产开发有限公司</t>
  </si>
  <si>
    <t>义台街中山路西侧、东大街南侧局部地块</t>
  </si>
  <si>
    <t>2018-J1-1-01</t>
  </si>
  <si>
    <t>大于1并且小于1.9</t>
  </si>
  <si>
    <t>江苏万宏置业集团有限公司</t>
  </si>
  <si>
    <t>赤岗路西侧、中兴路南侧局部地块A</t>
  </si>
  <si>
    <t>2018-J1-1-04</t>
  </si>
  <si>
    <t>大于1并且小于1.8</t>
  </si>
  <si>
    <t>南京齐垠置业有限公司</t>
  </si>
  <si>
    <t>赤岗路西侧、中兴路南侧局部地块B</t>
  </si>
  <si>
    <t>2018-J1-1-05</t>
  </si>
  <si>
    <t>句容亿丰房地产开发有限公司</t>
  </si>
  <si>
    <t>丹徒区宝堰镇</t>
  </si>
  <si>
    <t>DT1515</t>
  </si>
  <si>
    <t>商住</t>
  </si>
  <si>
    <t>1＜容积率≤1.20</t>
  </si>
  <si>
    <t>2018-05-02</t>
  </si>
  <si>
    <t>丹徒区挂[2018]6号</t>
  </si>
  <si>
    <t>镇江华建置业有限公司</t>
  </si>
  <si>
    <t>檀山路以东,团山路以北</t>
  </si>
  <si>
    <t>2018-2-1</t>
  </si>
  <si>
    <t>1＜容积率≤3.23</t>
  </si>
  <si>
    <t>2018-03-30</t>
  </si>
  <si>
    <t>镇江市本级挂[2018]2号</t>
  </si>
  <si>
    <t>恒通建设集团有限公司</t>
  </si>
  <si>
    <t>茅以升路以东,谷阳中大道以北</t>
  </si>
  <si>
    <t>2018-2-5</t>
  </si>
  <si>
    <t>1＜容积率≤2</t>
  </si>
  <si>
    <t>苏州天地源房地产开发有限公司</t>
  </si>
  <si>
    <t>蚕桑路以南,蚕宝路以西</t>
  </si>
  <si>
    <t>2018-2-3</t>
  </si>
  <si>
    <t>1＜容积率≤2.20</t>
  </si>
  <si>
    <t>镇江润都置业有限公司</t>
  </si>
  <si>
    <t>茅以升路以东,龙山路以南</t>
  </si>
  <si>
    <t>2018-2-4</t>
  </si>
  <si>
    <t>1＜容积率≤1.65</t>
  </si>
  <si>
    <t>联发集团扬州房地产开发有限公司</t>
  </si>
  <si>
    <t>七里路以北,金蚕路以西</t>
  </si>
  <si>
    <t>2018-2-2</t>
  </si>
  <si>
    <t>南京美的房地产发展有限公司</t>
  </si>
  <si>
    <t>茅山管委会茅山大道东侧、万寿路南侧</t>
  </si>
  <si>
    <t>2017-J10-4-04</t>
  </si>
  <si>
    <t>2018-03-21</t>
  </si>
  <si>
    <t>句经地交告[2017]字第10-4号</t>
  </si>
  <si>
    <t>江苏金象旅游发展有限公司</t>
  </si>
  <si>
    <t>句兴路南侧、致远路东侧</t>
  </si>
  <si>
    <t>2017-J10-3-06</t>
  </si>
  <si>
    <t>2018-03-16</t>
  </si>
  <si>
    <t>句经地交告[2017]字第10-3号</t>
  </si>
  <si>
    <t>圣晖莱(句容)新能源科技有限公司</t>
  </si>
  <si>
    <t>丹徒区上党镇</t>
  </si>
  <si>
    <t>DT1702</t>
  </si>
  <si>
    <t>商住/其他普通商品住房用地</t>
  </si>
  <si>
    <t>1＜容积率≤1.99</t>
  </si>
  <si>
    <t>丹徒区挂[2018]5号</t>
  </si>
  <si>
    <t>镇江上党生态汽车配套产业园投资有限公司</t>
  </si>
  <si>
    <t>2017-J10-3-05</t>
  </si>
  <si>
    <t>2017-J10-3-04</t>
  </si>
  <si>
    <t>丹徒区宜城街道</t>
  </si>
  <si>
    <t>DT1334</t>
  </si>
  <si>
    <t>1＜容积率≤1.85</t>
  </si>
  <si>
    <t>2018-03-15</t>
  </si>
  <si>
    <t>丹徒区挂[2018]3号</t>
  </si>
  <si>
    <t>镇江丰泰房地产开发有限公司</t>
  </si>
  <si>
    <t>开发区经六路东侧、兴园路南侧</t>
  </si>
  <si>
    <t>扬土(2018)交-2号</t>
  </si>
  <si>
    <t>大于或等于1.1并且小于或等于2</t>
  </si>
  <si>
    <t>2018-03-12</t>
  </si>
  <si>
    <t>扬国土交[2018]1号</t>
  </si>
  <si>
    <t>扬中市大行开发建设有限公司</t>
  </si>
  <si>
    <t>扬中市开发区港湾新城东侧、兴旺东路北侧</t>
  </si>
  <si>
    <t>扬土(2018)交-1号</t>
  </si>
  <si>
    <t>春城路南侧、高骊山路西侧</t>
  </si>
  <si>
    <t>2017-J10-2-02</t>
  </si>
  <si>
    <t>2018-03-09</t>
  </si>
  <si>
    <t>句经地交告[2017]字第10-2号</t>
  </si>
  <si>
    <t>融侨集团、新城控股联合体</t>
  </si>
  <si>
    <t>义台街人民路南侧,中山路西侧</t>
  </si>
  <si>
    <t>2017-10-1-10</t>
  </si>
  <si>
    <t>大于1并且小于2.6</t>
  </si>
  <si>
    <t>2018-02-24</t>
  </si>
  <si>
    <t>句经地交告[2017]字第10-1号</t>
  </si>
  <si>
    <t>茅山镇春潘路北侧</t>
  </si>
  <si>
    <t>2017-10-1-06</t>
  </si>
  <si>
    <t>大于1并且小于1.4</t>
  </si>
  <si>
    <t>句容市春城乡村旅游发展有限公司</t>
  </si>
  <si>
    <t>华阳东路南侧,北大街西侧</t>
  </si>
  <si>
    <t>2017-10-1-08</t>
  </si>
  <si>
    <t>镇江昌旺房地产开发有限公司</t>
  </si>
  <si>
    <t>2017-10-1-05</t>
  </si>
  <si>
    <t>宝华镇玉兰路西侧、纬十七路北侧</t>
  </si>
  <si>
    <t>2017-10-1-22</t>
  </si>
  <si>
    <t>江苏宝华碧桂园置业有限公司</t>
  </si>
  <si>
    <t>宝华镇经二路西侧、牡丹西路南侧</t>
  </si>
  <si>
    <t>2017-10-1-18</t>
  </si>
  <si>
    <t>句容宝碧房地产开发有限公司</t>
  </si>
  <si>
    <t>下蜀镇亭华路北侧、康乐路东侧</t>
  </si>
  <si>
    <t>2017-10-1-07</t>
  </si>
  <si>
    <t>句容市沿江经济开发有限公司</t>
  </si>
  <si>
    <t>宝华镇经二路西侧、牡丹西路北侧</t>
  </si>
  <si>
    <t>2017-10-1-19</t>
  </si>
  <si>
    <t>边城镇东昌路西侧</t>
  </si>
  <si>
    <t>2017-10-1-03</t>
  </si>
  <si>
    <t>宝华镇滨河路西侧、宝一路南侧</t>
  </si>
  <si>
    <t>2017-10-1-20</t>
  </si>
  <si>
    <t>句容市宝玉兰置业有限公司</t>
  </si>
  <si>
    <t>隆昌路南侧、肖杆路西侧</t>
  </si>
  <si>
    <t>2017-10-1-13</t>
  </si>
  <si>
    <t>句容市环城房地产开发有限公司</t>
  </si>
  <si>
    <t>2017-10-1-02</t>
  </si>
  <si>
    <t>2017-10-1-15</t>
  </si>
  <si>
    <t>2017-10-1-21</t>
  </si>
  <si>
    <t>义台街东大街南侧,中山路西侧</t>
  </si>
  <si>
    <t>2017-10-1-09</t>
  </si>
  <si>
    <t>2017-10-1-14</t>
  </si>
  <si>
    <t>兴港东路北,普照路西</t>
  </si>
  <si>
    <t>2018-1-8</t>
  </si>
  <si>
    <t>商住*中低价位、中小套型普通商品住房用地</t>
  </si>
  <si>
    <t>2018-02-12</t>
  </si>
  <si>
    <t>镇江市本级挂[2018]1号</t>
  </si>
  <si>
    <t>DT1708</t>
  </si>
  <si>
    <t>1＜容积率≤1.68</t>
  </si>
  <si>
    <t>2018-01-23</t>
  </si>
  <si>
    <t>丹徒区挂[2017]11号</t>
  </si>
  <si>
    <t>丹徒新区建设发展公司</t>
  </si>
  <si>
    <t>宜禾路南侧新扬路东侧</t>
  </si>
  <si>
    <t>扬土(2017)交-27号</t>
  </si>
  <si>
    <t>大于或等于1.1并且小于或等于3.28</t>
  </si>
  <si>
    <t>2017-12-21</t>
  </si>
  <si>
    <t>扬国土交[2017]5号</t>
  </si>
  <si>
    <t>镇江保扬置业有限公司</t>
  </si>
  <si>
    <t>迎宾大道北侧、菲尔斯金陵大酒店西北侧</t>
  </si>
  <si>
    <t>扬土(2017)交-23A号</t>
  </si>
  <si>
    <t>扬中市恒瑞置业有限公司</t>
  </si>
  <si>
    <t>西来桥镇福兴路北侧、育才路西侧</t>
  </si>
  <si>
    <t>扬土(2017)交-26号</t>
  </si>
  <si>
    <t>大于或等于1.1并且小于或等于2.35</t>
  </si>
  <si>
    <t>镇江市巨华置业有限公司</t>
  </si>
  <si>
    <t>滨江大道北侧、迎江大道东侧、奥体中心南侧</t>
  </si>
  <si>
    <t>扬土(2017)交-24B号</t>
  </si>
  <si>
    <t>大于或等于1.1并且小于或等于1.6</t>
  </si>
  <si>
    <t>扬土(2017)交-24A号</t>
  </si>
  <si>
    <t>扬土(2017)交-23B号</t>
  </si>
  <si>
    <t>学府路以北、谷阳路以东</t>
  </si>
  <si>
    <t>2017-4-2</t>
  </si>
  <si>
    <t>2017-12-07</t>
  </si>
  <si>
    <t>镇江市本级挂[2017]4号</t>
  </si>
  <si>
    <t>镇江启迪协信科技城发展有限公司</t>
  </si>
  <si>
    <t>盛丹路以北、金谷路以东</t>
  </si>
  <si>
    <t>2017-4-6</t>
  </si>
  <si>
    <t>江苏南碧房地产开发有限公司</t>
  </si>
  <si>
    <t>经五路以西、丁卯桥路以南</t>
  </si>
  <si>
    <t>2017-4-7</t>
  </si>
  <si>
    <t>1＜容积率≤2.34</t>
  </si>
  <si>
    <t>南京建设发展集团有限公司</t>
  </si>
  <si>
    <t>百花路以北、镜天路以东</t>
  </si>
  <si>
    <t>2017-4-4</t>
  </si>
  <si>
    <t>长江路以北、金山湖路以西</t>
  </si>
  <si>
    <t>2017-4-5</t>
  </si>
  <si>
    <t>南京新城万嘉房地产有限公司</t>
  </si>
  <si>
    <t>长江路以南,双井路以西</t>
  </si>
  <si>
    <t>2017-4-3</t>
  </si>
  <si>
    <t>1＜容积率≤3.20</t>
  </si>
  <si>
    <t>无锡极富房地产开发有限公司(富力)</t>
  </si>
  <si>
    <t>学府路以南、老山路两侧</t>
  </si>
  <si>
    <t>2017-4-1</t>
  </si>
  <si>
    <t>1＜容积率≤1.35</t>
  </si>
  <si>
    <t>江苏南碧房地产开发有限公司(碧桂园)</t>
  </si>
  <si>
    <t>经七路以东、纬四路以北</t>
  </si>
  <si>
    <t>2017-4-8</t>
  </si>
  <si>
    <t>1＜容积率≤2.11</t>
  </si>
  <si>
    <t>江苏大港置业有限公司+南京融创房地产开发有限公司</t>
  </si>
  <si>
    <t>原金门公司东侧、大众二号点西侧</t>
  </si>
  <si>
    <t>扬土(2017)交-20号</t>
  </si>
  <si>
    <t>大于或等于1.1并且小于或等于1.21</t>
  </si>
  <si>
    <t>2017-11-17</t>
  </si>
  <si>
    <t>扬国土交[2017]4号</t>
  </si>
  <si>
    <t>顾鸿泰、徐怀金、季小娟、施玉芳、祝宇帆、祝善安</t>
  </si>
  <si>
    <t>市区鸣翠山庄东侧、迎宾大道北侧</t>
  </si>
  <si>
    <t>扬土(2017)交-17号</t>
  </si>
  <si>
    <t>大于或等于1.1并且小于或等于1.3</t>
  </si>
  <si>
    <t>扬中市新飞明城城市开发有限公司</t>
  </si>
  <si>
    <t>市区花园路城东安置点二期南侧</t>
  </si>
  <si>
    <t>扬土(2017)交-19号</t>
  </si>
  <si>
    <t>大于或等于1.1并且小于或等于1.4</t>
  </si>
  <si>
    <t>丹徒区高资镇</t>
  </si>
  <si>
    <t>DT1212</t>
  </si>
  <si>
    <t>1＜容积率≤2.65</t>
  </si>
  <si>
    <t>2017-11-03</t>
  </si>
  <si>
    <t>丹徒区挂[2017]7号</t>
  </si>
  <si>
    <t>江苏省丹徒经济开发区房地产开发公司</t>
  </si>
  <si>
    <t>丹徒区宜城街道、谷阳镇</t>
  </si>
  <si>
    <t>DT1514</t>
  </si>
  <si>
    <t>1＜容积率≤2.23</t>
  </si>
  <si>
    <t>DT1461</t>
  </si>
  <si>
    <t>1＜容积率≤1.92</t>
  </si>
  <si>
    <t>镇江市丹徒区兴城建设开发公司</t>
  </si>
  <si>
    <t>DT1701</t>
  </si>
  <si>
    <t>1＜容积率≤2.05</t>
  </si>
  <si>
    <t>DT1406-4</t>
  </si>
  <si>
    <t>1＜容积率≤1.53</t>
  </si>
  <si>
    <t>华阳镇宁杭南路东侧、长龙山路南侧</t>
  </si>
  <si>
    <t>2017-9-01</t>
  </si>
  <si>
    <t>大于1并且小于2.7</t>
  </si>
  <si>
    <t>2017-11-01</t>
  </si>
  <si>
    <t>句经地交告[2017]字第9号</t>
  </si>
  <si>
    <t>新城控股集团股份有限公司</t>
  </si>
  <si>
    <t>S241西侧,水关西路北侧</t>
  </si>
  <si>
    <t>G1734</t>
  </si>
  <si>
    <t>＞1且≤2.5</t>
  </si>
  <si>
    <t>2017-10-18</t>
  </si>
  <si>
    <t>丹阳市网挂[2017]经营01号</t>
  </si>
  <si>
    <t>丹阳市安居工程建设投资有限公司</t>
  </si>
  <si>
    <t>胡高路北侧</t>
  </si>
  <si>
    <t>G1741</t>
  </si>
  <si>
    <t>＞1且≤1.3</t>
  </si>
  <si>
    <t>丹阳金港置业有限公司</t>
  </si>
  <si>
    <t>G1742</t>
  </si>
  <si>
    <t>陵口镇货场路北侧</t>
  </si>
  <si>
    <t>G1743</t>
  </si>
  <si>
    <t>＞1且≤1.8</t>
  </si>
  <si>
    <t>南三环路南侧</t>
  </si>
  <si>
    <t>G1731</t>
  </si>
  <si>
    <t>丹阳高新区投资发展有限公司</t>
  </si>
  <si>
    <t>北二环路北侧</t>
  </si>
  <si>
    <t>G1735</t>
  </si>
  <si>
    <t>＞1且≤3</t>
  </si>
  <si>
    <t>西环路东侧</t>
  </si>
  <si>
    <t>G1732</t>
  </si>
  <si>
    <t>DT1706</t>
  </si>
  <si>
    <t>商住、出让公租房</t>
  </si>
  <si>
    <t>1＜容积率≤1.60</t>
  </si>
  <si>
    <t>2017-09-22</t>
  </si>
  <si>
    <t>丹徒区挂[2017]6号</t>
  </si>
  <si>
    <t>仑山路北侧、句源路东侧</t>
  </si>
  <si>
    <t>2017-7-15</t>
  </si>
  <si>
    <t>大于1并且小于2.3</t>
  </si>
  <si>
    <t>2017-09-20</t>
  </si>
  <si>
    <t>句经地交告[2017]字第7号</t>
  </si>
  <si>
    <t>句容恒大童世界旅游开发有限公司</t>
  </si>
  <si>
    <t>句源路西侧、容广路北侧</t>
  </si>
  <si>
    <t>2017-7-11</t>
  </si>
  <si>
    <t>大于1并且小于2.1</t>
  </si>
  <si>
    <t>容广路北侧、容城大道西侧</t>
  </si>
  <si>
    <t>2017-7-12</t>
  </si>
  <si>
    <t>容腾路南侧、句源路西侧</t>
  </si>
  <si>
    <t>2017-7-05</t>
  </si>
  <si>
    <t>容腾路南侧</t>
  </si>
  <si>
    <t>2017-7-08</t>
  </si>
  <si>
    <t>大于1并且小于2.4</t>
  </si>
  <si>
    <t>仑山路北侧、句韵路东侧</t>
  </si>
  <si>
    <t>2017-7-13</t>
  </si>
  <si>
    <t>大于1并且小于1.7</t>
  </si>
  <si>
    <t>容广路北侧、句韵路东侧</t>
  </si>
  <si>
    <t>2017-7-09</t>
  </si>
  <si>
    <t>容腾路南侧、句源路东侧</t>
  </si>
  <si>
    <t>2017-7-06</t>
  </si>
  <si>
    <t>句源路西侧、容广路南侧</t>
  </si>
  <si>
    <t>2017-7-14</t>
  </si>
  <si>
    <t>容腾路南侧、句韵路东侧</t>
  </si>
  <si>
    <t>2017-7-04</t>
  </si>
  <si>
    <t>2017-7-07</t>
  </si>
  <si>
    <t>容广路北侧、句源路西侧</t>
  </si>
  <si>
    <t>2017-7-10</t>
  </si>
  <si>
    <t>容广路南侧、仑山路北侧</t>
  </si>
  <si>
    <t>2017-7-16</t>
  </si>
  <si>
    <t>文昌东路南侧、243省道西侧</t>
  </si>
  <si>
    <t>2017-8-01</t>
  </si>
  <si>
    <t>2017-09-13</t>
  </si>
  <si>
    <t>句经地交告[2017]字第8号</t>
  </si>
  <si>
    <t>雅居乐</t>
  </si>
  <si>
    <t>2017-8-03</t>
  </si>
  <si>
    <t>碧桂园</t>
  </si>
  <si>
    <t>2017-8-02</t>
  </si>
  <si>
    <t>2017-8-04</t>
  </si>
  <si>
    <t>枣林路以东、龙脉路以北</t>
  </si>
  <si>
    <t>2017-3-11</t>
  </si>
  <si>
    <t>1＜容积率≤1.05</t>
  </si>
  <si>
    <t>2017-09-08</t>
  </si>
  <si>
    <t>镇江市本级挂[2017]3号</t>
  </si>
  <si>
    <t>镇江城市建设产业集团有限公司</t>
  </si>
  <si>
    <t>官山路以东、五凤口路以南</t>
  </si>
  <si>
    <t>2017-3-9</t>
  </si>
  <si>
    <t>1＜容积率≤3.30</t>
  </si>
  <si>
    <t>镇江红星置业有限公司</t>
  </si>
  <si>
    <t>宝平路以南,官山路以西</t>
  </si>
  <si>
    <t>2017-3-5</t>
  </si>
  <si>
    <t>1＜容积率≤2.45</t>
  </si>
  <si>
    <t>大西路以南、旺角广场以西</t>
  </si>
  <si>
    <t>2017-3-13</t>
  </si>
  <si>
    <t>1＜容积率≤1.32</t>
  </si>
  <si>
    <t>镇江银泰房地产开发有限公司</t>
  </si>
  <si>
    <t>宝平路以西,板桥路以北</t>
  </si>
  <si>
    <t>2017-3-10</t>
  </si>
  <si>
    <t>1＜容积率≤3.50</t>
  </si>
  <si>
    <t>福磬路以南、富润路以西</t>
  </si>
  <si>
    <t>2017-3-7</t>
  </si>
  <si>
    <t>宝华镇宝华大道东侧局部地块A</t>
  </si>
  <si>
    <t>宝华镇宝华大道东侧</t>
  </si>
  <si>
    <t>2017-6-01</t>
  </si>
  <si>
    <t>1＜容积率＜2</t>
  </si>
  <si>
    <t>2017-08-23</t>
  </si>
  <si>
    <t>句经地交告[2017]字第6号</t>
  </si>
  <si>
    <t>宝华镇仙林东路北侧、宝四路东侧局部地块A</t>
  </si>
  <si>
    <t>宝华镇仙林东路北侧、宝四路东侧</t>
  </si>
  <si>
    <t>2017-6-03</t>
  </si>
  <si>
    <t>1＜容积率＜3.80</t>
  </si>
  <si>
    <t>招商</t>
  </si>
  <si>
    <t>2017-6-02</t>
  </si>
  <si>
    <t>宝华镇宝华大道东侧局部地块B</t>
  </si>
  <si>
    <t>大于1并且小于3.8</t>
  </si>
  <si>
    <t>镇江火炬置地发展有限公司</t>
  </si>
  <si>
    <t>南三环路南侧(丹凤公园西侧)</t>
  </si>
  <si>
    <t>G1727</t>
  </si>
  <si>
    <t>2017-07-31</t>
  </si>
  <si>
    <t>丹阳市挂[2017]经营03号</t>
  </si>
  <si>
    <t>金陵西路南侧</t>
  </si>
  <si>
    <t>G1729</t>
  </si>
  <si>
    <t>1.80＜容积率≤3.50</t>
  </si>
  <si>
    <t>丹阳市华昌房屋开发有限公司</t>
  </si>
  <si>
    <t>G1726</t>
  </si>
  <si>
    <t>振兴路南侧</t>
  </si>
  <si>
    <t>G1728</t>
  </si>
  <si>
    <t>常州弘阳广场置业有限公司</t>
  </si>
  <si>
    <t>迎宾大道北侧、中电大道东侧、新扬路西侧</t>
  </si>
  <si>
    <t>扬土(2017)交-14号</t>
  </si>
  <si>
    <t>大于或等于1.25并且小于或等于1.99</t>
  </si>
  <si>
    <t>2017-07-27</t>
  </si>
  <si>
    <t>扬国土交[2017]3号</t>
  </si>
  <si>
    <t>扬中香江置业有限公司</t>
  </si>
  <si>
    <t>宝华镇射乌桥路南侧A</t>
  </si>
  <si>
    <t>宝华镇射乌桥路南侧</t>
  </si>
  <si>
    <t>2017-5-07</t>
  </si>
  <si>
    <t>2017-06-22</t>
  </si>
  <si>
    <t>句经地交告[2017]字第5号</t>
  </si>
  <si>
    <t>江苏成至</t>
  </si>
  <si>
    <t>宝华镇射乌桥路南侧局部地块B</t>
  </si>
  <si>
    <t>2017-5-08</t>
  </si>
  <si>
    <t>宝华镇经六路东侧、牡丹东路南侧</t>
  </si>
  <si>
    <t>2017-5-06</t>
  </si>
  <si>
    <t>万都</t>
  </si>
  <si>
    <t>宝华镇纬十路南侧,和平路西侧</t>
  </si>
  <si>
    <t>2017-5-09</t>
  </si>
  <si>
    <t>濠峰置业</t>
  </si>
  <si>
    <t>DT1533</t>
  </si>
  <si>
    <t>世业镇</t>
  </si>
  <si>
    <t>1＜容积率≤1.55</t>
  </si>
  <si>
    <t>2017-06-14</t>
  </si>
  <si>
    <t>丹徒区挂[2017]3号</t>
  </si>
  <si>
    <t>DT1459</t>
  </si>
  <si>
    <t>谷阳镇</t>
  </si>
  <si>
    <t>1＜容积率≤1.75</t>
  </si>
  <si>
    <t>DT1608</t>
  </si>
  <si>
    <t>宜城</t>
  </si>
  <si>
    <t>1＜容积率≤2.14</t>
  </si>
  <si>
    <t>镇江市丹徒区城建投资有限公司</t>
  </si>
  <si>
    <t>DT1610</t>
  </si>
  <si>
    <t>新扬路东侧、同心路南侧</t>
  </si>
  <si>
    <t>扬土(2017)交-8号</t>
  </si>
  <si>
    <t>大于或等于1.1并且小于或等于2.5</t>
  </si>
  <si>
    <t>2017-06-12</t>
  </si>
  <si>
    <t>扬国土交[2017]2号</t>
  </si>
  <si>
    <t>黄山西路以南九华山路以西二号地块(R1703)</t>
  </si>
  <si>
    <t>黄山西路以南九华山路以西</t>
  </si>
  <si>
    <t>2017-2-2</t>
  </si>
  <si>
    <t>1＜容积率≤1.64</t>
  </si>
  <si>
    <t>2017-05-31</t>
  </si>
  <si>
    <t>镇江市本级拍[2017]1号</t>
  </si>
  <si>
    <t>南京海麒房地产开发有限公司</t>
  </si>
  <si>
    <t>小米山路以西花山路以北地块(J1701)</t>
  </si>
  <si>
    <t>小米山路以西花山路以北</t>
  </si>
  <si>
    <t>2017-2-3</t>
  </si>
  <si>
    <t>1＜容积率≤1.70</t>
  </si>
  <si>
    <t>镇江雅居乐房地产开发有限公司</t>
  </si>
  <si>
    <t>聆湖路以东长香中大道以南地块(D1701)</t>
  </si>
  <si>
    <t>聆湖路以东长香中大道以南地块</t>
  </si>
  <si>
    <t>2017-2-4</t>
  </si>
  <si>
    <t>1＜容积率≤1.40</t>
  </si>
  <si>
    <t>南通中南新世界中心开发有限公司</t>
  </si>
  <si>
    <t>黄山西路以南九华山路以西一号地块(R1702)</t>
  </si>
  <si>
    <t>2017-2-1</t>
  </si>
  <si>
    <t>南京美旭房地产开发有限公司</t>
  </si>
  <si>
    <t>茅山镇春城集镇南山农庄路南侧</t>
  </si>
  <si>
    <t>2017-2-2-09</t>
  </si>
  <si>
    <t>2017-05-05</t>
  </si>
  <si>
    <t>句经地交告[2017]字第2-2号</t>
  </si>
  <si>
    <t>句容东方嘉缘置业有限公司</t>
  </si>
  <si>
    <t>集贤路东侧,华阳西路北侧</t>
  </si>
  <si>
    <t>2017-2-2-06</t>
  </si>
  <si>
    <t>江苏省句容经济开发区房地产开发总公司、江苏省句容经济开发区开发建设总公司</t>
  </si>
  <si>
    <t>句容市建设路南侧</t>
  </si>
  <si>
    <t>2017-2-2-01</t>
  </si>
  <si>
    <t>人民路北侧、句容市物价局东侧</t>
  </si>
  <si>
    <t>2017-2-2-05</t>
  </si>
  <si>
    <t>大于1并且小于4.6</t>
  </si>
  <si>
    <t>镇江市恒基和源房地产开发有限公司</t>
  </si>
  <si>
    <t>宁杭南路东侧、建设路南侧</t>
  </si>
  <si>
    <t>2017-2-2-04</t>
  </si>
  <si>
    <t>句容华碧房地产开发有限公司</t>
  </si>
  <si>
    <t>句容市建设路北侧、中山路西侧</t>
  </si>
  <si>
    <t>2017-2-2-03</t>
  </si>
  <si>
    <t>郭庄镇机场大道南侧,宁溧公路西侧</t>
  </si>
  <si>
    <t>2017-2-2-12</t>
  </si>
  <si>
    <t>句容金碧房地产开发有限公司</t>
  </si>
  <si>
    <t>茅山镇春城集镇南山农庄路东南侧</t>
  </si>
  <si>
    <t>2017-2-2-10</t>
  </si>
  <si>
    <t>大于1并且小于1.2</t>
  </si>
  <si>
    <t>句容市河滨北路北侧、南大街西侧</t>
  </si>
  <si>
    <t>2017-2-2-02</t>
  </si>
  <si>
    <t>宝华镇纬十路南侧、经二路东侧</t>
  </si>
  <si>
    <t>2017-4-03</t>
  </si>
  <si>
    <t>2017-04-20</t>
  </si>
  <si>
    <t>句经地交告[2017]字第4号</t>
  </si>
  <si>
    <t>句容南大置业有限公司</t>
  </si>
  <si>
    <t>宝华镇宝龙大道东侧局部地块</t>
  </si>
  <si>
    <t>宝华镇宝龙大道东侧</t>
  </si>
  <si>
    <t>2017-2-1-15</t>
  </si>
  <si>
    <t>＞1且＜2.5</t>
  </si>
  <si>
    <t>2017-04-19</t>
  </si>
  <si>
    <t>句经地交告[2017]字第2-1号</t>
  </si>
  <si>
    <t>南京浦泰房地产开发有限公司</t>
  </si>
  <si>
    <t>茅山管委会茅山水库北侧局部地块*A</t>
  </si>
  <si>
    <t>茅山管委会茅山水库北侧</t>
  </si>
  <si>
    <t>2017-2-1-03</t>
  </si>
  <si>
    <t>＞1且＜1.1</t>
  </si>
  <si>
    <t>江苏汇金置地有限公司</t>
  </si>
  <si>
    <t>宝华镇宝四路东侧、纬八路北侧局部地块</t>
  </si>
  <si>
    <t>宝华镇宝四路东侧、纬八路北侧</t>
  </si>
  <si>
    <t>2017-2-1-14</t>
  </si>
  <si>
    <t>茅山管委会茅山水库北侧局部地块*B</t>
  </si>
  <si>
    <t>2017-2-1-04</t>
  </si>
  <si>
    <t>宝华镇宝四路东侧、牡丹西路南侧局部地块A</t>
  </si>
  <si>
    <t>宝华镇宝四路东侧、牡丹西路南侧</t>
  </si>
  <si>
    <t>2017-2-1-11</t>
  </si>
  <si>
    <t>宝华镇经六路东侧、宝二路南侧局部地块</t>
  </si>
  <si>
    <t>宝华镇经六路东侧、宝二路南侧</t>
  </si>
  <si>
    <t>2017-2-1-13</t>
  </si>
  <si>
    <t>＞1且＜2</t>
  </si>
  <si>
    <t>句容碧伯房地产开发有限公司</t>
  </si>
  <si>
    <t>宝华镇宝四路东侧、牡丹西路南侧局部地块B</t>
  </si>
  <si>
    <t>2017-2-1-12</t>
  </si>
  <si>
    <t>中泠路以西,慈寿路以南地块</t>
  </si>
  <si>
    <t>中泠路以西,慈寿路以南</t>
  </si>
  <si>
    <t>2017-1-1</t>
  </si>
  <si>
    <t>1＜容积率≤1.23</t>
  </si>
  <si>
    <t>2017-04-17</t>
  </si>
  <si>
    <t>镇江市本级挂[2017]1号</t>
  </si>
  <si>
    <t>镇江佳丰开发建设有限公司</t>
  </si>
  <si>
    <t>华南路东侧</t>
  </si>
  <si>
    <t>G1723</t>
  </si>
  <si>
    <t>2017-03-14</t>
  </si>
  <si>
    <t>丹阳市挂[2017]经营02号-12</t>
  </si>
  <si>
    <t>华南路西侧</t>
  </si>
  <si>
    <t>G1719</t>
  </si>
  <si>
    <t>丹阳市挂[2017]经营02号-8</t>
  </si>
  <si>
    <t>黄金塘路北侧</t>
  </si>
  <si>
    <t>G1715</t>
  </si>
  <si>
    <t>≥1.8且≤3</t>
  </si>
  <si>
    <t>丹阳市挂[2017]经营02号-4</t>
  </si>
  <si>
    <t>丹阳市曲阿安居工程建设开发有限公司</t>
  </si>
  <si>
    <t>葛丹公路东侧</t>
  </si>
  <si>
    <t>G1713</t>
  </si>
  <si>
    <t>丹阳市挂[2017]经营02号-2</t>
  </si>
  <si>
    <t>江苏卓越置业有限公司</t>
  </si>
  <si>
    <t>G1721</t>
  </si>
  <si>
    <t>丹阳市挂[2017]经营02号-10</t>
  </si>
  <si>
    <t>G1716</t>
  </si>
  <si>
    <t>丹阳市挂[2017]经营02号-5</t>
  </si>
  <si>
    <t>健民路南侧</t>
  </si>
  <si>
    <t>G1712</t>
  </si>
  <si>
    <t>＞1且≤1.6</t>
  </si>
  <si>
    <t>丹阳市挂[2017]经营02号-1</t>
  </si>
  <si>
    <t>G1714</t>
  </si>
  <si>
    <t>丹阳市挂[2017]经营02号-3</t>
  </si>
  <si>
    <t>G1720</t>
  </si>
  <si>
    <t>丹阳市挂[2017]经营02号-9</t>
  </si>
  <si>
    <t>G1724</t>
  </si>
  <si>
    <t>丹阳市挂[2017]经营02号-13</t>
  </si>
  <si>
    <t>G1717</t>
  </si>
  <si>
    <t>丹阳市挂[2017]经营02号-6</t>
  </si>
  <si>
    <t>G1718</t>
  </si>
  <si>
    <t>丹阳市挂[2017]经营02号-7</t>
  </si>
  <si>
    <t>新民南路西侧、建设路北侧、金苇路南侧</t>
  </si>
  <si>
    <t>扬土(2017)交-5号</t>
  </si>
  <si>
    <t>大于1并且小于或等于3</t>
  </si>
  <si>
    <t>2017-02-24</t>
  </si>
  <si>
    <t>扬国土交[2017]1号</t>
  </si>
  <si>
    <t>江苏华鹏置业有限公司</t>
  </si>
  <si>
    <t>鸣翠山庄东侧、企东居民点北侧</t>
  </si>
  <si>
    <t>扬土(2017)交-6号</t>
  </si>
  <si>
    <t>祁家路南侧、联盟路西侧</t>
  </si>
  <si>
    <t>扬土(2017)交-1号</t>
  </si>
  <si>
    <t>大于1并且小于或等于1.8</t>
  </si>
  <si>
    <t>江苏苏瑞置业有限公司</t>
  </si>
  <si>
    <t>G1702</t>
  </si>
  <si>
    <t>2017-02-21</t>
  </si>
  <si>
    <t>丹挂[2017]经营01号-2</t>
  </si>
  <si>
    <t>丹阳市高新技术产业发展有限公司</t>
  </si>
  <si>
    <t>G1709</t>
  </si>
  <si>
    <t>丹挂[2017]经营01号-9</t>
  </si>
  <si>
    <t>开发区九纬路北侧</t>
  </si>
  <si>
    <t>G1701</t>
  </si>
  <si>
    <t>丹挂[2017]经营01号-1</t>
  </si>
  <si>
    <t>曲阿路东侧</t>
  </si>
  <si>
    <t>G1705</t>
  </si>
  <si>
    <t>丹挂[2017]经营01号-5</t>
  </si>
  <si>
    <t>G1703</t>
  </si>
  <si>
    <t>丹挂[2017]经营01号-3</t>
  </si>
  <si>
    <t>北苑路南侧</t>
  </si>
  <si>
    <t>G1704</t>
  </si>
  <si>
    <t>丹挂[2017]经营01号-4</t>
  </si>
  <si>
    <t>南三环路南侧,丹金路西侧</t>
  </si>
  <si>
    <t>G1706</t>
  </si>
  <si>
    <t>丹挂[2017]经营01号-6</t>
  </si>
  <si>
    <t>赤山湖管委会环山路南侧</t>
  </si>
  <si>
    <t>2017-1-06</t>
  </si>
  <si>
    <t>2017-02-15</t>
  </si>
  <si>
    <t>句经地交告[2017]字第1号</t>
  </si>
  <si>
    <t>江苏协鑫房地产有限公司</t>
  </si>
  <si>
    <t>赤山湖管委会朝阳路南侧、赤金路西侧</t>
  </si>
  <si>
    <t>2017-1-19</t>
  </si>
  <si>
    <t>赤山湖管委会朝阳路北侧</t>
  </si>
  <si>
    <t>2017-1-16</t>
  </si>
  <si>
    <t>2017-1-17</t>
  </si>
  <si>
    <t>赤山湖管委会朝阳路南侧</t>
  </si>
  <si>
    <t>2017-1-24</t>
  </si>
  <si>
    <t>2017-1-15</t>
  </si>
  <si>
    <t>2017-1-25</t>
  </si>
  <si>
    <t>赤山湖管委会243省道北侧</t>
  </si>
  <si>
    <t>2017-1-14</t>
  </si>
  <si>
    <t>2017-1-23</t>
  </si>
  <si>
    <t>2017-1-18</t>
  </si>
  <si>
    <t>赤山湖管委会环山东路东侧</t>
  </si>
  <si>
    <t>2017-1-01</t>
  </si>
  <si>
    <t>2017-1-13</t>
  </si>
  <si>
    <t>赤山湖管委会赤金路东侧、朝阳路西侧</t>
  </si>
  <si>
    <t>2017-1-12</t>
  </si>
  <si>
    <t>2017-1-09</t>
  </si>
  <si>
    <t>2017-1-26</t>
  </si>
  <si>
    <t>2017-1-03</t>
  </si>
  <si>
    <t>2017-1-08</t>
  </si>
  <si>
    <t>华阳镇河滨南路北侧、高骊山路西侧</t>
  </si>
  <si>
    <t>2017-1-28</t>
  </si>
  <si>
    <t>2017-1-11</t>
  </si>
  <si>
    <t>2017-1-10</t>
  </si>
  <si>
    <t>2017-1-02</t>
  </si>
  <si>
    <t>2017-1-20</t>
  </si>
  <si>
    <t>2017-1-21</t>
  </si>
  <si>
    <t>2017-1-07</t>
  </si>
  <si>
    <t>郭庄镇凤仪路北侧</t>
  </si>
  <si>
    <t>2017-1-30</t>
  </si>
  <si>
    <t>大于1并且小于1.3</t>
  </si>
  <si>
    <t>江苏广升置业有限公司</t>
  </si>
  <si>
    <t>昌盛路南侧、扬子江制衣西侧</t>
  </si>
  <si>
    <t>扬土(2016)交-19号</t>
  </si>
  <si>
    <t>大于1并且小于或等于1.26</t>
  </si>
  <si>
    <t>2017-01-16</t>
  </si>
  <si>
    <t>扬国土交[2016]4号</t>
  </si>
  <si>
    <t>马安明、郭桂华、徐帮义、祝寒冰、薛路遥、马建平、蒋子烨</t>
  </si>
  <si>
    <t>开发区四号线东侧、港湾新城北侧</t>
  </si>
  <si>
    <t>扬土(2016)交-18号</t>
  </si>
  <si>
    <t>大于1并且小于或等于2.2</t>
  </si>
  <si>
    <t>江苏大行置业有限公司</t>
  </si>
  <si>
    <t>扬子中路与前进路交汇西北侧</t>
  </si>
  <si>
    <t>扬土(2016)交-16号</t>
  </si>
  <si>
    <t>大于1并且小于或等于6.5</t>
  </si>
  <si>
    <t>扬中金源博大置业有限责任公司</t>
  </si>
  <si>
    <t>前进路与江洲路交汇西南侧</t>
  </si>
  <si>
    <t>扬土(2016)交-17号</t>
  </si>
  <si>
    <t>2016-2-4</t>
  </si>
  <si>
    <t>高资香山大道以东、人民路以南</t>
  </si>
  <si>
    <t>1＜容积率≤1.03</t>
  </si>
  <si>
    <t>2017-01-12</t>
  </si>
  <si>
    <t>镇江市本级挂[2016]2号</t>
  </si>
  <si>
    <t>二重集团(镇江)重型装备厂有限责任公司</t>
  </si>
  <si>
    <t>润州区润州山路以西、红光路以北</t>
  </si>
  <si>
    <t>2016-2-1</t>
  </si>
  <si>
    <t>1＜容积率≤5.50</t>
  </si>
  <si>
    <t>镇江协信房地产开发有限公司</t>
  </si>
  <si>
    <t>DT1523</t>
  </si>
  <si>
    <t>上党</t>
  </si>
  <si>
    <t>1＜容积率1.03</t>
  </si>
  <si>
    <t>2016-12-30</t>
  </si>
  <si>
    <t>丹徒区挂[2016]12号</t>
  </si>
  <si>
    <t>镇江金鹰房地产开发有限公司</t>
  </si>
  <si>
    <t>DT1524</t>
  </si>
  <si>
    <t>DT1522</t>
  </si>
  <si>
    <t>DT1536</t>
  </si>
  <si>
    <t>2.20≤容积率</t>
  </si>
  <si>
    <t>镇江市丹徒万源房地产开发有限公司</t>
  </si>
  <si>
    <t xml:space="preserve"> </t>
    <phoneticPr fontId="233" type="noConversion"/>
  </si>
  <si>
    <t>创业路西侧</t>
    <phoneticPr fontId="233" type="noConversion"/>
  </si>
  <si>
    <t>水关路西侧</t>
    <phoneticPr fontId="233" type="noConversion"/>
  </si>
  <si>
    <r>
      <t>2018-5-1</t>
    </r>
    <r>
      <rPr>
        <sz val="10"/>
        <rFont val="宋体"/>
        <family val="3"/>
        <charset val="134"/>
      </rPr>
      <t>陈家门地块</t>
    </r>
    <phoneticPr fontId="233" type="noConversion"/>
  </si>
  <si>
    <t>住宅</t>
    <phoneticPr fontId="21" type="noConversion"/>
  </si>
  <si>
    <t>60-70（含）</t>
  </si>
  <si>
    <t>正常</t>
  </si>
  <si>
    <t>六通</t>
  </si>
  <si>
    <t>高层</t>
    <phoneticPr fontId="21" type="noConversion"/>
  </si>
  <si>
    <t>钢混</t>
    <phoneticPr fontId="21" type="noConversion"/>
  </si>
  <si>
    <t>中档</t>
  </si>
  <si>
    <t>中档</t>
    <phoneticPr fontId="21" type="noConversion"/>
  </si>
  <si>
    <t>精装修</t>
  </si>
  <si>
    <t>精装修</t>
    <phoneticPr fontId="21" type="noConversion"/>
  </si>
  <si>
    <t>专业</t>
  </si>
  <si>
    <t>专业</t>
    <phoneticPr fontId="21" type="noConversion"/>
  </si>
  <si>
    <t>六通</t>
    <phoneticPr fontId="21" type="noConversion"/>
  </si>
  <si>
    <t>平层</t>
  </si>
  <si>
    <t>平层</t>
    <phoneticPr fontId="21" type="noConversion"/>
  </si>
  <si>
    <t>毛坯</t>
  </si>
  <si>
    <t>住宅</t>
    <phoneticPr fontId="26" type="noConversion"/>
  </si>
  <si>
    <t>2018-5-7原食品公司地块</t>
  </si>
  <si>
    <t>商业/办公用地</t>
  </si>
  <si>
    <t>朱方路以南,二道巷以西</t>
  </si>
  <si>
    <t>2018-5-7</t>
  </si>
  <si>
    <t>商业、其他商服用地</t>
  </si>
  <si>
    <t>镇江市食品有限公司</t>
  </si>
  <si>
    <t>驸马街以南,架鼓山路以东</t>
  </si>
  <si>
    <t>2018-1-6</t>
  </si>
  <si>
    <t>1＜容积率≤2.75</t>
  </si>
  <si>
    <t>润兴路以西,润旺路以南</t>
  </si>
  <si>
    <t>2018-1-3</t>
  </si>
  <si>
    <t>镇江高新置业有限公司</t>
  </si>
  <si>
    <t>铭东路以北,慈行路以西</t>
  </si>
  <si>
    <t>2018-1-7</t>
  </si>
  <si>
    <t>容积率≤0.65</t>
  </si>
  <si>
    <t>金山路以南</t>
  </si>
  <si>
    <t>2018-1-5</t>
  </si>
  <si>
    <t>容积率≤2.02</t>
  </si>
  <si>
    <t>镇江市润州区恒发土地房屋开发公司</t>
  </si>
  <si>
    <t>黄山西路以南,檀山路以东</t>
  </si>
  <si>
    <t>2018-1-4</t>
  </si>
  <si>
    <t>倪戚华</t>
  </si>
  <si>
    <t>宜侯路以南、赵声路以西</t>
  </si>
  <si>
    <t>2017-4-10</t>
  </si>
  <si>
    <t>商业用地</t>
  </si>
  <si>
    <t>容积率≤0.60</t>
  </si>
  <si>
    <t>江苏圌山旅游文化发展有限公司</t>
  </si>
  <si>
    <t>赵声路以东、平昌路以北</t>
  </si>
  <si>
    <t>2017-4-11</t>
  </si>
  <si>
    <t>容积率≤0.80</t>
  </si>
  <si>
    <t>金润大道以北</t>
  </si>
  <si>
    <t>2017-3-8</t>
  </si>
  <si>
    <t>容积率≤0.40</t>
  </si>
  <si>
    <t>镇江南出口石化有限公司</t>
  </si>
  <si>
    <t>2017-3-2</t>
  </si>
  <si>
    <t>江苏朱方置业股份有限公司</t>
  </si>
  <si>
    <t>盛丹路以北、新城福联以东</t>
  </si>
  <si>
    <t>2017-3-16</t>
  </si>
  <si>
    <t>镇江华荣利丰汽车销售服务有限公司</t>
  </si>
  <si>
    <t>长香西大道以北,长青路以西</t>
  </si>
  <si>
    <t>2017-3-12</t>
  </si>
  <si>
    <t>1＜容积率≤1.15</t>
  </si>
  <si>
    <t>镇江市丹徒区西麓上甸加油站</t>
  </si>
  <si>
    <t>谷阳东大道以北</t>
  </si>
  <si>
    <t>2017-3-14</t>
  </si>
  <si>
    <t>容积率≤0.20</t>
  </si>
  <si>
    <t>镇江市丹徒区三山液化气供应站(普通合伙)</t>
  </si>
  <si>
    <t>盛丹路以北、盛园路以东</t>
  </si>
  <si>
    <t>2017-3-15</t>
  </si>
  <si>
    <t>镇江新城福联汽车贸易有限公司</t>
  </si>
  <si>
    <t>润州区长江路以北、环湖路以东</t>
  </si>
  <si>
    <t>2016-2-2</t>
  </si>
  <si>
    <t>容积率≤0.75</t>
  </si>
  <si>
    <t>镇江文化旅游产业集团有限责任公司</t>
  </si>
  <si>
    <t>2016-2-3</t>
  </si>
  <si>
    <t>金港大道以北、镇江飞驰汽车有限公司以东</t>
  </si>
  <si>
    <t>镇江市中港石油有限公司</t>
  </si>
  <si>
    <t>R1601地块(金山湖以西2号地块)</t>
  </si>
  <si>
    <t>环湖路以北、新河西岸路以东</t>
  </si>
  <si>
    <t>2016-1-1</t>
  </si>
  <si>
    <t>其他商服用地</t>
  </si>
  <si>
    <t>容积率≤0.37</t>
  </si>
  <si>
    <t>2016-06-08</t>
  </si>
  <si>
    <t>镇江市本级挂[2016]1号-1</t>
  </si>
  <si>
    <t>R1605地块(金山湖以西5-1号地块)</t>
  </si>
  <si>
    <t>润湖路以东、园区环路以北</t>
  </si>
  <si>
    <t>2016-1-5</t>
  </si>
  <si>
    <t>容积率≤0.17</t>
  </si>
  <si>
    <t>镇江市本级挂[2016]1号-5</t>
  </si>
  <si>
    <t>R1603地块(金山湖以西3-2号地块)</t>
  </si>
  <si>
    <t>园区环路以南、润湖路以东</t>
  </si>
  <si>
    <t>2016-1-3</t>
  </si>
  <si>
    <t>容积率≤0.30</t>
  </si>
  <si>
    <t>镇江市本级挂[2016]1号-3</t>
  </si>
  <si>
    <t>镇江大白鲸海洋世界有限公司</t>
  </si>
  <si>
    <t>R1606地块(金山湖以西5-2号地块)</t>
  </si>
  <si>
    <t>润湖路以东、园区环路以南</t>
  </si>
  <si>
    <t>2016-1-6</t>
  </si>
  <si>
    <t>容积率≤0.12</t>
  </si>
  <si>
    <t>镇江市本级挂[2016]1号-6</t>
  </si>
  <si>
    <t>R1602地块(金山湖以西3-1号地块)</t>
  </si>
  <si>
    <t>航道路以南、润湖路以西</t>
  </si>
  <si>
    <t>2016-1-2</t>
  </si>
  <si>
    <t>镇江市本级挂[2016]1号-2</t>
  </si>
  <si>
    <t>DT1215</t>
  </si>
  <si>
    <t>其它商服用地</t>
  </si>
  <si>
    <t>1≤容积率≤1.20</t>
  </si>
  <si>
    <t>2016-03-03</t>
  </si>
  <si>
    <t>丹徒区挂[2016]2号</t>
  </si>
  <si>
    <t>镇江市丹徒区凯瑞建材有限公司</t>
  </si>
  <si>
    <t>R1509地块</t>
  </si>
  <si>
    <t>黄山西路以北、颐高广场以西</t>
  </si>
  <si>
    <t>5-1</t>
  </si>
  <si>
    <t>商办</t>
  </si>
  <si>
    <t>1＜容积率≤1.12</t>
  </si>
  <si>
    <t>2016-01-14</t>
  </si>
  <si>
    <t>镇土交J(2015)5号-1</t>
  </si>
  <si>
    <t>镇江交通产业集团有限公司</t>
  </si>
  <si>
    <t>D1506地块</t>
  </si>
  <si>
    <t>智慧大道以西、金润大道以北</t>
  </si>
  <si>
    <t>5-6</t>
  </si>
  <si>
    <t>商办及酒店式公寓</t>
  </si>
  <si>
    <t>1＜容积率≤3.9</t>
  </si>
  <si>
    <t>镇土交J(2015)5号-6</t>
  </si>
  <si>
    <t>江苏乾景文化创意产业发展有限公司</t>
  </si>
  <si>
    <t>酒店式公寓70年;商办用地40年</t>
  </si>
  <si>
    <t>R1512地块</t>
  </si>
  <si>
    <t>南山路以西、茶砚山路以南</t>
  </si>
  <si>
    <t>5-3</t>
  </si>
  <si>
    <t>镇土交J(2015)5号-3</t>
  </si>
  <si>
    <t>DT1445</t>
  </si>
  <si>
    <t>1≤容积率≤2.45</t>
  </si>
  <si>
    <t>2015-12-31</t>
  </si>
  <si>
    <t>丹徒区挂[2015]10号</t>
  </si>
  <si>
    <t>镇江万豪置业有限公司</t>
  </si>
  <si>
    <t>商务金融</t>
  </si>
  <si>
    <t>商务金融</t>
    <phoneticPr fontId="7" type="noConversion"/>
  </si>
  <si>
    <t>城镇住宅</t>
  </si>
  <si>
    <t>城镇住宅</t>
    <phoneticPr fontId="7" type="noConversion"/>
  </si>
  <si>
    <t>R1507地块</t>
  </si>
  <si>
    <t>团山路以北</t>
  </si>
  <si>
    <t>4-6</t>
  </si>
  <si>
    <t>2015-11-19</t>
  </si>
  <si>
    <t>镇土交J(2015)4号-6</t>
  </si>
  <si>
    <t>商办、商服用地40年</t>
  </si>
  <si>
    <t>J1502地块</t>
  </si>
  <si>
    <t>解放路以东、正东路以南</t>
  </si>
  <si>
    <t>4-2</t>
  </si>
  <si>
    <t>商业服务业设施</t>
  </si>
  <si>
    <t>镇土交J(2015)4号-2</t>
  </si>
  <si>
    <t>J1501地块</t>
  </si>
  <si>
    <t>苗家湾路以西、学府华庭以南</t>
  </si>
  <si>
    <t>4-1</t>
  </si>
  <si>
    <t>研发和商业</t>
  </si>
  <si>
    <t>镇土交J(2015)4号-1</t>
  </si>
  <si>
    <t>镇江长江游戏谷文化产业发展有限公司</t>
  </si>
  <si>
    <t>商办、商服用地40年,研发用地50年</t>
  </si>
  <si>
    <t>R1510地块</t>
  </si>
  <si>
    <t>黄山西路以北、领城国际以东</t>
  </si>
  <si>
    <t>4-8</t>
  </si>
  <si>
    <t>/</t>
  </si>
  <si>
    <t>镇土交J(2015)4号-8</t>
  </si>
  <si>
    <t>滨江大道以东、长江工艺品公司以南</t>
  </si>
  <si>
    <t>2015-2-5</t>
  </si>
  <si>
    <t>商业住宿餐饮用地</t>
  </si>
  <si>
    <t>2015-06-29</t>
  </si>
  <si>
    <t>镇江市本级挂[2015]2号-5</t>
  </si>
  <si>
    <t>镇江瑞城房地产开发有限公司</t>
  </si>
  <si>
    <t>苗家湾路以南</t>
  </si>
  <si>
    <t>15-1-3</t>
  </si>
  <si>
    <t>商业批发零售用地</t>
  </si>
  <si>
    <t>容积率≤1.60</t>
  </si>
  <si>
    <t>2015-03-30</t>
  </si>
  <si>
    <t>镇江市本级挂[2015]1号-3</t>
  </si>
  <si>
    <t>宜侯路以南、赵声路以东</t>
  </si>
  <si>
    <t>*6-14</t>
  </si>
  <si>
    <t>商务金融用地</t>
  </si>
  <si>
    <t>大于1并且小于或等于1.2</t>
  </si>
  <si>
    <t>2015-01-30</t>
  </si>
  <si>
    <t>镇江市挂[2014]6号-14</t>
  </si>
  <si>
    <t>镇江新区城市建设投资有限公司</t>
  </si>
  <si>
    <t>禹山路以北</t>
  </si>
  <si>
    <t>*6-1</t>
  </si>
  <si>
    <t>小于或等于0.3</t>
  </si>
  <si>
    <t>镇江市挂[2014]6号-1</t>
  </si>
  <si>
    <t>镇江金鹰石化有限公司</t>
  </si>
  <si>
    <t>宜侯路以南、银山南路以西</t>
  </si>
  <si>
    <t>*6-13</t>
  </si>
  <si>
    <t>镇江市挂[2014]6号-13</t>
  </si>
  <si>
    <t>枣林路以东、站前路以南</t>
  </si>
  <si>
    <t>*6-2</t>
  </si>
  <si>
    <t>小于或等于1.6</t>
  </si>
  <si>
    <t>镇江市挂[2014]6号-2</t>
  </si>
  <si>
    <t>镇江市西津渡文化旅游有限责任公司</t>
  </si>
  <si>
    <t>捆山河以西</t>
  </si>
  <si>
    <t>6-15</t>
  </si>
  <si>
    <t>大于1并且小于或等于1.05</t>
  </si>
  <si>
    <t>镇江市挂[2014]6号-15</t>
  </si>
  <si>
    <t>纬三路以北</t>
  </si>
  <si>
    <t>*6-10</t>
  </si>
  <si>
    <t>镇江市挂[2014]6号-10</t>
  </si>
  <si>
    <t>镇江中贸汽车销售有限公司</t>
  </si>
  <si>
    <t>苗家湾路以东、丁卯桥路以南</t>
  </si>
  <si>
    <t>*6-9</t>
  </si>
  <si>
    <t>大于1并且小于或等于2.85</t>
  </si>
  <si>
    <t>镇江市挂[2014]6号-9</t>
  </si>
  <si>
    <t>江苏大港置业有限公司</t>
  </si>
  <si>
    <t>DT1318地块</t>
  </si>
  <si>
    <t>辛丰</t>
  </si>
  <si>
    <t>DT1318</t>
  </si>
  <si>
    <t>大于1并且小于或等于1.6</t>
  </si>
  <si>
    <t>2014-06-30</t>
  </si>
  <si>
    <t>丹徒区挂[2014]4号-2</t>
  </si>
  <si>
    <t>朱健栋</t>
  </si>
  <si>
    <t>DT1323G地块</t>
  </si>
  <si>
    <t>宝堰</t>
  </si>
  <si>
    <t>DT1323G</t>
  </si>
  <si>
    <t>丹徒区挂[2014]4号-3</t>
  </si>
  <si>
    <t>镇江市丹徒区宝堰镇家庭家禽批发部</t>
  </si>
  <si>
    <t>DT1312地块</t>
  </si>
  <si>
    <t>DT1312</t>
  </si>
  <si>
    <t>大于1并且小于或等于1.3</t>
  </si>
  <si>
    <t>丹徒区挂[2014]4号-1</t>
  </si>
  <si>
    <t>镇江天成房地产开发有限公司</t>
  </si>
  <si>
    <t>DT1136地块</t>
  </si>
  <si>
    <t>巢凰路以南、香山路以东地块</t>
  </si>
  <si>
    <t>2--4</t>
  </si>
  <si>
    <t>小于等于2.5</t>
  </si>
  <si>
    <t>2014-05-30</t>
  </si>
  <si>
    <t>镇土交J(2014)2号-4</t>
  </si>
  <si>
    <t>镇江领尚房地产有限公司</t>
  </si>
  <si>
    <t>丁卯桥路北地块</t>
  </si>
  <si>
    <t>丁卯桥路以北、京鹏4s店以东</t>
  </si>
  <si>
    <t>2--10</t>
  </si>
  <si>
    <t>商业(4s店)</t>
  </si>
  <si>
    <t>小于等于1.05</t>
  </si>
  <si>
    <t>镇土交J(2014)2号-10</t>
  </si>
  <si>
    <t>镇江宝德汽车服务有限公司</t>
  </si>
  <si>
    <t>智慧大道以西、潘宗路以南</t>
  </si>
  <si>
    <t>2--11</t>
  </si>
  <si>
    <t>小于等于3.5</t>
  </si>
  <si>
    <t>镇土交J(2014)2号-11</t>
  </si>
  <si>
    <t>江苏鑫利华锐置业有限公司</t>
  </si>
  <si>
    <t>二道巷以西地块</t>
  </si>
  <si>
    <t>檀山路以北、二道巷以西</t>
  </si>
  <si>
    <t>2--2</t>
  </si>
  <si>
    <t>小于等于1.38</t>
  </si>
  <si>
    <t>镇土交J(2014)2号-2</t>
  </si>
  <si>
    <t>长江路以南地块</t>
  </si>
  <si>
    <t>润扬大桥引桥东、长江路以南</t>
  </si>
  <si>
    <t>2--1</t>
  </si>
  <si>
    <t>商服(加油加气站)</t>
  </si>
  <si>
    <t>小于等于0.3</t>
  </si>
  <si>
    <t>镇土交J(2014)2号-1</t>
  </si>
  <si>
    <t>中国石油化工股份有限公司江苏镇江石油分公司</t>
  </si>
  <si>
    <t>DT1355地块</t>
  </si>
  <si>
    <t>南纬八路以南、智慧大道以东</t>
  </si>
  <si>
    <t>2--7</t>
  </si>
  <si>
    <t>小于等于1.8</t>
  </si>
  <si>
    <t>镇土交J(2014)2号-7</t>
  </si>
  <si>
    <t>镇江益海芯投资管理有限公司</t>
  </si>
  <si>
    <t>DT1338地块</t>
  </si>
  <si>
    <t>谷阳大道南</t>
  </si>
  <si>
    <t>2--3</t>
  </si>
  <si>
    <t>镇土交J(2014)2号-3</t>
  </si>
  <si>
    <t>镇江高运石油制品有限公司</t>
  </si>
  <si>
    <t>DT1357地块</t>
  </si>
  <si>
    <t>经十三路以西</t>
  </si>
  <si>
    <t>2--6</t>
  </si>
  <si>
    <t>镇土交J(2014)2号-6</t>
  </si>
  <si>
    <t>镇江市长达能源有限公司</t>
  </si>
  <si>
    <t>一般</t>
  </si>
  <si>
    <t>商业、住宅</t>
  </si>
  <si>
    <t>商业、住宅</t>
    <phoneticPr fontId="233" type="noConversion"/>
  </si>
  <si>
    <r>
      <t>比较法</t>
    </r>
    <r>
      <rPr>
        <sz val="11"/>
        <color theme="1"/>
        <rFont val="Arial"/>
        <family val="2"/>
      </rPr>
      <t>-</t>
    </r>
    <r>
      <rPr>
        <sz val="11"/>
        <color theme="1"/>
        <rFont val="宋体"/>
        <family val="3"/>
        <charset val="134"/>
      </rPr>
      <t>住宅、综合</t>
    </r>
    <r>
      <rPr>
        <sz val="11"/>
        <color theme="1"/>
        <rFont val="Arial"/>
        <family val="2"/>
      </rPr>
      <t xml:space="preserve"> (2)</t>
    </r>
  </si>
  <si>
    <t>智慧大道</t>
    <phoneticPr fontId="233" type="noConversion"/>
  </si>
  <si>
    <t>润兴路</t>
    <phoneticPr fontId="233" type="noConversion"/>
  </si>
  <si>
    <t xml:space="preserve">http://bbs.my0511.com/f151b-t6707409z-1-1 </t>
    <phoneticPr fontId="233" type="noConversion"/>
  </si>
  <si>
    <t>安置房</t>
    <phoneticPr fontId="233" type="noConversion"/>
  </si>
  <si>
    <t>http://www.landjs.com/web/ggdk_view.aspx?GGDK_GUID=11F84859FF4F44B7AD898A396F5C040A</t>
    <phoneticPr fontId="233" type="noConversion"/>
  </si>
  <si>
    <r>
      <rPr>
        <sz val="10"/>
        <rFont val="宋体"/>
        <family val="3"/>
        <charset val="134"/>
      </rPr>
      <t>润兴路以西</t>
    </r>
    <r>
      <rPr>
        <sz val="10"/>
        <rFont val="Arial"/>
        <family val="2"/>
      </rPr>
      <t>,</t>
    </r>
    <r>
      <rPr>
        <sz val="10"/>
        <rFont val="宋体"/>
        <family val="3"/>
        <charset val="134"/>
      </rPr>
      <t>润旺路以南</t>
    </r>
    <phoneticPr fontId="233" type="noConversion"/>
  </si>
  <si>
    <t>智慧大道西地块</t>
    <phoneticPr fontId="233" type="noConversion"/>
  </si>
  <si>
    <t>恒大御府</t>
    <phoneticPr fontId="3" type="noConversion"/>
  </si>
  <si>
    <t>镇江市平昌路与烟墩山路交汇处</t>
    <phoneticPr fontId="3" type="noConversion"/>
  </si>
  <si>
    <t>简装</t>
    <phoneticPr fontId="21" type="noConversion"/>
  </si>
  <si>
    <t>毛坯</t>
    <phoneticPr fontId="21" type="noConversion"/>
  </si>
  <si>
    <t>精装</t>
  </si>
  <si>
    <t>精装</t>
    <phoneticPr fontId="21" type="noConversion"/>
  </si>
  <si>
    <t>昌建融创·观澜公馆</t>
    <phoneticPr fontId="3" type="noConversion"/>
  </si>
  <si>
    <t>镇江市银山南路与宜候路交汇处</t>
    <phoneticPr fontId="3" type="noConversion"/>
  </si>
  <si>
    <t>镇江市扬子江路与通港路交叉口</t>
    <phoneticPr fontId="3" type="noConversion"/>
  </si>
  <si>
    <t>自行开发建设</t>
  </si>
  <si>
    <t>非个人房产</t>
  </si>
  <si>
    <t>好</t>
  </si>
  <si>
    <t>契税及印花</t>
    <phoneticPr fontId="9" type="noConversion"/>
  </si>
  <si>
    <t>商办用地</t>
  </si>
  <si>
    <t>商办用地</t>
    <phoneticPr fontId="233" type="noConversion"/>
  </si>
  <si>
    <t>苗家湾路</t>
    <phoneticPr fontId="233" type="noConversion"/>
  </si>
  <si>
    <t>万科金域蓝湾</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</si>
</sst>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1"/>
      <color theme="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xf numFmtId="0" fontId="277" fillId="0" borderId="0" applyNumberFormat="0" applyFill="0" applyBorder="0" applyAlignment="0" applyProtection="0">
      <alignment vertical="center"/>
    </xf>
  </cellStyleXfs>
  <cellXfs count="352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34" fillId="0" borderId="153"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134" fillId="0" borderId="154" xfId="0" applyFont="1" applyFill="1" applyBorder="1" applyAlignment="1" applyProtection="1">
      <alignment horizontal="center" vertical="top" wrapText="1"/>
      <protection locked="0"/>
    </xf>
    <xf numFmtId="0" fontId="82" fillId="0" borderId="154" xfId="0" applyFont="1" applyFill="1" applyBorder="1" applyAlignment="1" applyProtection="1">
      <alignment vertical="top" wrapText="1"/>
      <protection locked="0"/>
    </xf>
    <xf numFmtId="0" fontId="71" fillId="7" borderId="12" xfId="0" applyFont="1" applyFill="1" applyBorder="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7" fontId="71" fillId="0" borderId="2" xfId="0" applyNumberFormat="1" applyFont="1" applyFill="1" applyBorder="1" applyAlignment="1" applyProtection="1">
      <alignment horizontal="center" vertical="center" wrapText="1"/>
      <protection locked="0"/>
    </xf>
    <xf numFmtId="0" fontId="86" fillId="0" borderId="0" xfId="16"/>
    <xf numFmtId="0" fontId="86" fillId="0" borderId="0" xfId="16"/>
    <xf numFmtId="0" fontId="86" fillId="0" borderId="0" xfId="16"/>
    <xf numFmtId="0" fontId="86" fillId="0" borderId="0" xfId="16"/>
    <xf numFmtId="0" fontId="86" fillId="0" borderId="0" xfId="16"/>
    <xf numFmtId="0" fontId="86" fillId="10" borderId="0" xfId="16" applyFill="1"/>
    <xf numFmtId="0" fontId="127" fillId="10" borderId="0" xfId="16" applyFont="1" applyFill="1"/>
    <xf numFmtId="0" fontId="86" fillId="0" borderId="0" xfId="16" applyFill="1"/>
    <xf numFmtId="0" fontId="127" fillId="0" borderId="0" xfId="16" applyFont="1" applyFill="1"/>
    <xf numFmtId="0" fontId="86" fillId="17" borderId="0" xfId="16" applyFill="1"/>
    <xf numFmtId="0" fontId="86" fillId="9" borderId="0" xfId="16" applyFill="1"/>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6" fillId="0" borderId="0" xfId="16"/>
    <xf numFmtId="0" fontId="71" fillId="5" borderId="4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6" fillId="8" borderId="0" xfId="16" applyFill="1"/>
    <xf numFmtId="0" fontId="277" fillId="10" borderId="0" xfId="17" applyFill="1" applyAlignment="1"/>
    <xf numFmtId="0" fontId="277" fillId="17" borderId="0" xfId="17" applyFill="1" applyAlignment="1"/>
    <xf numFmtId="0" fontId="127" fillId="17" borderId="0" xfId="16" applyFont="1" applyFill="1"/>
    <xf numFmtId="0" fontId="84" fillId="2" borderId="87" xfId="0" applyNumberFormat="1" applyFont="1" applyFill="1" applyBorder="1" applyAlignment="1" applyProtection="1">
      <alignment horizontal="center" vertical="center" wrapText="1"/>
      <protection locked="0"/>
    </xf>
    <xf numFmtId="0" fontId="84" fillId="2" borderId="23"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203" fillId="0" borderId="11" xfId="0" applyFont="1" applyBorder="1" applyAlignment="1" applyProtection="1">
      <alignment horizontal="center" vertical="center"/>
      <protection locked="0"/>
    </xf>
    <xf numFmtId="189" fontId="153" fillId="0" borderId="2" xfId="0" applyNumberFormat="1" applyFont="1" applyFill="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left" vertical="center" wrapText="1"/>
      <protection locked="0"/>
    </xf>
    <xf numFmtId="179" fontId="78" fillId="8" borderId="8" xfId="0" applyNumberFormat="1" applyFont="1" applyFill="1" applyBorder="1" applyAlignment="1" applyProtection="1">
      <alignment horizontal="left" vertical="center" wrapText="1"/>
      <protection locked="0"/>
    </xf>
    <xf numFmtId="179" fontId="78" fillId="8" borderId="9" xfId="0" applyNumberFormat="1" applyFont="1" applyFill="1" applyBorder="1" applyAlignment="1" applyProtection="1">
      <alignment horizontal="left"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9" fillId="5" borderId="0" xfId="0" applyFont="1" applyFill="1" applyAlignment="1" applyProtection="1">
      <alignment horizontal="left" vertical="center" wrapText="1"/>
      <protection locked="0"/>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24</xdr:col>
      <xdr:colOff>276225</xdr:colOff>
      <xdr:row>0</xdr:row>
      <xdr:rowOff>142875</xdr:rowOff>
    </xdr:from>
    <xdr:to>
      <xdr:col>34</xdr:col>
      <xdr:colOff>638175</xdr:colOff>
      <xdr:row>26</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174200" y="142875"/>
          <a:ext cx="7219950" cy="1104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78601</xdr:colOff>
      <xdr:row>0</xdr:row>
      <xdr:rowOff>0</xdr:rowOff>
    </xdr:from>
    <xdr:to>
      <xdr:col>10</xdr:col>
      <xdr:colOff>59550</xdr:colOff>
      <xdr:row>26</xdr:row>
      <xdr:rowOff>145565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01" y="0"/>
          <a:ext cx="6838949" cy="4603265"/>
        </a:xfrm>
        <a:prstGeom prst="rect">
          <a:avLst/>
        </a:prstGeom>
      </xdr:spPr>
    </xdr:pic>
    <xdr:clientData/>
  </xdr:twoCellAnchor>
  <xdr:twoCellAnchor editAs="oneCell">
    <xdr:from>
      <xdr:col>0</xdr:col>
      <xdr:colOff>0</xdr:colOff>
      <xdr:row>25</xdr:row>
      <xdr:rowOff>54750</xdr:rowOff>
    </xdr:from>
    <xdr:to>
      <xdr:col>10</xdr:col>
      <xdr:colOff>69075</xdr:colOff>
      <xdr:row>44</xdr:row>
      <xdr:rowOff>151987</xdr:rowOff>
    </xdr:to>
    <xdr:pic>
      <xdr:nvPicPr>
        <xdr:cNvPr id="5" name="图片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341000"/>
          <a:ext cx="6927075" cy="3354787"/>
        </a:xfrm>
        <a:prstGeom prst="rect">
          <a:avLst/>
        </a:prstGeom>
      </xdr:spPr>
    </xdr:pic>
    <xdr:clientData/>
  </xdr:twoCellAnchor>
  <xdr:twoCellAnchor editAs="oneCell">
    <xdr:from>
      <xdr:col>10</xdr:col>
      <xdr:colOff>609600</xdr:colOff>
      <xdr:row>0</xdr:row>
      <xdr:rowOff>0</xdr:rowOff>
    </xdr:from>
    <xdr:to>
      <xdr:col>18</xdr:col>
      <xdr:colOff>666750</xdr:colOff>
      <xdr:row>26</xdr:row>
      <xdr:rowOff>7585</xdr:rowOff>
    </xdr:to>
    <xdr:pic>
      <xdr:nvPicPr>
        <xdr:cNvPr id="8" name="图片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467600" y="0"/>
          <a:ext cx="5543550" cy="4465285"/>
        </a:xfrm>
        <a:prstGeom prst="rect">
          <a:avLst/>
        </a:prstGeom>
      </xdr:spPr>
    </xdr:pic>
    <xdr:clientData/>
  </xdr:twoCellAnchor>
  <xdr:twoCellAnchor editAs="oneCell">
    <xdr:from>
      <xdr:col>10</xdr:col>
      <xdr:colOff>597675</xdr:colOff>
      <xdr:row>25</xdr:row>
      <xdr:rowOff>16649</xdr:rowOff>
    </xdr:from>
    <xdr:to>
      <xdr:col>21</xdr:col>
      <xdr:colOff>568984</xdr:colOff>
      <xdr:row>45</xdr:row>
      <xdr:rowOff>142874</xdr:rowOff>
    </xdr:to>
    <xdr:pic>
      <xdr:nvPicPr>
        <xdr:cNvPr id="9" name="图片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55675" y="4302899"/>
          <a:ext cx="7515109" cy="3555225"/>
        </a:xfrm>
        <a:prstGeom prst="rect">
          <a:avLst/>
        </a:prstGeom>
      </xdr:spPr>
    </xdr:pic>
    <xdr:clientData/>
  </xdr:twoCellAnchor>
  <xdr:twoCellAnchor editAs="oneCell">
    <xdr:from>
      <xdr:col>23</xdr:col>
      <xdr:colOff>571501</xdr:colOff>
      <xdr:row>0</xdr:row>
      <xdr:rowOff>0</xdr:rowOff>
    </xdr:from>
    <xdr:to>
      <xdr:col>33</xdr:col>
      <xdr:colOff>85725</xdr:colOff>
      <xdr:row>24</xdr:row>
      <xdr:rowOff>166249</xdr:rowOff>
    </xdr:to>
    <xdr:pic>
      <xdr:nvPicPr>
        <xdr:cNvPr id="10" name="图片 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6344901" y="0"/>
          <a:ext cx="6372224" cy="4281049"/>
        </a:xfrm>
        <a:prstGeom prst="rect">
          <a:avLst/>
        </a:prstGeom>
      </xdr:spPr>
    </xdr:pic>
    <xdr:clientData/>
  </xdr:twoCellAnchor>
  <xdr:twoCellAnchor editAs="oneCell">
    <xdr:from>
      <xdr:col>23</xdr:col>
      <xdr:colOff>540525</xdr:colOff>
      <xdr:row>23</xdr:row>
      <xdr:rowOff>130950</xdr:rowOff>
    </xdr:from>
    <xdr:to>
      <xdr:col>33</xdr:col>
      <xdr:colOff>409575</xdr:colOff>
      <xdr:row>42</xdr:row>
      <xdr:rowOff>147741</xdr:rowOff>
    </xdr:to>
    <xdr:pic>
      <xdr:nvPicPr>
        <xdr:cNvPr id="11" name="图片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6313925" y="4074300"/>
          <a:ext cx="6727050" cy="3274341"/>
        </a:xfrm>
        <a:prstGeom prst="rect">
          <a:avLst/>
        </a:prstGeom>
      </xdr:spPr>
    </xdr:pic>
    <xdr:clientData/>
  </xdr:twoCellAnchor>
  <xdr:twoCellAnchor editAs="oneCell">
    <xdr:from>
      <xdr:col>0</xdr:col>
      <xdr:colOff>0</xdr:colOff>
      <xdr:row>45</xdr:row>
      <xdr:rowOff>132420</xdr:rowOff>
    </xdr:from>
    <xdr:to>
      <xdr:col>13</xdr:col>
      <xdr:colOff>628650</xdr:colOff>
      <xdr:row>87</xdr:row>
      <xdr:rowOff>37171</xdr:rowOff>
    </xdr:to>
    <xdr:pic>
      <xdr:nvPicPr>
        <xdr:cNvPr id="2" name="图片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7868579"/>
          <a:ext cx="9568211" cy="7125165"/>
        </a:xfrm>
        <a:prstGeom prst="rect">
          <a:avLst/>
        </a:prstGeom>
      </xdr:spPr>
    </xdr:pic>
    <xdr:clientData/>
  </xdr:twoCellAnchor>
  <xdr:twoCellAnchor>
    <xdr:from>
      <xdr:col>11</xdr:col>
      <xdr:colOff>57149</xdr:colOff>
      <xdr:row>72</xdr:row>
      <xdr:rowOff>104775</xdr:rowOff>
    </xdr:from>
    <xdr:to>
      <xdr:col>11</xdr:col>
      <xdr:colOff>200024</xdr:colOff>
      <xdr:row>73</xdr:row>
      <xdr:rowOff>76200</xdr:rowOff>
    </xdr:to>
    <xdr:sp macro="" textlink="">
      <xdr:nvSpPr>
        <xdr:cNvPr id="3" name="椭圆 2"/>
        <xdr:cNvSpPr/>
      </xdr:nvSpPr>
      <xdr:spPr>
        <a:xfrm>
          <a:off x="7600949" y="12449175"/>
          <a:ext cx="142875" cy="14287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21);"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landjs.com/web/ggdk_view.aspx?GGDK_GUID=11F84859FF4F44B7AD898A396F5C040A" TargetMode="External"/><Relationship Id="rId1" Type="http://schemas.openxmlformats.org/officeDocument/2006/relationships/hyperlink" Target="http://bbs.my0511.com/f151b-t6707409z-1-1"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71" sqref="M71"/>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2652</v>
      </c>
      <c r="B1" s="2891" t="s">
        <v>2749</v>
      </c>
    </row>
    <row r="2" spans="1:55" s="2895" customFormat="1" ht="15" thickTop="1">
      <c r="A2" s="2893" t="s">
        <v>2656</v>
      </c>
      <c r="B2" s="2894" t="str">
        <f>'预评函-封皮'!B37</f>
        <v>江苏省镇江市镇江新区丁岗三三八省道北321102092092GB01229W00000000号一宗住宅、商业用地出让国有建设用地使用权抵押价格预评估</v>
      </c>
      <c r="AX2" s="2896"/>
      <c r="AZ2" s="2896"/>
      <c r="BA2" s="2897"/>
      <c r="BC2" s="2897"/>
    </row>
    <row r="3" spans="1:55" s="2898" customFormat="1">
      <c r="A3" s="2877" t="s">
        <v>2657</v>
      </c>
      <c r="B3" s="2880" t="str">
        <f>'预评函-封皮'!B40</f>
        <v>中信信托有限责任公司</v>
      </c>
    </row>
    <row r="4" spans="1:55" s="2879" customFormat="1">
      <c r="A4" s="2877" t="s">
        <v>2658</v>
      </c>
      <c r="B4" s="2878" t="str">
        <f>'预评函-封皮'!B46</f>
        <v>王鹏、郑燚</v>
      </c>
      <c r="N4" s="2879" t="str">
        <f>'预评函-1'!A28</f>
        <v/>
      </c>
    </row>
    <row r="5" spans="1:55" s="2892" customFormat="1" ht="15" thickBot="1">
      <c r="A5" s="2899" t="s">
        <v>2659</v>
      </c>
      <c r="B5" s="2900" t="str">
        <f>'预评函-封皮'!B49</f>
        <v>康正预评字号</v>
      </c>
    </row>
    <row r="6" spans="1:55" s="2901" customFormat="1" ht="15" thickTop="1">
      <c r="A6" s="2893" t="s">
        <v>2701</v>
      </c>
      <c r="B6" s="2894" t="str">
        <f>'预评函-1'!A4</f>
        <v>受贵公司委托，我公司对江苏省镇江市镇江新区丁岗三三八省道北321102092092GB01229W00000000号一宗住宅、商业用地出让国有建设用地使用权抵押价格进行了预评估。</v>
      </c>
      <c r="AM6" s="2902"/>
    </row>
    <row r="7" spans="1:55" s="2876" customFormat="1">
      <c r="A7" s="2877" t="s">
        <v>2653</v>
      </c>
      <c r="B7" s="2878" t="str">
        <f>'预评函-1'!A6</f>
        <v>估价对象为江苏瀚瑞投资控股有限公司使用的、位于江苏省镇江市镇江新区丁岗三三八省道北321102092092GB01229W00000000号一宗住宅、商业用地出让国有建设用地使用权。根据《不动产权证书》[苏（2018）镇江市不动产权第9000056号]，估价对象（分摊）出让国有建设用地使用权面积为117823.1平方米。根据《国有建设用地使用权出让合同》及附件[编号：3211232010CR012]、《土地情况说明》，估价对象规划建筑面积为412380.85平方米。</v>
      </c>
    </row>
    <row r="8" spans="1:55" s="2876" customFormat="1">
      <c r="A8" s="2877" t="s">
        <v>2654</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2704</v>
      </c>
      <c r="B9" s="2878" t="str">
        <f>'预评函-1'!A9</f>
        <v>江苏瀚瑞投资控股有限公司拟使用江苏省镇江市镇江新区丁岗三三八省道北321102092092GB01229W00000000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76" customFormat="1">
      <c r="A10" s="2877" t="s">
        <v>2655</v>
      </c>
      <c r="B10" s="2878" t="str">
        <f>'预评函-1'!A11</f>
        <v>2018年12月11日（评估专业人员勘察现场之日）</v>
      </c>
    </row>
    <row r="11" spans="1:55" s="2876" customFormat="1">
      <c r="A11" s="2877" t="s">
        <v>2661</v>
      </c>
      <c r="B11" s="2878" t="str">
        <f>'预评函-1'!A14</f>
        <v>根据《不动产权证书》[苏（2018）镇江市不动产权第9000056号]，本次评估估价对象证载（地类）用途为城镇住宅、商务金融用地。</v>
      </c>
    </row>
    <row r="12" spans="1:55" s="2876" customFormat="1">
      <c r="A12" s="2877" t="s">
        <v>2662</v>
      </c>
      <c r="B12" s="2878" t="str">
        <f>'预评函-1'!A15</f>
        <v>本次评估设定用途即为证载用途住宅、商业用地。</v>
      </c>
    </row>
    <row r="13" spans="1:55" s="2876" customFormat="1">
      <c r="A13" s="2877" t="s">
        <v>2663</v>
      </c>
      <c r="B13" s="2878" t="str">
        <f>'预评函-1'!A17</f>
        <v>根据委托估价方介绍及评估专业人员现场勘查，本次评估估价对象实际土地开发程度为红线外市政基础设施达“六通”（即通路、通电、通讯、通上水、通下水、燃气）、宗地红线内场地平整。</v>
      </c>
    </row>
    <row r="14" spans="1:55" s="2876" customFormat="1">
      <c r="A14" s="2877" t="s">
        <v>2664</v>
      </c>
      <c r="B14" s="2878" t="str">
        <f>'预评函-1'!A18</f>
        <v>本次评估设定土地开发程度为红线外市政基础设施达“六通”、宗地红线内场地平整。</v>
      </c>
    </row>
    <row r="15" spans="1:55" s="2876" customFormat="1">
      <c r="A15" s="2877" t="s">
        <v>2660</v>
      </c>
      <c r="B15" s="2878" t="str">
        <f>'预评函-1'!A20</f>
        <v>根据《不动产权证书》[苏（2018）镇江市不动产权第9000056号]，估价对象（分摊）出让国有建设用地使用权面积为117823.1平方米。根据《国有建设用地使用权出让合同》及附件[编号：3211232010CR012]、《土地情况说明》，估价对象规划建筑面积为412380.85平方米。</v>
      </c>
    </row>
    <row r="16" spans="1:55" s="2876" customFormat="1">
      <c r="A16" s="2877" t="s">
        <v>2665</v>
      </c>
      <c r="B16" s="2878" t="str">
        <f>'预评函-1'!A22</f>
        <v>本次估价对象为出让国有建设用地使用权，《不动产权证书》[苏（2018）镇江市不动产权第9000056号]证载土地终止日期为住宅2080年10月31日、商业2050年10月31日。截至估价期日，出让国有建设用地使用权剩余土地使用年限为住宅61.9年、商业31.9年。</v>
      </c>
    </row>
    <row r="17" spans="1:48" s="2876" customFormat="1">
      <c r="A17" s="2877" t="s">
        <v>2666</v>
      </c>
      <c r="B17" s="2878" t="str">
        <f>'预评函-1'!A23</f>
        <v>本次评估设定估价对象剩余土地使用年限为住宅61.9年、商业31.9年。</v>
      </c>
    </row>
    <row r="18" spans="1:48" s="2876" customFormat="1">
      <c r="A18" s="2877" t="s">
        <v>2667</v>
      </c>
      <c r="B18" s="2878" t="str">
        <f>'预评函-1'!A25</f>
        <v>本次估价的“出让国有建设用地使用权价格”是指在估价对象土地所有权为国家所有，使用权性质为出让，在公开市场条件下、于估价期日2018年12月11日，在规划利用条件下、设定土地开发程度为红线外“六通”、宗地内场地平整，设定用途为住宅、商业用地，剩余土地使用年限为住宅61.9年、商业31.9年的出让国有建设用地使用权价格。</v>
      </c>
    </row>
    <row r="19" spans="1:48" s="2876" customFormat="1">
      <c r="A19" s="2877" t="s">
        <v>2668</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2669</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2670</v>
      </c>
      <c r="B21" s="2900" t="str">
        <f>'预评函-1'!A28</f>
        <v/>
      </c>
    </row>
    <row r="22" spans="1:48" ht="15" thickTop="1">
      <c r="A22" s="2888" t="s">
        <v>2671</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2672</v>
      </c>
      <c r="B23" s="2878" t="str">
        <f>'预评函-2'!K2</f>
        <v>估价期日：2018年12月11日</v>
      </c>
    </row>
    <row r="24" spans="1:48">
      <c r="A24" s="2877" t="s">
        <v>2673</v>
      </c>
      <c r="B24" s="2878" t="str">
        <f>'预评函-2'!R2</f>
        <v>估价期日的国有建设用地使用权性质：出让</v>
      </c>
    </row>
    <row r="25" spans="1:48">
      <c r="A25" s="2877" t="s">
        <v>2729</v>
      </c>
      <c r="B25" s="2878" t="str">
        <f>'预评函-2'!A3</f>
        <v>估价期日土地使用者</v>
      </c>
    </row>
    <row r="26" spans="1:48">
      <c r="A26" s="2877" t="s">
        <v>2705</v>
      </c>
      <c r="B26" s="2878" t="str">
        <f>'预评函-2'!A5</f>
        <v>中信开发</v>
      </c>
    </row>
    <row r="27" spans="1:48">
      <c r="A27" s="2877" t="s">
        <v>2730</v>
      </c>
      <c r="B27" s="2878" t="str">
        <f>'预评函-2'!B3</f>
        <v>宗地编号/不动产单元号</v>
      </c>
    </row>
    <row r="28" spans="1:48">
      <c r="A28" s="2877" t="s">
        <v>2706</v>
      </c>
      <c r="B28" s="2878" t="str">
        <f>'预评函-2'!B5</f>
        <v>11111111111</v>
      </c>
    </row>
    <row r="29" spans="1:48">
      <c r="A29" s="2877" t="s">
        <v>2732</v>
      </c>
      <c r="B29" s="2878">
        <f>'预评函-2'!C5</f>
        <v>22</v>
      </c>
    </row>
    <row r="30" spans="1:48">
      <c r="A30" s="2877" t="s">
        <v>2733</v>
      </c>
      <c r="B30" s="2878" t="str">
        <f>'预评函-2'!D3</f>
        <v>土地使用证编号/不动产权证书编号</v>
      </c>
    </row>
    <row r="31" spans="1:48">
      <c r="A31" s="2877" t="s">
        <v>2707</v>
      </c>
      <c r="B31" s="2878" t="str">
        <f>'预评函-2'!D5</f>
        <v>京国土字第111号</v>
      </c>
    </row>
    <row r="32" spans="1:48">
      <c r="A32" s="2877" t="s">
        <v>2708</v>
      </c>
      <c r="B32" s="2878" t="str">
        <f>'预评函-2'!E5</f>
        <v>城镇住宅、商务金融用地</v>
      </c>
      <c r="AV32" s="2882"/>
    </row>
    <row r="33" spans="1:2">
      <c r="A33" s="2877" t="s">
        <v>2709</v>
      </c>
      <c r="B33" s="2878">
        <f>'预评函-2'!F5</f>
        <v>258</v>
      </c>
    </row>
    <row r="34" spans="1:2">
      <c r="A34" s="2877" t="s">
        <v>2710</v>
      </c>
      <c r="B34" s="2878" t="str">
        <f>'预评函-2'!G5</f>
        <v>住宅、商业用地</v>
      </c>
    </row>
    <row r="35" spans="1:2">
      <c r="A35" s="2877" t="s">
        <v>2711</v>
      </c>
      <c r="B35" s="2878">
        <f>'预评函-2'!H5</f>
        <v>1.5</v>
      </c>
    </row>
    <row r="36" spans="1:2">
      <c r="A36" s="2877" t="s">
        <v>2712</v>
      </c>
      <c r="B36" s="2878">
        <f>'预评函-2'!I5</f>
        <v>1.5</v>
      </c>
    </row>
    <row r="37" spans="1:2">
      <c r="A37" s="2877" t="s">
        <v>2713</v>
      </c>
      <c r="B37" s="2878">
        <f>'预评函-2'!J5</f>
        <v>1.5</v>
      </c>
    </row>
    <row r="38" spans="1:2">
      <c r="A38" s="2877" t="s">
        <v>2714</v>
      </c>
      <c r="B38" s="2878" t="str">
        <f>'预评函-2'!K5</f>
        <v>红线外六通、宗地红线内场地平整</v>
      </c>
    </row>
    <row r="39" spans="1:2">
      <c r="A39" s="2877" t="s">
        <v>2715</v>
      </c>
      <c r="B39" s="2878" t="str">
        <f>'预评函-2'!L5</f>
        <v>红线外六通、宗地红线内场地平整</v>
      </c>
    </row>
    <row r="40" spans="1:2">
      <c r="A40" s="2877" t="s">
        <v>2734</v>
      </c>
      <c r="B40" s="2878" t="str">
        <f>'预评函-2'!M3</f>
        <v>（剩余）土地使用年限/年</v>
      </c>
    </row>
    <row r="41" spans="1:2">
      <c r="A41" s="2877" t="s">
        <v>2716</v>
      </c>
      <c r="B41" s="2878" t="str">
        <f>'预评函-2'!M5</f>
        <v>住宅61.9年、商业31.9年</v>
      </c>
    </row>
    <row r="42" spans="1:2">
      <c r="A42" s="2877" t="s">
        <v>2735</v>
      </c>
      <c r="B42" s="2878" t="str">
        <f>'预评函-2'!N3</f>
        <v>（分摊）出让国有建设用地使用权面积/㎡</v>
      </c>
    </row>
    <row r="43" spans="1:2">
      <c r="A43" s="2877" t="s">
        <v>2717</v>
      </c>
      <c r="B43" s="2878">
        <f>'预评函-2'!N5</f>
        <v>117823.1</v>
      </c>
    </row>
    <row r="44" spans="1:2">
      <c r="A44" s="2877" t="s">
        <v>2736</v>
      </c>
      <c r="B44" s="2878" t="str">
        <f>'预评函-2'!O3</f>
        <v>规划建筑面积/㎡</v>
      </c>
    </row>
    <row r="45" spans="1:2">
      <c r="A45" s="2877" t="s">
        <v>2718</v>
      </c>
      <c r="B45" s="2878">
        <f>'预评函-2'!O5</f>
        <v>412380.85000000003</v>
      </c>
    </row>
    <row r="46" spans="1:2">
      <c r="A46" s="2877" t="s">
        <v>2719</v>
      </c>
      <c r="B46" s="2878">
        <f ca="1">'预评函-2'!P5</f>
        <v>6040</v>
      </c>
    </row>
    <row r="47" spans="1:2">
      <c r="A47" s="2877" t="s">
        <v>2720</v>
      </c>
      <c r="B47" s="2878">
        <f ca="1">'预评函-2'!Q5</f>
        <v>1726</v>
      </c>
    </row>
    <row r="48" spans="1:2">
      <c r="A48" s="2877" t="s">
        <v>2721</v>
      </c>
      <c r="B48" s="2878">
        <f ca="1">'预评函-2'!R5</f>
        <v>71166</v>
      </c>
    </row>
    <row r="49" spans="1:2">
      <c r="A49" s="2877" t="s">
        <v>2737</v>
      </c>
      <c r="B49" s="2878" t="str">
        <f>'预评函-2'!A6</f>
        <v>抵押价格</v>
      </c>
    </row>
    <row r="50" spans="1:2">
      <c r="A50" s="2877" t="s">
        <v>2722</v>
      </c>
      <c r="B50" s="2878">
        <f ca="1">'预评函-2'!R6</f>
        <v>71166</v>
      </c>
    </row>
    <row r="51" spans="1:2">
      <c r="A51" s="2877" t="s">
        <v>2738</v>
      </c>
      <c r="B51" s="2878" t="str">
        <f>'预评函-2'!A7</f>
        <v>——</v>
      </c>
    </row>
    <row r="52" spans="1:2">
      <c r="A52" s="2877" t="s">
        <v>2723</v>
      </c>
      <c r="B52" s="2878" t="str">
        <f>'预评函-2'!R7</f>
        <v>——</v>
      </c>
    </row>
    <row r="53" spans="1:2">
      <c r="A53" s="2877" t="s">
        <v>2739</v>
      </c>
      <c r="B53" s="2878" t="str">
        <f>'预评函-2'!A8</f>
        <v>——</v>
      </c>
    </row>
    <row r="54" spans="1:2" s="2892" customFormat="1" ht="15" thickBot="1">
      <c r="A54" s="2899" t="s">
        <v>2724</v>
      </c>
      <c r="B54" s="2900" t="str">
        <f>'预评函-2'!R8</f>
        <v>——</v>
      </c>
    </row>
    <row r="55" spans="1:2" ht="15" thickTop="1">
      <c r="A55" s="2888" t="s">
        <v>2674</v>
      </c>
      <c r="B55" s="2889" t="str">
        <f>'预评函-3'!A2</f>
        <v>1.权利限制：根据估价对象《不动产权证书》原件，截至估价期日，估价对象抵押权未见登记。未设定租赁等其他他项权利。</v>
      </c>
    </row>
    <row r="56" spans="1:2">
      <c r="A56" s="2877" t="s">
        <v>2675</v>
      </c>
      <c r="B56" s="2878" t="str">
        <f>'预评函-3'!A3</f>
        <v>2.基础设施条件：估价对象实际开发程度为红线外六通、宗地红线内场地平整；本次评估设定开发程度为红线外六通、宗地红线内场地平整。</v>
      </c>
    </row>
    <row r="57" spans="1:2">
      <c r="A57" s="2877" t="s">
        <v>2676</v>
      </c>
      <c r="B57" s="2878" t="str">
        <f>'预评函-3'!A4</f>
        <v>3.估价规划限制条件：详见《国有建设用地使用权出让合同》及附件[编号：3211232010CR012]、《土地情况说明》。</v>
      </c>
    </row>
    <row r="58" spans="1:2" s="2892" customFormat="1" ht="15" thickBot="1">
      <c r="A58" s="2899" t="s">
        <v>2725</v>
      </c>
      <c r="B58" s="2900" t="str">
        <f>'预评函-3'!A5</f>
        <v>4.影响价格的其他限定条件：无。</v>
      </c>
    </row>
    <row r="59" spans="1:2" ht="15" thickTop="1">
      <c r="A59" s="2888" t="s">
        <v>2677</v>
      </c>
      <c r="B59" s="2889" t="str">
        <f>'预评函-3'!A8</f>
        <v>2.本《评估意见函》仅供金融机构进行内部审核使用，不做其他目的之用。</v>
      </c>
    </row>
    <row r="60" spans="1:2">
      <c r="A60" s="2877" t="s">
        <v>2678</v>
      </c>
      <c r="B60" s="2878" t="str">
        <f>'预评函-3'!A9</f>
        <v>3.抵押双方在办理抵押登记手续时，应使用本公司出具的正式《土地估价报告》，特提请报告使用者注意。</v>
      </c>
    </row>
    <row r="61" spans="1:2">
      <c r="A61" s="2877" t="s">
        <v>2680</v>
      </c>
      <c r="B61" s="2878" t="str">
        <f>'预评函-3'!A10</f>
        <v>4.估价师所知悉的法定优先受偿款情况为：</v>
      </c>
    </row>
    <row r="62" spans="1:2">
      <c r="A62" s="2877" t="s">
        <v>2679</v>
      </c>
      <c r="B62" s="2878" t="str">
        <f>'预评函-3'!A11</f>
        <v>（1）根据估价对象《不动产权证书》原件，截至估价期日，估价对象抵押权未见登记。</v>
      </c>
    </row>
    <row r="63" spans="1:2">
      <c r="A63" s="2877" t="s">
        <v>2681</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2682</v>
      </c>
      <c r="B64" s="2883" t="str">
        <f>'预评函-3'!A13</f>
        <v>（3）。</v>
      </c>
    </row>
    <row r="65" spans="1:2">
      <c r="A65" s="2877" t="s">
        <v>2683</v>
      </c>
      <c r="B65" s="2884" t="str">
        <f>'预评函-3'!A14</f>
        <v>综上，本次评估不存在估价师知悉的法定优先受偿款</v>
      </c>
    </row>
    <row r="66" spans="1:2">
      <c r="A66" s="2877" t="s">
        <v>2684</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2685</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2688</v>
      </c>
      <c r="B68" s="2903">
        <f>'预评函-3'!D30</f>
        <v>42558</v>
      </c>
    </row>
    <row r="69" spans="1:2" ht="15" thickTop="1">
      <c r="A69" s="2888" t="s">
        <v>2686</v>
      </c>
      <c r="B69" s="2889" t="str">
        <f>'预评函-3'!A20</f>
        <v>王鹏</v>
      </c>
    </row>
    <row r="70" spans="1:2">
      <c r="A70" s="2877" t="s">
        <v>2686</v>
      </c>
      <c r="B70" s="2884">
        <f ca="1">'预评函-3'!B20</f>
        <v>2002110030</v>
      </c>
    </row>
    <row r="71" spans="1:2">
      <c r="A71" s="2877" t="s">
        <v>2687</v>
      </c>
      <c r="B71" s="2878" t="str">
        <f>'预评函-3'!A21</f>
        <v>郑燚</v>
      </c>
    </row>
    <row r="72" spans="1:2" s="2892" customFormat="1" ht="15" thickBot="1">
      <c r="A72" s="2899" t="s">
        <v>2687</v>
      </c>
      <c r="B72" s="2905">
        <f>'预评函-3'!B21</f>
        <v>2014110011</v>
      </c>
    </row>
    <row r="73" spans="1:2" ht="15" thickTop="1">
      <c r="A73" s="2888" t="s">
        <v>2746</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2747</v>
      </c>
      <c r="B74" s="2885" t="str">
        <f>'预评函-1 (储备)'!A18</f>
        <v>由于本次评估估价目的是评估储备国有建设用地使用权的“抵押价格”，因此本次评估设定土地开发程度为红线外市政基础设施达“六通”、宗地红线内场地平整。</v>
      </c>
    </row>
    <row r="75" spans="1:2" s="2892" customFormat="1" ht="15" thickBot="1">
      <c r="A75" s="2899" t="s">
        <v>2748</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2783</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13" sqref="B13:D13"/>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64" t="str">
        <f>IF(B10="北京市","北京市",C10)&amp;F10&amp;B16&amp;"国有建设用地使用权"&amp;B9&amp;"预评估"</f>
        <v>江苏省镇江市镇江新区丁岗三三八省道北321102092092GB01229W00000000号一宗住宅、商业用地出让国有建设用地使用权抵押价格预评估</v>
      </c>
      <c r="C1" s="3265"/>
      <c r="D1" s="3265"/>
      <c r="E1" s="3265"/>
      <c r="F1" s="3265"/>
      <c r="G1" s="3265"/>
      <c r="H1" s="3265"/>
      <c r="I1" s="3266"/>
      <c r="J1" s="1692"/>
      <c r="K1" s="2454" t="str">
        <f>IF(B10="北京市","北京市",C10)&amp;F10&amp;B16&amp;"国有建设用地使用权"&amp;B9</f>
        <v>江苏省镇江市镇江新区丁岗三三八省道北321102092092GB01229W00000000号一宗住宅、商业用地出让国有建设用地使用权抵押价格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江苏省镇江市镇江新区丁岗三三八省道北321102092092GB01229W00000000号一宗住宅、商业用地出让国有建设用地使用权</v>
      </c>
      <c r="L2" s="1721"/>
      <c r="M2" s="1721"/>
      <c r="N2" s="1692"/>
      <c r="O2" s="1693"/>
      <c r="P2" s="1692"/>
      <c r="Q2" s="1692"/>
      <c r="R2" s="1692"/>
      <c r="S2" s="1692"/>
      <c r="T2" s="1692"/>
      <c r="U2" s="1692"/>
    </row>
    <row r="3" spans="1:21">
      <c r="A3" s="1659" t="s">
        <v>1941</v>
      </c>
      <c r="B3" s="1660">
        <v>43445</v>
      </c>
      <c r="C3" s="1661" t="s">
        <v>1996</v>
      </c>
      <c r="D3" s="1660">
        <f>B3</f>
        <v>43445</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2972</v>
      </c>
      <c r="C4" s="1844">
        <f ca="1">SUMIF(土地估价师,B4,估价师及机构信息!E3:E24)</f>
        <v>2002110030</v>
      </c>
      <c r="D4" s="1841" t="s">
        <v>2973</v>
      </c>
      <c r="E4" s="1844">
        <f>SUMIF(土地估价师,D4,估价师及机构信息!E3:E24)</f>
        <v>2014110011</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王鹏、郑燚</v>
      </c>
      <c r="L4" s="1721"/>
      <c r="M4" s="1721"/>
      <c r="N4" s="1692"/>
      <c r="O4" s="1693"/>
      <c r="P4" s="1692"/>
      <c r="Q4" s="1692"/>
      <c r="R4" s="1692"/>
      <c r="S4" s="1692"/>
      <c r="T4" s="1692"/>
      <c r="U4" s="1692"/>
    </row>
    <row r="5" spans="1:21" ht="15" thickTop="1">
      <c r="A5" s="1663" t="s">
        <v>1943</v>
      </c>
      <c r="B5" s="1787" t="str">
        <f>B6</f>
        <v>中信信托有限责任公司</v>
      </c>
      <c r="C5" s="1664"/>
      <c r="D5" s="1665"/>
      <c r="E5" s="1692"/>
      <c r="F5" s="1692"/>
      <c r="G5" s="1692"/>
      <c r="H5" s="1658"/>
      <c r="I5" s="1693"/>
      <c r="J5" s="1692"/>
      <c r="K5" s="1772"/>
      <c r="L5" s="1721"/>
      <c r="M5" s="1721"/>
      <c r="N5" s="1692"/>
      <c r="O5" s="1693"/>
      <c r="P5" s="1692"/>
      <c r="Q5" s="1692"/>
      <c r="R5" s="1692"/>
      <c r="S5" s="1692"/>
      <c r="T5" s="1692"/>
      <c r="U5" s="1692"/>
    </row>
    <row r="6" spans="1:21" ht="26.25">
      <c r="A6" s="1661" t="s">
        <v>2702</v>
      </c>
      <c r="B6" s="1787" t="s">
        <v>2974</v>
      </c>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2703</v>
      </c>
      <c r="B7" s="1787" t="s">
        <v>2975</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2976</v>
      </c>
      <c r="C8" s="1669"/>
      <c r="D8" s="3270" t="s">
        <v>1946</v>
      </c>
      <c r="E8" s="1842" t="s">
        <v>2977</v>
      </c>
      <c r="F8" s="1670"/>
      <c r="G8" s="1658"/>
      <c r="H8" s="1658"/>
      <c r="I8" s="1705"/>
      <c r="J8" s="1692"/>
      <c r="K8" s="1772"/>
      <c r="L8" s="1721"/>
      <c r="M8" s="1721"/>
      <c r="N8" s="1692"/>
      <c r="O8" s="1693"/>
      <c r="P8" s="1692"/>
      <c r="Q8" s="1692"/>
      <c r="R8" s="1692"/>
      <c r="S8" s="1692"/>
      <c r="T8" s="1692"/>
      <c r="U8" s="1692"/>
    </row>
    <row r="9" spans="1:21" ht="15" thickBot="1">
      <c r="A9" s="1671" t="s">
        <v>1945</v>
      </c>
      <c r="B9" s="1672" t="s">
        <v>2977</v>
      </c>
      <c r="C9" s="1673"/>
      <c r="D9" s="3271"/>
      <c r="E9" s="1672" t="s">
        <v>951</v>
      </c>
      <c r="F9" s="1745"/>
      <c r="G9" s="1740"/>
      <c r="H9" s="1740"/>
      <c r="I9" s="1741"/>
      <c r="J9" s="1692"/>
      <c r="K9" s="1772"/>
      <c r="L9" s="1721"/>
      <c r="M9" s="1721"/>
      <c r="N9" s="1692"/>
      <c r="O9" s="1693"/>
      <c r="P9" s="1692"/>
      <c r="Q9" s="1692"/>
      <c r="R9" s="1692"/>
      <c r="S9" s="1692"/>
      <c r="T9" s="1692"/>
      <c r="U9" s="1692"/>
    </row>
    <row r="10" spans="1:21" ht="15" thickTop="1">
      <c r="A10" s="1742" t="s">
        <v>1999</v>
      </c>
      <c r="B10" s="1717" t="s">
        <v>2979</v>
      </c>
      <c r="C10" s="1674" t="s">
        <v>2978</v>
      </c>
      <c r="D10" s="1665"/>
      <c r="E10" s="1675" t="s">
        <v>1948</v>
      </c>
      <c r="F10" s="1676" t="s">
        <v>2981</v>
      </c>
      <c r="G10" s="1743"/>
      <c r="H10" s="1744"/>
      <c r="I10" s="1665"/>
      <c r="J10" s="1692"/>
      <c r="K10" s="1772"/>
      <c r="L10" s="1721"/>
      <c r="M10" s="1721"/>
      <c r="N10" s="1692"/>
      <c r="O10" s="1693"/>
      <c r="P10" s="1692"/>
      <c r="Q10" s="1692"/>
      <c r="R10" s="1692"/>
      <c r="S10" s="1692"/>
      <c r="T10" s="1692"/>
      <c r="U10" s="1692"/>
    </row>
    <row r="11" spans="1:21" ht="28.5">
      <c r="A11" s="1695" t="s">
        <v>2000</v>
      </c>
      <c r="B11" s="1696" t="s">
        <v>2980</v>
      </c>
      <c r="C11" s="1677" t="s">
        <v>2975</v>
      </c>
      <c r="D11" s="1760"/>
      <c r="E11" s="1658"/>
      <c r="F11" s="1658"/>
      <c r="G11" s="1658"/>
      <c r="H11" s="1658"/>
      <c r="I11" s="1658"/>
      <c r="J11" s="1692"/>
      <c r="K11" s="1772"/>
      <c r="L11" s="1721"/>
      <c r="M11" s="1721"/>
      <c r="N11" s="1692"/>
      <c r="O11" s="1693"/>
      <c r="P11" s="1692"/>
      <c r="Q11" s="1692"/>
      <c r="R11" s="1692"/>
      <c r="S11" s="1692"/>
      <c r="T11" s="1692"/>
      <c r="U11" s="1692"/>
    </row>
    <row r="12" spans="1:21">
      <c r="A12" s="1783" t="s">
        <v>2058</v>
      </c>
      <c r="B12" s="3267" t="s">
        <v>2982</v>
      </c>
      <c r="C12" s="3268"/>
      <c r="D12" s="3269"/>
      <c r="E12" s="1697" t="s">
        <v>2061</v>
      </c>
      <c r="F12" s="3285" t="s">
        <v>2984</v>
      </c>
      <c r="G12" s="3286"/>
      <c r="H12" s="3286"/>
      <c r="I12" s="3287"/>
      <c r="J12" s="1692"/>
      <c r="K12" s="1772"/>
      <c r="L12" s="1721"/>
      <c r="M12" s="1721"/>
      <c r="N12" s="1692"/>
      <c r="O12" s="1693"/>
      <c r="P12" s="1692"/>
      <c r="Q12" s="1692"/>
      <c r="R12" s="1692"/>
      <c r="S12" s="1692"/>
      <c r="T12" s="1692"/>
      <c r="U12" s="1692"/>
    </row>
    <row r="13" spans="1:21">
      <c r="A13" s="1685" t="s">
        <v>2059</v>
      </c>
      <c r="B13" s="3267" t="s">
        <v>2983</v>
      </c>
      <c r="C13" s="3268"/>
      <c r="D13" s="3269"/>
      <c r="E13" s="1697" t="s">
        <v>2061</v>
      </c>
      <c r="F13" s="3285" t="s">
        <v>2985</v>
      </c>
      <c r="G13" s="3286"/>
      <c r="H13" s="3286"/>
      <c r="I13" s="3287"/>
      <c r="J13" s="1692"/>
      <c r="K13" s="1772"/>
      <c r="L13" s="1721"/>
      <c r="M13" s="1721"/>
      <c r="N13" s="1692"/>
      <c r="O13" s="1693"/>
      <c r="P13" s="1692"/>
      <c r="Q13" s="1692"/>
      <c r="R13" s="1692"/>
      <c r="S13" s="1692"/>
      <c r="T13" s="1692"/>
      <c r="U13" s="1692"/>
    </row>
    <row r="14" spans="1:21">
      <c r="A14" s="1659" t="s">
        <v>2062</v>
      </c>
      <c r="B14" s="1697"/>
      <c r="C14" s="1843" t="s">
        <v>2987</v>
      </c>
      <c r="D14" s="1731" t="str">
        <f>IF(C14="不一致","是否符合证载地类范围","")</f>
        <v/>
      </c>
      <c r="E14" s="1697"/>
      <c r="F14" s="1788" t="s">
        <v>2986</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2988</v>
      </c>
      <c r="C16" s="1697" t="s">
        <v>1950</v>
      </c>
      <c r="D16" s="2645" t="s">
        <v>1951</v>
      </c>
      <c r="E16" s="1720" t="s">
        <v>2989</v>
      </c>
      <c r="F16" s="1720"/>
      <c r="G16" s="1720"/>
      <c r="H16" s="1720"/>
      <c r="I16" s="1684" t="s">
        <v>1956</v>
      </c>
      <c r="J16" s="1692"/>
      <c r="K16" s="2455" t="str">
        <f>IF(D17="","",D16&amp;TEXT(D17,"yyyy年m月d日;;"))</f>
        <v>住宅2080年10月31日</v>
      </c>
      <c r="L16" s="1697" t="str">
        <f>IF(OR(K16="",M16=""),"","、")</f>
        <v>、</v>
      </c>
      <c r="M16" s="2455" t="str">
        <f>IF(E17="","",E16&amp;TEXT(E17,"yyyy年m月d日;;"))</f>
        <v>商业2050年10月31日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1957</v>
      </c>
      <c r="D17" s="1698">
        <v>66050</v>
      </c>
      <c r="E17" s="1698">
        <v>55092</v>
      </c>
      <c r="F17" s="1698"/>
      <c r="G17" s="1698"/>
      <c r="H17" s="1698"/>
      <c r="I17" s="1698"/>
      <c r="J17" s="1692"/>
      <c r="K17" s="2454" t="str">
        <f>CONCATENATE(K16,L16,M16,N16,O16,P16,Q16,R16,S16,T16,,U16)</f>
        <v>住宅2080年10月31日、商业2050年10月31日</v>
      </c>
      <c r="L17" s="1721"/>
      <c r="M17" s="1721"/>
      <c r="N17" s="1692"/>
      <c r="O17" s="1693"/>
      <c r="P17" s="1692"/>
      <c r="Q17" s="1692"/>
      <c r="R17" s="1692"/>
      <c r="S17" s="1692"/>
      <c r="T17" s="1692"/>
      <c r="U17" s="1692"/>
    </row>
    <row r="18" spans="1:21">
      <c r="A18" s="1761"/>
      <c r="B18" s="1680"/>
      <c r="C18" s="1681" t="s">
        <v>1958</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61.93</v>
      </c>
      <c r="E19" s="1683">
        <f>IF(B16="出让",IF(E17="","",ROUNDDOWN(MIN((E17-$D$3)/365,E18),2)),E18)</f>
        <v>31.9</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82" t="s">
        <v>2990</v>
      </c>
      <c r="E20" s="3283"/>
      <c r="F20" s="3283"/>
      <c r="G20" s="3283"/>
      <c r="H20" s="3283"/>
      <c r="I20" s="3284"/>
      <c r="J20" s="1692"/>
      <c r="K20" s="1772"/>
      <c r="L20" s="1721"/>
      <c r="M20" s="1721"/>
      <c r="N20" s="1692"/>
      <c r="O20" s="1693"/>
      <c r="P20" s="1692"/>
      <c r="Q20" s="1692"/>
      <c r="R20" s="1692"/>
      <c r="S20" s="1692"/>
      <c r="T20" s="1692"/>
      <c r="U20" s="1692"/>
    </row>
    <row r="21" spans="1:21">
      <c r="A21" s="1761" t="s">
        <v>1960</v>
      </c>
      <c r="B21" s="1762" t="s">
        <v>1961</v>
      </c>
      <c r="C21" s="1757">
        <f>'数据-汇总表'!E3</f>
        <v>412380.85000000003</v>
      </c>
      <c r="D21" s="1758" t="s">
        <v>1962</v>
      </c>
      <c r="E21" s="3272" t="str">
        <f>F13</f>
        <v>《国有建设用地使用权出让合同》及附件[编号：3211232010CR012]、《土地情况说明》</v>
      </c>
      <c r="F21" s="3273"/>
      <c r="G21" s="3273"/>
      <c r="H21" s="3273"/>
      <c r="I21" s="3274"/>
      <c r="J21" s="1692"/>
      <c r="K21" s="1772"/>
      <c r="L21" s="1721"/>
      <c r="M21" s="1721"/>
      <c r="N21" s="1692"/>
      <c r="O21" s="1693"/>
      <c r="P21" s="1692"/>
      <c r="Q21" s="1692"/>
      <c r="R21" s="1692"/>
      <c r="S21" s="1692"/>
      <c r="T21" s="1692"/>
      <c r="U21" s="1692"/>
    </row>
    <row r="22" spans="1:21">
      <c r="A22" s="3148" t="s">
        <v>951</v>
      </c>
      <c r="B22" s="1659" t="s">
        <v>1963</v>
      </c>
      <c r="C22" s="1684">
        <f>'数据-汇总表'!D3</f>
        <v>117823.1</v>
      </c>
      <c r="D22" s="1685" t="s">
        <v>1962</v>
      </c>
      <c r="E22" s="3272" t="str">
        <f>F12</f>
        <v>《不动产权证书》[苏（2018）镇江市不动产权第9000056号]</v>
      </c>
      <c r="F22" s="3273"/>
      <c r="G22" s="3273"/>
      <c r="H22" s="3273"/>
      <c r="I22" s="3274"/>
      <c r="J22" s="1692"/>
      <c r="K22" s="1772"/>
      <c r="L22" s="1721"/>
      <c r="M22" s="1721"/>
      <c r="N22" s="1692"/>
      <c r="O22" s="1693"/>
      <c r="P22" s="1692"/>
      <c r="Q22" s="1692"/>
      <c r="R22" s="1692"/>
      <c r="S22" s="1692"/>
      <c r="T22" s="1692"/>
      <c r="U22" s="1692"/>
    </row>
    <row r="23" spans="1:21" ht="43.5" thickBot="1">
      <c r="A23" s="1763" t="s">
        <v>1964</v>
      </c>
      <c r="B23" s="1699" t="s">
        <v>1965</v>
      </c>
      <c r="C23" s="1700" t="s">
        <v>2991</v>
      </c>
      <c r="D23" s="1701" t="s">
        <v>1966</v>
      </c>
      <c r="E23" s="1702" t="s">
        <v>951</v>
      </c>
      <c r="F23" s="1703" t="str">
        <f>IF(AND(C23="是",E23="否"),"是否提供他项权证或相关说明","")</f>
        <v/>
      </c>
      <c r="G23" s="1704" t="s">
        <v>951</v>
      </c>
      <c r="H23" s="1692"/>
      <c r="I23" s="1705"/>
      <c r="J23" s="1692"/>
      <c r="K23" s="1772"/>
      <c r="L23" s="1721"/>
      <c r="M23" s="1721"/>
      <c r="N23" s="1692"/>
      <c r="O23" s="1693"/>
      <c r="P23" s="1692"/>
      <c r="Q23" s="1692"/>
      <c r="R23" s="1692"/>
      <c r="S23" s="1692"/>
      <c r="T23" s="1692"/>
      <c r="U23" s="1692"/>
    </row>
    <row r="24" spans="1:21">
      <c r="A24" s="1748" t="s">
        <v>1967</v>
      </c>
      <c r="B24" s="3275" t="s">
        <v>1968</v>
      </c>
      <c r="C24" s="3276"/>
      <c r="D24" s="3277" t="s">
        <v>1969</v>
      </c>
      <c r="E24" s="3278"/>
      <c r="F24" s="1706" t="s">
        <v>1970</v>
      </c>
      <c r="G24" s="1692"/>
      <c r="H24" s="1692"/>
      <c r="I24" s="1705"/>
      <c r="J24" s="1692"/>
      <c r="K24" s="3263" t="s">
        <v>1971</v>
      </c>
      <c r="L24" s="2456"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1"/>
      <c r="N24" s="1692"/>
      <c r="O24" s="1693"/>
      <c r="P24" s="1692"/>
      <c r="Q24" s="1692"/>
      <c r="R24" s="1692"/>
      <c r="S24" s="1692"/>
      <c r="T24" s="1692"/>
      <c r="U24" s="1692"/>
    </row>
    <row r="25" spans="1:21" ht="28.5">
      <c r="A25" s="1749"/>
      <c r="B25" s="1746" t="s">
        <v>2325</v>
      </c>
      <c r="C25" s="1707" t="s">
        <v>1972</v>
      </c>
      <c r="D25" s="1708"/>
      <c r="E25" s="1709" t="s">
        <v>951</v>
      </c>
      <c r="F25" s="1710"/>
      <c r="G25" s="1692"/>
      <c r="H25" s="1692"/>
      <c r="I25" s="1705"/>
      <c r="J25" s="1692"/>
      <c r="K25" s="3263"/>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t="s">
        <v>951</v>
      </c>
      <c r="C26" s="1707" t="s">
        <v>951</v>
      </c>
      <c r="D26" s="1658"/>
      <c r="E26" s="1658"/>
      <c r="F26" s="1686"/>
      <c r="G26" s="1692"/>
      <c r="H26" s="1692"/>
      <c r="I26" s="1705"/>
      <c r="J26" s="1692"/>
      <c r="K26" s="3263"/>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49" t="s">
        <v>2001</v>
      </c>
      <c r="B31" s="1762" t="s">
        <v>2002</v>
      </c>
      <c r="C31" s="3288"/>
      <c r="D31" s="3289"/>
      <c r="E31" s="1692"/>
      <c r="F31" s="1692"/>
      <c r="G31" s="1692"/>
      <c r="H31" s="1692"/>
      <c r="I31" s="1705"/>
      <c r="J31" s="1692"/>
      <c r="K31" s="2457"/>
      <c r="L31" s="1692"/>
      <c r="M31" s="1692"/>
      <c r="N31" s="1692"/>
      <c r="O31" s="1692"/>
      <c r="P31" s="1692"/>
      <c r="Q31" s="1692"/>
      <c r="R31" s="1692"/>
      <c r="S31" s="1692"/>
      <c r="T31" s="1692"/>
      <c r="U31" s="1692"/>
    </row>
    <row r="32" spans="1:21">
      <c r="A32" s="3249"/>
      <c r="B32" s="1659" t="s">
        <v>2003</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49"/>
      <c r="B33" s="1659" t="s">
        <v>2004</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50"/>
      <c r="B34" s="1659" t="s">
        <v>2005</v>
      </c>
      <c r="C34" s="3251"/>
      <c r="D34" s="3252"/>
      <c r="E34" s="1692"/>
      <c r="F34" s="1692"/>
      <c r="G34" s="1692"/>
      <c r="H34" s="1692"/>
      <c r="I34" s="1705"/>
      <c r="J34" s="1692"/>
      <c r="K34" s="2457"/>
      <c r="L34" s="1692"/>
      <c r="M34" s="1692"/>
      <c r="N34" s="1692"/>
      <c r="O34" s="1692"/>
      <c r="P34" s="1692"/>
      <c r="Q34" s="1692"/>
      <c r="R34" s="1692"/>
      <c r="S34" s="1692"/>
      <c r="T34" s="1692"/>
      <c r="U34" s="1692"/>
    </row>
    <row r="35" spans="1:21">
      <c r="A35" s="3253" t="s">
        <v>846</v>
      </c>
      <c r="B35" s="1720" t="s">
        <v>2992</v>
      </c>
      <c r="C35" s="1774" t="str">
        <f>IF(B35="场地平整","——","具体情况：")</f>
        <v>——</v>
      </c>
      <c r="D35" s="3255"/>
      <c r="E35" s="3256"/>
      <c r="F35" s="3256"/>
      <c r="G35" s="3256"/>
      <c r="H35" s="3256"/>
      <c r="I35" s="3257"/>
      <c r="J35" s="1692"/>
      <c r="K35" s="1773"/>
      <c r="L35" s="1721"/>
      <c r="M35" s="1721"/>
      <c r="N35" s="1692"/>
      <c r="O35" s="1693"/>
      <c r="P35" s="1692"/>
      <c r="Q35" s="1692"/>
      <c r="R35" s="1692"/>
      <c r="S35" s="1692"/>
      <c r="T35" s="1692"/>
      <c r="U35" s="1692"/>
    </row>
    <row r="36" spans="1:21">
      <c r="A36" s="3249"/>
      <c r="B36" s="3258" t="s">
        <v>2054</v>
      </c>
      <c r="C36" s="3259"/>
      <c r="D36" s="1790" t="s">
        <v>2993</v>
      </c>
      <c r="E36" s="3260"/>
      <c r="F36" s="3260"/>
      <c r="G36" s="1685" t="str">
        <f>IF(B35="场地未平整","估价结果处理","")</f>
        <v/>
      </c>
      <c r="H36" s="3261"/>
      <c r="I36" s="3261"/>
      <c r="J36" s="1692"/>
      <c r="K36" s="1773"/>
      <c r="L36" s="1721"/>
      <c r="M36" s="1721"/>
      <c r="N36" s="1692"/>
      <c r="O36" s="1693"/>
      <c r="P36" s="1692"/>
      <c r="Q36" s="1692"/>
      <c r="R36" s="1692"/>
      <c r="S36" s="1692"/>
      <c r="T36" s="1692"/>
      <c r="U36" s="1692"/>
    </row>
    <row r="37" spans="1:21" ht="28.5">
      <c r="A37" s="3249"/>
      <c r="B37" s="3279"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49"/>
      <c r="B38" s="3280"/>
      <c r="C38" s="1667" t="s">
        <v>849</v>
      </c>
      <c r="D38" s="1789">
        <f>ROUNDDOWN(MIN(('数据-取费表'!$B$2-D37)/365,D34),1)</f>
        <v>119</v>
      </c>
      <c r="E38" s="1725" t="s">
        <v>850</v>
      </c>
      <c r="F38" s="1692"/>
      <c r="G38" s="1692"/>
      <c r="H38" s="1692"/>
      <c r="I38" s="1705"/>
      <c r="J38" s="1692"/>
      <c r="K38" s="1773"/>
      <c r="L38" s="1692"/>
      <c r="M38" s="1692"/>
      <c r="N38" s="1692"/>
      <c r="O38" s="1692"/>
      <c r="P38" s="1692"/>
      <c r="Q38" s="1692"/>
      <c r="R38" s="1692"/>
      <c r="S38" s="1692"/>
      <c r="T38" s="1692"/>
      <c r="U38" s="1692"/>
    </row>
    <row r="39" spans="1:21">
      <c r="A39" s="3250"/>
      <c r="B39" s="328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2994</v>
      </c>
      <c r="C40" s="1688" t="s">
        <v>2995</v>
      </c>
      <c r="D40" s="1688" t="s">
        <v>2996</v>
      </c>
      <c r="E40" s="1688" t="s">
        <v>2997</v>
      </c>
      <c r="F40" s="1688" t="s">
        <v>2998</v>
      </c>
      <c r="G40" s="1688" t="s">
        <v>2999</v>
      </c>
      <c r="H40" s="1688" t="s">
        <v>951</v>
      </c>
      <c r="I40" s="1705"/>
      <c r="J40" s="1692"/>
      <c r="K40" s="1728">
        <f>COUNTIF(B40:H40,"——")</f>
        <v>1</v>
      </c>
      <c r="L40" s="1697" t="s">
        <v>1979</v>
      </c>
      <c r="M40" s="1694" t="s">
        <v>1980</v>
      </c>
      <c r="N40" s="1694" t="s">
        <v>1981</v>
      </c>
      <c r="O40" s="1694" t="s">
        <v>1982</v>
      </c>
      <c r="P40" s="1694" t="s">
        <v>1983</v>
      </c>
      <c r="Q40" s="1694" t="s">
        <v>1984</v>
      </c>
      <c r="R40" s="1694" t="s">
        <v>1985</v>
      </c>
      <c r="S40" s="3262" t="s">
        <v>1986</v>
      </c>
      <c r="T40" s="1729" t="str">
        <f>NUMBERSTRING(7-K40,1)&amp;"通"</f>
        <v>六通</v>
      </c>
      <c r="U40" s="1692"/>
    </row>
    <row r="41" spans="1:21" ht="28.5">
      <c r="A41" s="1661"/>
      <c r="B41" s="3254" t="s">
        <v>1721</v>
      </c>
      <c r="C41" s="3254"/>
      <c r="D41" s="3254"/>
      <c r="E41" s="3254"/>
      <c r="F41" s="1730" t="str">
        <f>C10</f>
        <v>江苏省镇江市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62"/>
      <c r="T41" s="1731" t="str">
        <f>IF(T40="一通",L41,IF(T40="二通",M41,IF(T40="三通",N41,IF(T40="四通",O41,IF(T40="五通",P41,IF(T40="六通",Q41,R41))))))</f>
        <v>通路、通电、通讯、通上水、通下水、燃气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2884</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activeCell="M71" sqref="M71"/>
      <selection pane="topRight" activeCell="M71" sqref="M71"/>
      <selection pane="bottomLeft" activeCell="M71" sqref="M71"/>
      <selection pane="bottomRight" activeCell="M71" sqref="M7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9" t="s">
        <v>2332</v>
      </c>
      <c r="BA2" s="2360"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117823.1</v>
      </c>
      <c r="B3" s="22">
        <f>IF(C3="否",G5-AT5,G5)</f>
        <v>412380.85000000003</v>
      </c>
      <c r="C3" s="23" t="s">
        <v>2991</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412380.85000000003</v>
      </c>
      <c r="H5" s="27">
        <f t="shared" ref="H5:AT5" si="0">SUM(H13:H641)</f>
        <v>412380.85000000003</v>
      </c>
      <c r="I5" s="27">
        <f t="shared" si="0"/>
        <v>164952.34</v>
      </c>
      <c r="J5" s="27">
        <f t="shared" si="0"/>
        <v>0</v>
      </c>
      <c r="K5" s="27">
        <f t="shared" si="0"/>
        <v>247428.51000000004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412380.85000000003</v>
      </c>
      <c r="BA5" s="29">
        <f t="shared" si="1"/>
        <v>412380.85000000003</v>
      </c>
      <c r="BB5" s="29">
        <f t="shared" si="1"/>
        <v>164952.34</v>
      </c>
      <c r="BC5" s="29">
        <f t="shared" si="1"/>
        <v>247428.51000000004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117823.1</v>
      </c>
      <c r="F6" s="27" t="s">
        <v>1</v>
      </c>
      <c r="G6" s="27" t="s">
        <v>2</v>
      </c>
      <c r="H6" s="33">
        <f>SUMIF(I$12:AB$12,"总值",I6:AB6)</f>
        <v>117823.1</v>
      </c>
      <c r="I6" s="27">
        <f t="shared" ref="I6:AB6" si="2">ROUND($A$3*I5/$B$3,2)</f>
        <v>47129.24</v>
      </c>
      <c r="J6" s="27">
        <f t="shared" si="2"/>
        <v>0</v>
      </c>
      <c r="K6" s="27">
        <f t="shared" si="2"/>
        <v>70693.86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117823.1</v>
      </c>
      <c r="AZ6" s="27" t="s">
        <v>3</v>
      </c>
      <c r="BA6" s="27">
        <f>ROUND($AY$6*BA5/$AZ$5,2)</f>
        <v>117823.1</v>
      </c>
      <c r="BB6" s="27">
        <f>ROUND($AY$6*BB5/$AZ$5,2)</f>
        <v>47129.24</v>
      </c>
      <c r="BC6" s="27">
        <f t="shared" ref="BC6:BH6" si="4">ROUND($AY$6*BC5/$AZ$5,2)</f>
        <v>70693.86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6"/>
      <c r="AT8" s="2327"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8" t="s">
        <v>3000</v>
      </c>
      <c r="J9" s="51"/>
      <c r="K9" s="3018" t="s">
        <v>3000</v>
      </c>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8"/>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8" t="s">
        <v>922</v>
      </c>
      <c r="J10" s="51"/>
      <c r="K10" s="3020" t="s">
        <v>2989</v>
      </c>
      <c r="L10" s="51"/>
      <c r="M10" s="3020"/>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2330</v>
      </c>
      <c r="AK10" s="2332"/>
      <c r="AL10" s="2313" t="s">
        <v>2319</v>
      </c>
      <c r="AM10" s="2314"/>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9"/>
      <c r="J11" s="71"/>
      <c r="K11" s="3019"/>
      <c r="L11" s="71"/>
      <c r="M11" s="70"/>
      <c r="N11" s="71"/>
      <c r="O11" s="70"/>
      <c r="P11" s="71"/>
      <c r="Q11" s="70"/>
      <c r="R11" s="71"/>
      <c r="S11" s="70"/>
      <c r="T11" s="71"/>
      <c r="U11" s="70"/>
      <c r="V11" s="71"/>
      <c r="W11" s="70"/>
      <c r="X11" s="71"/>
      <c r="Y11" s="70"/>
      <c r="Z11" s="71"/>
      <c r="AA11" s="70"/>
      <c r="AB11" s="71"/>
      <c r="AC11" s="55"/>
      <c r="AD11" s="2333" t="s">
        <v>2329</v>
      </c>
      <c r="AE11" s="1000"/>
      <c r="AF11" s="2333" t="s">
        <v>2329</v>
      </c>
      <c r="AG11" s="1000"/>
      <c r="AH11" s="2333" t="s">
        <v>2328</v>
      </c>
      <c r="AI11" s="2334"/>
      <c r="AJ11" s="2333" t="s">
        <v>2328</v>
      </c>
      <c r="AK11" s="2332"/>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13"/>
      <c r="B13" s="3013"/>
      <c r="C13" s="3013"/>
      <c r="D13" s="3014" t="s">
        <v>1678</v>
      </c>
      <c r="E13" s="27">
        <f t="shared" ref="E13:E20" si="6">IF($C$3="是",ROUND($A$3*G13/$B$3,2),ROUND($A$3*(G13-AT13)/$B$3,2))</f>
        <v>117823.1</v>
      </c>
      <c r="F13" s="81"/>
      <c r="G13" s="82">
        <f t="shared" ref="G13:G20" si="7">H13+AC13+AT13</f>
        <v>412380.85000000003</v>
      </c>
      <c r="H13" s="33">
        <f t="shared" ref="H13:H20" si="8">SUMIF(I$12:AB$12,"总值",I13:AB13)</f>
        <v>412380.85000000003</v>
      </c>
      <c r="I13" s="3017">
        <f>ROUND(A3*3.5*0.4,2)</f>
        <v>164952.34</v>
      </c>
      <c r="J13" s="3017"/>
      <c r="K13" s="3017">
        <f>A3*3.5-I13</f>
        <v>247428.51000000004</v>
      </c>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f t="shared" si="10"/>
        <v>0</v>
      </c>
      <c r="AY13" s="994">
        <f t="shared" ref="AY13:AY20" si="11">ROUND($AY$6*AZ13/$AZ$5,2)</f>
        <v>117823.1</v>
      </c>
      <c r="AZ13" s="27">
        <f t="shared" ref="AZ13:AZ20" si="12">BA13+BL13</f>
        <v>412380.85000000003</v>
      </c>
      <c r="BA13" s="27">
        <f t="shared" ref="BA13:BA20" si="13">SUM(BB13:BK13)</f>
        <v>412380.85000000003</v>
      </c>
      <c r="BB13" s="27">
        <f t="shared" ref="BB13:BB20" si="14">IF($D13="是",I13-J13,0)</f>
        <v>164952.34</v>
      </c>
      <c r="BC13" s="27">
        <f t="shared" ref="BC13:BC20" si="15">IF($D13="是",K13-L13,0)</f>
        <v>247428.51000000004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01" t="s">
        <v>203</v>
      </c>
      <c r="B2" s="3301"/>
      <c r="C2" s="3301"/>
      <c r="D2" s="1974" t="s">
        <v>204</v>
      </c>
      <c r="E2" s="106" t="s">
        <v>205</v>
      </c>
      <c r="F2" s="1983"/>
      <c r="G2" s="1196"/>
      <c r="H2" s="1197"/>
      <c r="I2" s="1198" t="s">
        <v>856</v>
      </c>
      <c r="J2" s="1983"/>
      <c r="K2" s="1983"/>
      <c r="L2" s="1983"/>
    </row>
    <row r="3" spans="1:16" ht="15.75" thickBot="1">
      <c r="A3" s="3302" t="s">
        <v>206</v>
      </c>
      <c r="B3" s="3302"/>
      <c r="C3" s="3302"/>
      <c r="D3" s="107">
        <f>'数据-基础表'!AY6</f>
        <v>117823.1</v>
      </c>
      <c r="E3" s="107">
        <f>'数据-基础表'!AZ5</f>
        <v>412380.85000000003</v>
      </c>
      <c r="F3" s="1983"/>
      <c r="G3" s="279" t="s">
        <v>857</v>
      </c>
      <c r="H3" s="274" t="s">
        <v>858</v>
      </c>
      <c r="I3" s="1975">
        <f>ROUND('数据-基础表'!B3/'数据-基础表'!A3,2)</f>
        <v>3.5</v>
      </c>
      <c r="J3" s="1983"/>
      <c r="K3" s="1983"/>
      <c r="L3" s="1983"/>
    </row>
    <row r="4" spans="1:16" ht="15">
      <c r="A4" s="3303"/>
      <c r="B4" s="3304"/>
      <c r="C4" s="3305"/>
      <c r="D4" s="108" t="s">
        <v>204</v>
      </c>
      <c r="E4" s="109" t="s">
        <v>205</v>
      </c>
      <c r="F4" s="1983"/>
      <c r="G4" s="1199"/>
      <c r="H4" s="274" t="s">
        <v>859</v>
      </c>
      <c r="I4" s="1975">
        <f>ROUND(SUMIF('数据-基础表'!I9:AS9,"地上",'数据-基础表'!I5:AS5)/'数据-基础表'!A3,2)</f>
        <v>3.5</v>
      </c>
      <c r="J4" s="1983"/>
      <c r="K4" s="1983"/>
      <c r="L4" s="1983"/>
    </row>
    <row r="5" spans="1:16">
      <c r="A5" s="110" t="s">
        <v>207</v>
      </c>
      <c r="B5" s="3306" t="s">
        <v>230</v>
      </c>
      <c r="C5" s="3306"/>
      <c r="D5" s="111">
        <f>ROUND($D$3*E5/$E$3,2)</f>
        <v>47129.24</v>
      </c>
      <c r="E5" s="112">
        <f>SUMIF('数据-基础表'!$11:$11,"住宅",'数据-基础表'!$5:$5)</f>
        <v>164952.34</v>
      </c>
      <c r="F5" s="1983"/>
      <c r="G5" s="279" t="s">
        <v>860</v>
      </c>
      <c r="H5" s="274" t="s">
        <v>858</v>
      </c>
      <c r="I5" s="1975">
        <f>ROUND(E31/D31,2)</f>
        <v>3.5</v>
      </c>
      <c r="J5" s="1983"/>
      <c r="K5" s="1983"/>
      <c r="L5" s="1983"/>
    </row>
    <row r="6" spans="1:16" ht="15" thickBot="1">
      <c r="A6" s="113"/>
      <c r="B6" s="3306" t="s">
        <v>208</v>
      </c>
      <c r="C6" s="3306"/>
      <c r="D6" s="111">
        <f>ROUND($D$3*E6/$E$3,2)</f>
        <v>70693.86</v>
      </c>
      <c r="E6" s="112">
        <f>E3-E5</f>
        <v>247428.51000000004</v>
      </c>
      <c r="F6" s="1983"/>
      <c r="G6" s="1199"/>
      <c r="H6" s="274" t="s">
        <v>859</v>
      </c>
      <c r="I6" s="1975">
        <f>ROUND(F31/D31,2)</f>
        <v>3.5</v>
      </c>
      <c r="J6" s="1983"/>
      <c r="K6" s="1983"/>
      <c r="L6" s="1983"/>
    </row>
    <row r="7" spans="1:16" ht="15">
      <c r="A7" s="3298"/>
      <c r="B7" s="3299"/>
      <c r="C7" s="3300"/>
      <c r="D7" s="108" t="s">
        <v>204</v>
      </c>
      <c r="E7" s="114" t="s">
        <v>231</v>
      </c>
      <c r="F7" s="1983"/>
      <c r="G7" s="1154" t="s">
        <v>1645</v>
      </c>
      <c r="H7" s="1155"/>
      <c r="I7" s="1845"/>
      <c r="J7" s="1983"/>
      <c r="K7" s="1983"/>
      <c r="L7" s="1983"/>
    </row>
    <row r="8" spans="1:16">
      <c r="A8" s="110" t="s">
        <v>209</v>
      </c>
      <c r="B8" s="115" t="s">
        <v>210</v>
      </c>
      <c r="C8" s="111" t="s">
        <v>211</v>
      </c>
      <c r="D8" s="111">
        <f t="shared" ref="D8:D15" si="0">ROUND($D$3*E8/$E$3,2)</f>
        <v>117823.1</v>
      </c>
      <c r="E8" s="116">
        <f>SUMIF('数据-基础表'!BB10:BK10,"地上",'数据-基础表'!BB5:BK5)</f>
        <v>412380.85000000003</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117823.1</v>
      </c>
      <c r="E16" s="120">
        <f>SUM(E8:E15)</f>
        <v>412380.85000000003</v>
      </c>
      <c r="F16" s="1983"/>
      <c r="G16" s="1985"/>
      <c r="H16" s="966" t="s">
        <v>219</v>
      </c>
      <c r="I16" s="967"/>
      <c r="J16" s="1983"/>
      <c r="K16" s="3292" t="s">
        <v>2563</v>
      </c>
      <c r="L16" s="3293"/>
      <c r="M16" s="3293"/>
      <c r="N16" s="3293"/>
      <c r="O16" s="3293"/>
      <c r="P16" s="3294"/>
    </row>
    <row r="17" spans="1:19" ht="15">
      <c r="A17" s="121" t="s">
        <v>216</v>
      </c>
      <c r="B17" s="122" t="s">
        <v>217</v>
      </c>
      <c r="C17" s="2297" t="s">
        <v>2313</v>
      </c>
      <c r="D17" s="108" t="s">
        <v>204</v>
      </c>
      <c r="E17" s="124" t="s">
        <v>205</v>
      </c>
      <c r="F17" s="125"/>
      <c r="G17" s="1364"/>
      <c r="H17" s="968" t="s">
        <v>218</v>
      </c>
      <c r="I17" s="969" t="s">
        <v>2312</v>
      </c>
      <c r="J17" s="1983"/>
      <c r="K17" s="3295" t="s">
        <v>2564</v>
      </c>
      <c r="L17" s="3296"/>
      <c r="M17" s="3297"/>
      <c r="N17" s="3295" t="s">
        <v>2565</v>
      </c>
      <c r="O17" s="3296"/>
      <c r="P17" s="3297"/>
      <c r="R17" s="2298" t="s">
        <v>2311</v>
      </c>
      <c r="S17" s="144"/>
    </row>
    <row r="18" spans="1:19" ht="15">
      <c r="A18" s="117"/>
      <c r="B18" s="128"/>
      <c r="C18" s="129"/>
      <c r="D18" s="2641"/>
      <c r="E18" s="130" t="s">
        <v>220</v>
      </c>
      <c r="F18" s="131" t="s">
        <v>221</v>
      </c>
      <c r="G18" s="1365" t="s">
        <v>222</v>
      </c>
      <c r="H18" s="970" t="s">
        <v>223</v>
      </c>
      <c r="I18" s="971" t="s">
        <v>224</v>
      </c>
      <c r="J18" s="1983"/>
      <c r="K18" s="2604" t="s">
        <v>2566</v>
      </c>
      <c r="L18" s="2605" t="s">
        <v>2567</v>
      </c>
      <c r="M18" s="2606" t="s">
        <v>2568</v>
      </c>
      <c r="N18" s="2604" t="s">
        <v>2566</v>
      </c>
      <c r="O18" s="2605" t="s">
        <v>2567</v>
      </c>
      <c r="P18" s="2606" t="s">
        <v>2568</v>
      </c>
      <c r="R18" s="2299" t="s">
        <v>2309</v>
      </c>
      <c r="S18" s="2299" t="s">
        <v>2310</v>
      </c>
    </row>
    <row r="19" spans="1:19">
      <c r="A19" s="133"/>
      <c r="B19" s="115" t="s">
        <v>225</v>
      </c>
      <c r="C19" s="3024" t="s">
        <v>4015</v>
      </c>
      <c r="D19" s="111">
        <f t="shared" ref="D19:D26" si="1">ROUND($D$3*E19/$E$3,2)</f>
        <v>47129.24</v>
      </c>
      <c r="E19" s="134">
        <f t="shared" ref="E19:E26" si="2">SUM(F19:G19)</f>
        <v>164952.34</v>
      </c>
      <c r="F19" s="135">
        <f>'数据-基础表'!I13</f>
        <v>164952.34</v>
      </c>
      <c r="G19" s="1366"/>
      <c r="H19" s="972">
        <f>ROUND($D$3*I19/$E$3,2)</f>
        <v>0</v>
      </c>
      <c r="I19" s="116">
        <f>IF($I$17="自定义",P19,M19)</f>
        <v>0</v>
      </c>
      <c r="J19" s="1983"/>
      <c r="K19" s="2607">
        <f t="shared" ref="K19:K26" si="3">ROUND(E$28*E19/E$27,2)</f>
        <v>0</v>
      </c>
      <c r="L19" s="274">
        <f t="shared" ref="L19:L26" si="4">ROUND(IF(COUNTIF(C19,"*住宅*")&gt;0,E$29*E19/E$32,0),2)</f>
        <v>0</v>
      </c>
      <c r="M19" s="2608">
        <f>K19+L19</f>
        <v>0</v>
      </c>
      <c r="N19" s="2609"/>
      <c r="O19" s="2610"/>
      <c r="P19" s="2611">
        <f>N19+O19</f>
        <v>0</v>
      </c>
      <c r="R19" s="274">
        <f t="shared" ref="R19:S26" si="5">D19+H19</f>
        <v>47129.24</v>
      </c>
      <c r="S19" s="2300">
        <f t="shared" si="5"/>
        <v>164952.34</v>
      </c>
    </row>
    <row r="20" spans="1:19">
      <c r="A20" s="138"/>
      <c r="B20" s="115" t="s">
        <v>226</v>
      </c>
      <c r="C20" s="3024" t="s">
        <v>4013</v>
      </c>
      <c r="D20" s="111">
        <f t="shared" si="1"/>
        <v>70693.86</v>
      </c>
      <c r="E20" s="134">
        <f t="shared" si="2"/>
        <v>247428.51000000004</v>
      </c>
      <c r="F20" s="135">
        <f>'数据-基础表'!K13</f>
        <v>247428.51000000004</v>
      </c>
      <c r="G20" s="1366"/>
      <c r="H20" s="972">
        <f t="shared" ref="H20:H26" si="6">ROUND($D$3*I20/$E$3,2)</f>
        <v>0</v>
      </c>
      <c r="I20" s="116">
        <f t="shared" ref="I20:I26" si="7">IF($I$17="自定义",P20,M20)</f>
        <v>0</v>
      </c>
      <c r="J20" s="1983"/>
      <c r="K20" s="2607">
        <f t="shared" si="3"/>
        <v>0</v>
      </c>
      <c r="L20" s="274">
        <f t="shared" si="4"/>
        <v>0</v>
      </c>
      <c r="M20" s="2608">
        <f t="shared" ref="M20:M26" si="8">K20+L20</f>
        <v>0</v>
      </c>
      <c r="N20" s="2609"/>
      <c r="O20" s="2610"/>
      <c r="P20" s="2611">
        <f t="shared" ref="P20:P26" si="9">N20+O20</f>
        <v>0</v>
      </c>
      <c r="R20" s="274">
        <f t="shared" si="5"/>
        <v>70693.86</v>
      </c>
      <c r="S20" s="2300">
        <f t="shared" si="5"/>
        <v>247428.51000000004</v>
      </c>
    </row>
    <row r="21" spans="1:19">
      <c r="A21" s="138"/>
      <c r="B21" s="115" t="s">
        <v>226</v>
      </c>
      <c r="C21" s="3024"/>
      <c r="D21" s="111">
        <f t="shared" si="1"/>
        <v>0</v>
      </c>
      <c r="E21" s="134">
        <f t="shared" si="2"/>
        <v>0</v>
      </c>
      <c r="F21" s="135"/>
      <c r="G21" s="1366"/>
      <c r="H21" s="972">
        <f t="shared" si="6"/>
        <v>0</v>
      </c>
      <c r="I21" s="116">
        <f t="shared" si="7"/>
        <v>0</v>
      </c>
      <c r="J21" s="1983"/>
      <c r="K21" s="2607">
        <f t="shared" si="3"/>
        <v>0</v>
      </c>
      <c r="L21" s="274">
        <f t="shared" si="4"/>
        <v>0</v>
      </c>
      <c r="M21" s="2608">
        <f t="shared" si="8"/>
        <v>0</v>
      </c>
      <c r="N21" s="2609"/>
      <c r="O21" s="2610"/>
      <c r="P21" s="2611">
        <f t="shared" si="9"/>
        <v>0</v>
      </c>
      <c r="R21" s="274">
        <f t="shared" si="5"/>
        <v>0</v>
      </c>
      <c r="S21" s="2300">
        <f t="shared" si="5"/>
        <v>0</v>
      </c>
    </row>
    <row r="22" spans="1:19">
      <c r="A22" s="138"/>
      <c r="B22" s="115" t="s">
        <v>226</v>
      </c>
      <c r="C22" s="1363"/>
      <c r="D22" s="111">
        <f t="shared" si="1"/>
        <v>0</v>
      </c>
      <c r="E22" s="134">
        <f t="shared" si="2"/>
        <v>0</v>
      </c>
      <c r="F22" s="140"/>
      <c r="G22" s="1367"/>
      <c r="H22" s="972">
        <f t="shared" si="6"/>
        <v>0</v>
      </c>
      <c r="I22" s="116">
        <f t="shared" si="7"/>
        <v>0</v>
      </c>
      <c r="J22" s="1983"/>
      <c r="K22" s="2607">
        <f t="shared" si="3"/>
        <v>0</v>
      </c>
      <c r="L22" s="274">
        <f t="shared" si="4"/>
        <v>0</v>
      </c>
      <c r="M22" s="2608">
        <f t="shared" si="8"/>
        <v>0</v>
      </c>
      <c r="N22" s="2609"/>
      <c r="O22" s="2610"/>
      <c r="P22" s="2611">
        <f t="shared" si="9"/>
        <v>0</v>
      </c>
      <c r="R22" s="274">
        <f t="shared" si="5"/>
        <v>0</v>
      </c>
      <c r="S22" s="2300">
        <f t="shared" si="5"/>
        <v>0</v>
      </c>
    </row>
    <row r="23" spans="1:19">
      <c r="A23" s="138"/>
      <c r="B23" s="115" t="s">
        <v>226</v>
      </c>
      <c r="C23" s="139"/>
      <c r="D23" s="111">
        <f>ROUND($D$3*E23/$E$3,2)</f>
        <v>0</v>
      </c>
      <c r="E23" s="134">
        <f>SUM(F23:G23)</f>
        <v>0</v>
      </c>
      <c r="F23" s="140"/>
      <c r="G23" s="1367"/>
      <c r="H23" s="972">
        <f>ROUND($D$3*I23/$E$3,2)</f>
        <v>0</v>
      </c>
      <c r="I23" s="116">
        <f t="shared" si="7"/>
        <v>0</v>
      </c>
      <c r="J23" s="1983"/>
      <c r="K23" s="2607">
        <f t="shared" si="3"/>
        <v>0</v>
      </c>
      <c r="L23" s="274">
        <f t="shared" si="4"/>
        <v>0</v>
      </c>
      <c r="M23" s="2608">
        <f t="shared" si="8"/>
        <v>0</v>
      </c>
      <c r="N23" s="2609"/>
      <c r="O23" s="2610"/>
      <c r="P23" s="2611">
        <f t="shared" si="9"/>
        <v>0</v>
      </c>
      <c r="R23" s="274">
        <f t="shared" si="5"/>
        <v>0</v>
      </c>
      <c r="S23" s="2300">
        <f t="shared" si="5"/>
        <v>0</v>
      </c>
    </row>
    <row r="24" spans="1:19">
      <c r="A24" s="138"/>
      <c r="B24" s="115" t="s">
        <v>226</v>
      </c>
      <c r="C24" s="139"/>
      <c r="D24" s="111">
        <f>ROUND($D$3*E24/$E$3,2)</f>
        <v>0</v>
      </c>
      <c r="E24" s="134">
        <f>SUM(F24:G24)</f>
        <v>0</v>
      </c>
      <c r="F24" s="140"/>
      <c r="G24" s="1367"/>
      <c r="H24" s="972">
        <f>ROUND($D$3*I24/$E$3,2)</f>
        <v>0</v>
      </c>
      <c r="I24" s="116">
        <f t="shared" si="7"/>
        <v>0</v>
      </c>
      <c r="J24" s="1983"/>
      <c r="K24" s="2607">
        <f t="shared" si="3"/>
        <v>0</v>
      </c>
      <c r="L24" s="274">
        <f t="shared" si="4"/>
        <v>0</v>
      </c>
      <c r="M24" s="2608">
        <f t="shared" si="8"/>
        <v>0</v>
      </c>
      <c r="N24" s="2609"/>
      <c r="O24" s="2610"/>
      <c r="P24" s="2611">
        <f t="shared" si="9"/>
        <v>0</v>
      </c>
      <c r="R24" s="274">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07">
        <f t="shared" si="3"/>
        <v>0</v>
      </c>
      <c r="L25" s="274">
        <f t="shared" si="4"/>
        <v>0</v>
      </c>
      <c r="M25" s="2608">
        <f t="shared" si="8"/>
        <v>0</v>
      </c>
      <c r="N25" s="2609"/>
      <c r="O25" s="2610"/>
      <c r="P25" s="2611">
        <f t="shared" si="9"/>
        <v>0</v>
      </c>
      <c r="R25" s="274">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12">
        <f t="shared" si="3"/>
        <v>0</v>
      </c>
      <c r="L26" s="279">
        <f t="shared" si="4"/>
        <v>0</v>
      </c>
      <c r="M26" s="146">
        <f t="shared" si="8"/>
        <v>0</v>
      </c>
      <c r="N26" s="2613"/>
      <c r="O26" s="2614"/>
      <c r="P26" s="2615">
        <f t="shared" si="9"/>
        <v>0</v>
      </c>
      <c r="R26" s="274">
        <f t="shared" si="5"/>
        <v>0</v>
      </c>
      <c r="S26" s="2300">
        <f t="shared" si="5"/>
        <v>0</v>
      </c>
    </row>
    <row r="27" spans="1:19" ht="15.75" thickBot="1">
      <c r="A27" s="138"/>
      <c r="B27" s="111"/>
      <c r="C27" s="127" t="s">
        <v>215</v>
      </c>
      <c r="D27" s="134">
        <f>SUM(D19:D26)</f>
        <v>117823.1</v>
      </c>
      <c r="E27" s="143">
        <f>IF(SUM(E19:E26)='数据-基础表'!BA5,SUM(E19:E26),IF(F27="地上面积有误","面积有误","地下面积有误"))</f>
        <v>412380.85000000003</v>
      </c>
      <c r="F27" s="134">
        <f>IF(SUM(F19:F26)=E8,SUM(F19:F26),"地上面积有误")</f>
        <v>412380.85000000003</v>
      </c>
      <c r="G27" s="112">
        <f>SUM(G19:G26)</f>
        <v>0</v>
      </c>
      <c r="H27" s="973">
        <f>SUM(H19:H26)</f>
        <v>0</v>
      </c>
      <c r="I27" s="974">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117823.1</v>
      </c>
      <c r="S27" s="274">
        <f>IF(SUM(S19:S26)=$E$3,SUM(S19:S26),SUM(S19:S26)&amp;"误差"&amp;ROUND(SUM(S19:S26)-E3,2))</f>
        <v>412380.85000000003</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8"/>
      <c r="B31" s="1369" t="s">
        <v>229</v>
      </c>
      <c r="C31" s="2329" t="s">
        <v>2322</v>
      </c>
      <c r="D31" s="1370">
        <f>D27+D30</f>
        <v>117823.1</v>
      </c>
      <c r="E31" s="1370">
        <f>E27+E30</f>
        <v>412380.85000000003</v>
      </c>
      <c r="F31" s="1371">
        <f>F27+F30</f>
        <v>412380.85000000003</v>
      </c>
      <c r="G31" s="1372">
        <f>G27+G30</f>
        <v>0</v>
      </c>
      <c r="H31" s="1983"/>
      <c r="I31" s="1983"/>
      <c r="J31" s="1983"/>
      <c r="K31" s="1983"/>
      <c r="L31" s="1983"/>
    </row>
    <row r="32" spans="1:19">
      <c r="A32" s="1983"/>
      <c r="B32" s="2362" t="s">
        <v>2321</v>
      </c>
      <c r="C32" s="2646"/>
      <c r="D32" s="1199"/>
      <c r="E32" s="1199">
        <f>SUMIF(C19:C26,"*住宅*",E19:E26)</f>
        <v>164952.34</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24" activePane="bottomRight" state="frozen"/>
      <selection activeCell="M71" sqref="M71"/>
      <selection pane="topRight" activeCell="M71" sqref="M71"/>
      <selection pane="bottomLeft" activeCell="M71" sqref="M71"/>
      <selection pane="bottomRight" activeCell="N43" sqref="N31:N43"/>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hidden="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8"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9" t="s">
        <v>235</v>
      </c>
      <c r="B2" s="2337">
        <f>项目基本情况!D3</f>
        <v>43445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2824</v>
      </c>
      <c r="O5" s="163" t="s">
        <v>246</v>
      </c>
      <c r="P5" s="165" t="s">
        <v>247</v>
      </c>
      <c r="Q5" s="166" t="s">
        <v>248</v>
      </c>
      <c r="R5" s="167" t="s">
        <v>249</v>
      </c>
      <c r="S5" s="2620" t="s">
        <v>2569</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2323</v>
      </c>
      <c r="AI5" s="171" t="s">
        <v>2292</v>
      </c>
      <c r="AJ5" s="171" t="s">
        <v>258</v>
      </c>
      <c r="AK5" s="159" t="s">
        <v>259</v>
      </c>
      <c r="AL5" s="159" t="s">
        <v>260</v>
      </c>
      <c r="AM5" s="172" t="s">
        <v>261</v>
      </c>
      <c r="AN5" s="2390" t="s">
        <v>2371</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城镇住宅</v>
      </c>
      <c r="B6" s="2336" t="str">
        <f>IF(A6=0,"","经营性")</f>
        <v>经营性</v>
      </c>
      <c r="C6" s="173" t="s">
        <v>922</v>
      </c>
      <c r="D6" s="2307">
        <f>SUMIF(项目基本情况!D$15:I$15,C6,项目基本情况!D$18:I$18)</f>
        <v>70</v>
      </c>
      <c r="E6" s="2308">
        <f>IF(B6="","",SUMIF(项目基本情况!D$15:I$15,C6,项目基本情况!D$17:I$17))</f>
        <v>66050</v>
      </c>
      <c r="F6" s="174">
        <f>SUMIF(项目基本情况!D$15:I$15,C6,项目基本情况!D$19:I$19)</f>
        <v>61.93</v>
      </c>
      <c r="G6" s="175">
        <f>IF(ISERROR(ROUND(POWER(1+H6,D6-F6)*(POWER(1+H6,F6)-1)/(POWER(1+H6,D6)-1),3)),0,ROUND(POWER(1+H6,D6-F6)*(POWER(1+H6,F6)-1)/(POWER(1+H6,D6)-1),3))</f>
        <v>0.97899999999999998</v>
      </c>
      <c r="H6" s="3025">
        <v>4.4999999999999998E-2</v>
      </c>
      <c r="I6" s="3025">
        <v>0.05</v>
      </c>
      <c r="J6" s="176">
        <v>8.5000000000000006E-2</v>
      </c>
      <c r="K6" s="179">
        <f>SUMIF('数据-汇总表'!C$19:C$33,'数据-取费表'!A6,'数据-汇总表'!E$19:E$33)</f>
        <v>164952.34</v>
      </c>
      <c r="L6" s="3026">
        <v>2000</v>
      </c>
      <c r="M6" s="177">
        <f t="shared" ref="M6:M14" si="0">ROUND(K6*L6/10000,0)</f>
        <v>32990</v>
      </c>
      <c r="N6" s="3027">
        <v>0</v>
      </c>
      <c r="O6" s="177">
        <f>IF($N$5="成新度","——",ROUND(M6*N6,0))</f>
        <v>0</v>
      </c>
      <c r="P6" s="178">
        <f>IF($N$5="成新度","——",M6-O6)</f>
        <v>32990</v>
      </c>
      <c r="Q6" s="3028">
        <v>0.15</v>
      </c>
      <c r="R6" s="179">
        <f>SUMIF('数据-汇总表'!C$19:C$33,A6,'数据-汇总表'!R$19:R$33)</f>
        <v>47129.24</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0">
        <f ca="1">IF(AN6="",0,SUMIF(INDIRECT("'"&amp;AN6&amp;"'"&amp;"!E:E"),$AE$5,INDIRECT("'"&amp;AN6&amp;"'"&amp;"!F:F")))</f>
        <v>0</v>
      </c>
      <c r="AF6" s="141"/>
      <c r="AG6" s="1211">
        <f>IF(AF6="",0,AE6-AF6)</f>
        <v>0</v>
      </c>
      <c r="AH6" s="141"/>
      <c r="AI6" s="187"/>
      <c r="AJ6" s="188"/>
      <c r="AK6" s="189"/>
      <c r="AL6" s="190"/>
      <c r="AM6" s="3039"/>
      <c r="AN6" s="2391"/>
      <c r="AO6" s="1999"/>
      <c r="AP6" s="1202">
        <f>ROUND(1-1/(1+H6)^F6,3)</f>
        <v>0.93500000000000005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c r="A7" s="2301" t="str">
        <f>'数据-汇总表'!C20</f>
        <v>商务金融</v>
      </c>
      <c r="B7" s="2336" t="str">
        <f t="shared" ref="B7:B13" si="1">IF(A7=0,"","经营性")</f>
        <v>经营性</v>
      </c>
      <c r="C7" s="173" t="s">
        <v>2989</v>
      </c>
      <c r="D7" s="2307">
        <f>SUMIF(项目基本情况!D$15:I$15,C7,项目基本情况!D$18:I$18)</f>
        <v>40</v>
      </c>
      <c r="E7" s="2308">
        <f>IF(B7="","",SUMIF(项目基本情况!D$15:I$15,C7,项目基本情况!D$17:I$17))</f>
        <v>55092</v>
      </c>
      <c r="F7" s="174">
        <f>SUMIF(项目基本情况!D$15:I$15,C7,项目基本情况!D$19:I$19)</f>
        <v>31.9</v>
      </c>
      <c r="G7" s="175">
        <f t="shared" ref="G7:G11" si="2">IF(ISERROR(ROUND(POWER(1+H7,D7-F7)*(POWER(1+H7,F7)-1)/(POWER(1+H7,D7)-1),3)),0,ROUND(POWER(1+H7,D7-F7)*(POWER(1+H7,F7)-1)/(POWER(1+H7,D7)-1),3))</f>
        <v>0.92800000000000005</v>
      </c>
      <c r="H7" s="3025">
        <v>5.5E-2</v>
      </c>
      <c r="I7" s="3025">
        <v>0.06</v>
      </c>
      <c r="J7" s="176">
        <v>8.5000000000000006E-2</v>
      </c>
      <c r="K7" s="179">
        <f>SUMIF('数据-汇总表'!C$19:C$33,'数据-取费表'!A7,'数据-汇总表'!E$19:E$33)</f>
        <v>247428.51000000004</v>
      </c>
      <c r="L7" s="3026">
        <v>2800</v>
      </c>
      <c r="M7" s="177">
        <f t="shared" si="0"/>
        <v>69280</v>
      </c>
      <c r="N7" s="3027">
        <v>0</v>
      </c>
      <c r="O7" s="177">
        <f t="shared" ref="O7:O14" si="3">IF($N$5="成新度","——",ROUND(M7*N7,0))</f>
        <v>0</v>
      </c>
      <c r="P7" s="178">
        <f t="shared" ref="P7:P14" si="4">IF($N$5="成新度","——",M7-O7)</f>
        <v>69280</v>
      </c>
      <c r="Q7" s="3028">
        <v>0.1</v>
      </c>
      <c r="R7" s="179">
        <f>SUMIF('数据-汇总表'!C$19:C$33,A7,'数据-汇总表'!R$19:R$33)</f>
        <v>70693.86</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1.5</v>
      </c>
      <c r="V7" s="181">
        <v>0.03</v>
      </c>
      <c r="W7" s="181">
        <v>0.1</v>
      </c>
      <c r="X7" s="2320"/>
      <c r="Y7" s="182">
        <v>1</v>
      </c>
      <c r="Z7" s="183"/>
      <c r="AA7" s="176"/>
      <c r="AB7" s="176"/>
      <c r="AC7" s="2323"/>
      <c r="AD7" s="184"/>
      <c r="AE7" s="970">
        <f t="shared" ref="AE7:AE13" ca="1" si="6">IF(AN7="",0,SUMIF(INDIRECT("'"&amp;AN7&amp;"'"&amp;"!E:E"),$AE$5,INDIRECT("'"&amp;AN7&amp;"'"&amp;"!F:F")))</f>
        <v>28.9</v>
      </c>
      <c r="AF7" s="141"/>
      <c r="AG7" s="1211">
        <f t="shared" ref="AG7:AG13" si="7">IF(AF7="",0,AE7-AF7)</f>
        <v>0</v>
      </c>
      <c r="AH7" s="141"/>
      <c r="AI7" s="187">
        <v>365</v>
      </c>
      <c r="AJ7" s="188"/>
      <c r="AK7" s="189">
        <v>1.4999999999999999E-2</v>
      </c>
      <c r="AL7" s="190">
        <v>1.5E-3</v>
      </c>
      <c r="AM7" s="2389">
        <v>1.4999999999999999E-2</v>
      </c>
      <c r="AN7" s="2391" t="s">
        <v>3011</v>
      </c>
      <c r="AO7" s="1999"/>
      <c r="AP7" s="1202">
        <f t="shared" ref="AP7:AP13" si="8">ROUND(1-1/(1+H7)^F7,3)</f>
        <v>0.81899999999999995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0">
        <f t="shared" ca="1" si="6"/>
        <v>0</v>
      </c>
      <c r="AF8" s="141"/>
      <c r="AG8" s="1211">
        <f t="shared" si="7"/>
        <v>0</v>
      </c>
      <c r="AH8" s="141"/>
      <c r="AI8" s="187"/>
      <c r="AJ8" s="188"/>
      <c r="AK8" s="189"/>
      <c r="AL8" s="190"/>
      <c r="AM8" s="2389"/>
      <c r="AN8" s="2391"/>
      <c r="AO8" s="1999"/>
      <c r="AP8" s="1202">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0">
        <f t="shared" ca="1" si="6"/>
        <v>0</v>
      </c>
      <c r="AF9" s="141"/>
      <c r="AG9" s="1211">
        <f t="shared" si="7"/>
        <v>0</v>
      </c>
      <c r="AH9" s="141"/>
      <c r="AI9" s="187"/>
      <c r="AJ9" s="188"/>
      <c r="AK9" s="189"/>
      <c r="AL9" s="190"/>
      <c r="AM9" s="2389"/>
      <c r="AN9" s="2391"/>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0">
        <f t="shared" ca="1" si="6"/>
        <v>0</v>
      </c>
      <c r="AF10" s="141"/>
      <c r="AG10" s="1211">
        <f t="shared" si="7"/>
        <v>0</v>
      </c>
      <c r="AH10" s="141"/>
      <c r="AI10" s="187"/>
      <c r="AJ10" s="188"/>
      <c r="AK10" s="189"/>
      <c r="AL10" s="190"/>
      <c r="AM10" s="2389"/>
      <c r="AN10" s="2391"/>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0">
        <f t="shared" ca="1" si="6"/>
        <v>0</v>
      </c>
      <c r="AF11" s="141"/>
      <c r="AG11" s="1211">
        <f t="shared" si="7"/>
        <v>0</v>
      </c>
      <c r="AH11" s="141"/>
      <c r="AI11" s="187"/>
      <c r="AJ11" s="188"/>
      <c r="AK11" s="196"/>
      <c r="AL11" s="197"/>
      <c r="AM11" s="1816"/>
      <c r="AN11" s="2391"/>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0">
        <f t="shared" ca="1" si="6"/>
        <v>0</v>
      </c>
      <c r="AF12" s="141"/>
      <c r="AG12" s="1211">
        <f t="shared" si="7"/>
        <v>0</v>
      </c>
      <c r="AH12" s="141"/>
      <c r="AI12" s="187"/>
      <c r="AJ12" s="188"/>
      <c r="AK12" s="196"/>
      <c r="AL12" s="197"/>
      <c r="AM12" s="1816"/>
      <c r="AN12" s="2391"/>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0">
        <f t="shared" ca="1" si="6"/>
        <v>0</v>
      </c>
      <c r="AF13" s="141"/>
      <c r="AG13" s="1211">
        <f t="shared" si="7"/>
        <v>0</v>
      </c>
      <c r="AH13" s="141"/>
      <c r="AI13" s="187"/>
      <c r="AJ13" s="188"/>
      <c r="AK13" s="189"/>
      <c r="AL13" s="190"/>
      <c r="AM13" s="2389"/>
      <c r="AN13" s="2391"/>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2314</v>
      </c>
      <c r="B14" s="2305" t="s">
        <v>1679</v>
      </c>
      <c r="C14" s="2306" t="s">
        <v>2314</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2"/>
      <c r="V14" s="2319"/>
      <c r="W14" s="2319"/>
      <c r="X14" s="2320"/>
      <c r="Y14" s="2321"/>
      <c r="Z14" s="136"/>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2316</v>
      </c>
      <c r="B15" s="2305" t="s">
        <v>1679</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2"/>
      <c r="V15" s="2319"/>
      <c r="W15" s="2319"/>
      <c r="X15" s="2320"/>
      <c r="Y15" s="2321"/>
      <c r="Z15" s="136"/>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8" t="s">
        <v>262</v>
      </c>
      <c r="B16" s="199"/>
      <c r="C16" s="200"/>
      <c r="D16" s="201"/>
      <c r="E16" s="199"/>
      <c r="F16" s="199"/>
      <c r="G16" s="202">
        <f>ROUND(SUMPRODUCT(G6:G13,K6:K13)/SUMPRODUCT((G6:G13&gt;0)*(K6:K13)),3)</f>
        <v>0.94799999999999995</v>
      </c>
      <c r="H16" s="203">
        <f>ROUND(SUMPRODUCT(H6:H13,K6:K13)/SUMPRODUCT((H6:H13&gt;0)*(K6:K13)),3)</f>
        <v>5.0999999999999997E-2</v>
      </c>
      <c r="I16" s="204"/>
      <c r="J16" s="204"/>
      <c r="K16" s="205">
        <f>SUM(K6:K15)</f>
        <v>412380.85000000003</v>
      </c>
      <c r="L16" s="206">
        <f>ROUND(M16*10000/SUM(K6:K14),0)</f>
        <v>2480</v>
      </c>
      <c r="M16" s="206">
        <f>SUM(M6:M14)</f>
        <v>102270</v>
      </c>
      <c r="N16" s="207">
        <f>ROUND(SUMPRODUCT(M6:M14,N6:N14)/M16,3)</f>
        <v>0</v>
      </c>
      <c r="O16" s="206">
        <f>SUM(O6:O14)</f>
        <v>0</v>
      </c>
      <c r="P16" s="206">
        <f>SUM(P6:P14)</f>
        <v>102270</v>
      </c>
      <c r="Q16" s="208">
        <f>ROUND(SUMPRODUCT(Q6:Q13,K6:K13)/SUMPRODUCT((Q6:Q13&gt;0)*(K6:K13)),2)</f>
        <v>0.12</v>
      </c>
      <c r="R16" s="2310">
        <f>SUM(R6:R13)</f>
        <v>117823.1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2">
        <f>ROUND(SUMPRODUCT(AP6:AP13,K6:K13)/SUMPRODUCT((AP6:AP13&gt;0)*(K6:K13)),3)</f>
        <v>0.86499999999999999</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3186" t="s">
        <v>3001</v>
      </c>
      <c r="L17" s="3307" t="s">
        <v>3002</v>
      </c>
      <c r="M17" s="3307"/>
      <c r="N17" s="3307"/>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2"/>
      <c r="C18" s="1991"/>
      <c r="D18" s="1992"/>
      <c r="E18" s="1991"/>
      <c r="F18" s="1991"/>
      <c r="G18" s="1991"/>
      <c r="H18" s="1991"/>
      <c r="I18" s="1991"/>
      <c r="J18" s="1991"/>
      <c r="K18" s="3187"/>
      <c r="L18" s="3188" t="s">
        <v>3003</v>
      </c>
      <c r="M18" s="3188" t="s">
        <v>3004</v>
      </c>
      <c r="N18" s="3188" t="s">
        <v>3005</v>
      </c>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2335</v>
      </c>
      <c r="D19" s="1992"/>
      <c r="E19" s="1991"/>
      <c r="F19" s="1991"/>
      <c r="G19" s="1991"/>
      <c r="H19" s="1991"/>
      <c r="I19" s="1991"/>
      <c r="J19" s="1991"/>
      <c r="K19" s="3189" t="s">
        <v>3006</v>
      </c>
      <c r="L19" s="3189" t="s">
        <v>3007</v>
      </c>
      <c r="M19" s="3189" t="s">
        <v>3008</v>
      </c>
      <c r="N19" s="3189" t="s">
        <v>3009</v>
      </c>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29.5">
      <c r="A27" s="226" t="s">
        <v>2337</v>
      </c>
      <c r="B27" s="227">
        <v>105</v>
      </c>
      <c r="C27" s="3519" t="s">
        <v>3010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8" t="s">
        <v>2338</v>
      </c>
      <c r="B28" s="229">
        <v>105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31" t="s">
        <v>2336</v>
      </c>
      <c r="B29" s="232">
        <v>0</v>
      </c>
      <c r="C29" s="1551"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5" t="s">
        <v>273</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7" t="s">
        <v>275</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6" t="s">
        <v>278</v>
      </c>
      <c r="B33" s="1377">
        <v>0.03</v>
      </c>
      <c r="C33" s="2364" t="s">
        <v>2885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3.5000000000000003E-2</v>
      </c>
      <c r="C34" s="2364" t="s">
        <v>2886</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2887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2888</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2889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2889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2453</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2454</v>
      </c>
      <c r="B40" s="2480">
        <f ca="1">存贷款利率!E2</f>
        <v>4.7500000000000001E-2</v>
      </c>
      <c r="C40" s="2364"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2890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74" t="s">
        <v>2893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5" t="s">
        <v>2894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2895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4</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3190" t="s">
        <v>1407</v>
      </c>
      <c r="C53" s="3076" t="s">
        <v>2896</v>
      </c>
      <c r="D53" s="3077" t="s">
        <v>2897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2898</v>
      </c>
      <c r="B54" s="186">
        <v>16</v>
      </c>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2899</v>
      </c>
      <c r="B55" s="186">
        <v>10</v>
      </c>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2900</v>
      </c>
      <c r="B56" s="186">
        <v>8</v>
      </c>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2901</v>
      </c>
      <c r="B57" s="186">
        <v>6</v>
      </c>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2902</v>
      </c>
      <c r="B58" s="186">
        <v>4</v>
      </c>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2903</v>
      </c>
      <c r="B59" s="186">
        <v>3</v>
      </c>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2904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2905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2906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2907</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mergeCells count="1">
    <mergeCell ref="L17:N17"/>
  </mergeCells>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19" r:id="rId1" display="javascript:top.main.DataEdit('32',21);"/>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16" sqref="E1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08" t="s">
        <v>1663</v>
      </c>
      <c r="B1" s="3309"/>
      <c r="C1" s="3309"/>
      <c r="D1" s="3309"/>
      <c r="E1" s="3309"/>
      <c r="F1" s="3309"/>
      <c r="G1" s="3309"/>
      <c r="H1" s="2001"/>
      <c r="I1" s="2002"/>
      <c r="J1" s="2003"/>
      <c r="K1" s="2001"/>
      <c r="L1" s="2002"/>
      <c r="M1" s="2003"/>
      <c r="N1" s="2001"/>
      <c r="O1" s="2002"/>
      <c r="P1" s="2003"/>
      <c r="Q1" s="2004"/>
      <c r="R1" s="2005"/>
    </row>
    <row r="2" spans="1:18" ht="14.25" thickBot="1">
      <c r="A2" s="1219"/>
      <c r="B2" s="1220"/>
      <c r="C2" s="1221" t="s">
        <v>1664</v>
      </c>
      <c r="D2" s="1222"/>
      <c r="E2" s="1223"/>
      <c r="F2" s="1224"/>
      <c r="G2" s="1221" t="s">
        <v>1665</v>
      </c>
      <c r="H2" s="2007"/>
      <c r="I2" s="2007"/>
      <c r="J2" s="2007"/>
      <c r="K2" s="2007"/>
      <c r="L2" s="2007"/>
      <c r="M2" s="2007"/>
      <c r="N2" s="2007"/>
      <c r="O2" s="2007"/>
      <c r="P2" s="2007"/>
      <c r="Q2" s="2007"/>
      <c r="R2" s="2007"/>
    </row>
    <row r="3" spans="1:18" ht="54">
      <c r="A3" s="1225" t="s">
        <v>1666</v>
      </c>
      <c r="B3" s="1226" t="s">
        <v>1653</v>
      </c>
      <c r="C3" s="3081" t="s">
        <v>2909</v>
      </c>
      <c r="D3" s="2008"/>
      <c r="E3" s="1227" t="s">
        <v>1666</v>
      </c>
      <c r="F3" s="1228" t="s">
        <v>1654</v>
      </c>
      <c r="G3" s="3085"/>
      <c r="H3" s="2007"/>
      <c r="I3" s="2007"/>
      <c r="J3" s="2007"/>
      <c r="K3" s="2007"/>
      <c r="L3" s="2007"/>
      <c r="M3" s="2007"/>
      <c r="N3" s="2007"/>
      <c r="O3" s="2007"/>
      <c r="P3" s="2007"/>
      <c r="Q3" s="2007"/>
      <c r="R3" s="2007"/>
    </row>
    <row r="4" spans="1:18" ht="41.25">
      <c r="A4" s="1227"/>
      <c r="B4" s="1229" t="s">
        <v>1667</v>
      </c>
      <c r="C4" s="3082" t="s">
        <v>2910</v>
      </c>
      <c r="D4" s="2008"/>
      <c r="E4" s="1230"/>
      <c r="F4" s="1231" t="s">
        <v>1668</v>
      </c>
      <c r="G4" s="3083"/>
      <c r="H4" s="2007"/>
      <c r="I4" s="2007"/>
      <c r="J4" s="2007"/>
      <c r="K4" s="2007"/>
      <c r="L4" s="2007"/>
      <c r="M4" s="2007"/>
      <c r="N4" s="2007"/>
      <c r="O4" s="2007"/>
      <c r="P4" s="2007"/>
      <c r="Q4" s="2007"/>
      <c r="R4" s="2007"/>
    </row>
    <row r="5" spans="1:18" ht="14.25">
      <c r="A5" s="1227"/>
      <c r="B5" s="1229" t="s">
        <v>1669</v>
      </c>
      <c r="C5" s="3082"/>
      <c r="D5" s="2008"/>
      <c r="E5" s="1230"/>
      <c r="F5" s="1229" t="s">
        <v>2543</v>
      </c>
      <c r="G5" s="3083"/>
      <c r="H5" s="2007"/>
      <c r="I5" s="2007"/>
      <c r="J5" s="2007"/>
      <c r="K5" s="2007"/>
      <c r="L5" s="2007"/>
      <c r="M5" s="2007"/>
      <c r="N5" s="2007"/>
      <c r="O5" s="2007"/>
      <c r="P5" s="2007"/>
      <c r="Q5" s="2007"/>
      <c r="R5" s="2007"/>
    </row>
    <row r="6" spans="1:18" ht="54">
      <c r="A6" s="1227"/>
      <c r="B6" s="1229" t="s">
        <v>1655</v>
      </c>
      <c r="C6" s="3083" t="s">
        <v>2908</v>
      </c>
      <c r="D6" s="2008"/>
      <c r="E6" s="1230"/>
      <c r="F6" s="1229" t="s">
        <v>2544</v>
      </c>
      <c r="G6" s="3083"/>
      <c r="H6" s="2007"/>
      <c r="I6" s="2007"/>
      <c r="J6" s="2007"/>
      <c r="K6" s="2007"/>
      <c r="L6" s="2007"/>
      <c r="M6" s="2007"/>
      <c r="N6" s="2007"/>
      <c r="O6" s="2007"/>
      <c r="P6" s="2007"/>
      <c r="Q6" s="2007"/>
      <c r="R6" s="2007"/>
    </row>
    <row r="7" spans="1:18" ht="15" thickBot="1">
      <c r="A7" s="1227"/>
      <c r="B7" s="1229" t="s">
        <v>2543</v>
      </c>
      <c r="C7" s="3083"/>
      <c r="D7" s="2009"/>
      <c r="E7" s="1232"/>
      <c r="F7" s="1233" t="s">
        <v>1670</v>
      </c>
      <c r="G7" s="3086"/>
      <c r="H7" s="2007"/>
      <c r="I7" s="2007"/>
      <c r="J7" s="2007"/>
      <c r="K7" s="2007"/>
      <c r="L7" s="2007"/>
      <c r="M7" s="2007"/>
      <c r="N7" s="2007"/>
      <c r="O7" s="2007"/>
      <c r="P7" s="2007"/>
      <c r="Q7" s="2007"/>
      <c r="R7" s="2007"/>
    </row>
    <row r="8" spans="1:18" ht="14.25">
      <c r="A8" s="1227"/>
      <c r="B8" s="1229" t="s">
        <v>2544</v>
      </c>
      <c r="C8" s="3083"/>
      <c r="D8" s="2009"/>
      <c r="E8" s="2009"/>
      <c r="F8" s="1552"/>
      <c r="G8" s="1552"/>
      <c r="H8" s="2007"/>
      <c r="I8" s="2007"/>
      <c r="J8" s="2007"/>
      <c r="K8" s="2007"/>
      <c r="L8" s="2007"/>
      <c r="M8" s="2007"/>
      <c r="N8" s="2007"/>
      <c r="O8" s="2007"/>
      <c r="P8" s="2007"/>
      <c r="Q8" s="2007"/>
      <c r="R8" s="2007"/>
    </row>
    <row r="9" spans="1:18" ht="14.25">
      <c r="A9" s="1227"/>
      <c r="B9" s="1229" t="s">
        <v>1656</v>
      </c>
      <c r="C9" s="3082"/>
      <c r="D9" s="2008"/>
      <c r="E9" s="2009"/>
      <c r="F9" s="1552"/>
      <c r="G9" s="1552"/>
      <c r="H9" s="2007"/>
      <c r="I9" s="2007"/>
      <c r="J9" s="2007"/>
      <c r="K9" s="2007"/>
      <c r="L9" s="2007"/>
      <c r="M9" s="2007"/>
      <c r="N9" s="2007"/>
      <c r="O9" s="2007"/>
      <c r="P9" s="2007"/>
      <c r="Q9" s="2007"/>
      <c r="R9" s="2007"/>
    </row>
    <row r="10" spans="1:18" s="2015" customFormat="1" ht="15" thickBot="1">
      <c r="A10" s="1234"/>
      <c r="B10" s="1235" t="s">
        <v>1671</v>
      </c>
      <c r="C10" s="308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2"/>
      <c r="E13" s="2577"/>
      <c r="F13" s="2577"/>
      <c r="G13" s="2577"/>
    </row>
    <row r="14" spans="1:18" ht="14.25" thickBot="1">
      <c r="A14" s="1236"/>
      <c r="B14" s="1237"/>
      <c r="C14" s="1238" t="s">
        <v>1664</v>
      </c>
      <c r="D14" s="2008"/>
      <c r="E14" s="1239"/>
      <c r="F14" s="1239"/>
      <c r="G14" s="1221" t="s">
        <v>1665</v>
      </c>
    </row>
    <row r="15" spans="1:18" ht="54">
      <c r="A15" s="2587" t="s">
        <v>1657</v>
      </c>
      <c r="B15" s="1240" t="s">
        <v>1653</v>
      </c>
      <c r="C15" s="1241" t="str">
        <f>C3</f>
        <v>估价对象周边居住用地比例、居住小区规模和社区发展完善程度，综合评价居住社区成熟度一般</v>
      </c>
      <c r="D15" s="2008"/>
      <c r="E15" s="2584" t="s">
        <v>1658</v>
      </c>
      <c r="F15" s="1240" t="s">
        <v>1673</v>
      </c>
      <c r="G15" s="1242">
        <f>G3</f>
        <v>0</v>
      </c>
    </row>
    <row r="16" spans="1:18" ht="40.5">
      <c r="A16" s="2588"/>
      <c r="B16" s="1243" t="s">
        <v>1667</v>
      </c>
      <c r="C16" s="1244" t="str">
        <f>C4</f>
        <v>估价对象位于XX商圈，周边商业氛围成熟，人流量大，商业繁华度好</v>
      </c>
      <c r="D16" s="2008"/>
      <c r="E16" s="2585"/>
      <c r="F16" s="1245" t="s">
        <v>1668</v>
      </c>
      <c r="G16" s="1003">
        <f>G4</f>
        <v>0</v>
      </c>
    </row>
    <row r="17" spans="1:7" ht="14.25">
      <c r="A17" s="2588"/>
      <c r="B17" s="1243" t="s">
        <v>1669</v>
      </c>
      <c r="C17" s="1244">
        <f>C5</f>
        <v>0</v>
      </c>
      <c r="D17" s="2009"/>
      <c r="E17" s="2585"/>
      <c r="F17" s="1245" t="s">
        <v>1674</v>
      </c>
      <c r="G17" s="2793"/>
    </row>
    <row r="18" spans="1:7" ht="54">
      <c r="A18" s="2588"/>
      <c r="B18" s="1245" t="s">
        <v>1655</v>
      </c>
      <c r="C18" s="1003" t="str">
        <f>C6</f>
        <v>估价对象周边道路状况、公共交通通达情况、停车便捷程度，综合评价交通便捷度较好</v>
      </c>
      <c r="D18" s="2009"/>
      <c r="E18" s="2585"/>
      <c r="F18" s="1245" t="s">
        <v>1670</v>
      </c>
      <c r="G18" s="1003">
        <f>G7</f>
        <v>0</v>
      </c>
    </row>
    <row r="19" spans="1:7" ht="14.25">
      <c r="A19" s="2588"/>
      <c r="B19" s="1245" t="s">
        <v>1659</v>
      </c>
      <c r="C19" s="2793"/>
      <c r="D19" s="2008"/>
      <c r="E19" s="2585"/>
      <c r="F19" s="1229" t="s">
        <v>2543</v>
      </c>
      <c r="G19" s="1003">
        <f>G5</f>
        <v>0</v>
      </c>
    </row>
    <row r="20" spans="1:7">
      <c r="A20" s="2588"/>
      <c r="B20" s="1245" t="s">
        <v>1660</v>
      </c>
      <c r="C20" s="1244">
        <f>C9</f>
        <v>0</v>
      </c>
      <c r="D20" s="2009"/>
      <c r="E20" s="2585"/>
      <c r="F20" s="1229" t="s">
        <v>2544</v>
      </c>
      <c r="G20" s="1003">
        <f>G6</f>
        <v>0</v>
      </c>
    </row>
    <row r="21" spans="1:7" ht="14.25">
      <c r="A21" s="2588"/>
      <c r="B21" s="1229" t="s">
        <v>2543</v>
      </c>
      <c r="C21" s="1003">
        <f>C7</f>
        <v>0</v>
      </c>
      <c r="D21" s="2008"/>
      <c r="E21" s="2585"/>
      <c r="F21" s="1245" t="s">
        <v>1661</v>
      </c>
      <c r="G21" s="3087"/>
    </row>
    <row r="22" spans="1:7" ht="14.25">
      <c r="A22" s="2588"/>
      <c r="B22" s="1229" t="s">
        <v>2544</v>
      </c>
      <c r="C22" s="1003">
        <f>C8</f>
        <v>0</v>
      </c>
      <c r="D22" s="2008"/>
      <c r="E22" s="2585"/>
      <c r="F22" s="1245" t="s">
        <v>1671</v>
      </c>
      <c r="G22" s="2793"/>
    </row>
    <row r="23" spans="1:7" ht="15" thickBot="1">
      <c r="A23" s="2588"/>
      <c r="B23" s="1245" t="s">
        <v>1661</v>
      </c>
      <c r="C23" s="3087"/>
      <c r="E23" s="2586"/>
      <c r="F23" s="1246" t="s">
        <v>1675</v>
      </c>
      <c r="G23" s="3088"/>
    </row>
    <row r="24" spans="1:7" ht="14.25" thickBot="1">
      <c r="A24" s="2589"/>
      <c r="B24" s="1246" t="s">
        <v>1662</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5" t="s">
        <v>2840</v>
      </c>
      <c r="B1" s="3045">
        <f>SUM(B14:B23)</f>
        <v>412380.85000000003</v>
      </c>
      <c r="C1" s="3046"/>
      <c r="D1" s="3046"/>
      <c r="E1" s="3046"/>
      <c r="F1" s="3046"/>
    </row>
    <row r="2" spans="1:9" ht="16.5">
      <c r="A2" s="3045" t="s">
        <v>2841</v>
      </c>
      <c r="B2" s="3045">
        <f>SUM(C14:C23)</f>
        <v>117823.1</v>
      </c>
      <c r="C2" s="3046"/>
      <c r="D2" s="3046"/>
      <c r="E2" s="3046"/>
      <c r="F2" s="3046"/>
    </row>
    <row r="3" spans="1:9" ht="16.5">
      <c r="A3" s="3045" t="s">
        <v>2842</v>
      </c>
      <c r="B3" s="3047">
        <f>项目基本情况!D3</f>
        <v>43445</v>
      </c>
      <c r="C3" s="3046"/>
      <c r="D3" s="3046"/>
      <c r="E3" s="3046"/>
      <c r="F3" s="3046"/>
    </row>
    <row r="4" spans="1:9" ht="33">
      <c r="A4" s="3045" t="s">
        <v>2843</v>
      </c>
      <c r="B4" s="3045" t="s">
        <v>2844</v>
      </c>
      <c r="C4" s="3045" t="s">
        <v>2845</v>
      </c>
      <c r="D4" s="3045" t="s">
        <v>2846</v>
      </c>
      <c r="E4" s="3046"/>
      <c r="F4" s="3046"/>
    </row>
    <row r="5" spans="1:9" ht="16.5">
      <c r="A5" s="3045" t="s">
        <v>2847</v>
      </c>
      <c r="B5" s="3045">
        <f ca="1">SUM(D14:D23)</f>
        <v>71166</v>
      </c>
      <c r="C5" s="3045">
        <f ca="1">ROUND(B5*10000/$B$1,0)</f>
        <v>1726</v>
      </c>
      <c r="D5" s="3045">
        <f ca="1">ROUND(B5*10000/$B$2,0)</f>
        <v>6040</v>
      </c>
      <c r="E5" s="3046"/>
      <c r="F5" s="3046"/>
    </row>
    <row r="6" spans="1:9" ht="16.5">
      <c r="A6" s="3045" t="s">
        <v>2848</v>
      </c>
      <c r="B6" s="3045">
        <f ca="1">SUM(G14:G23)</f>
        <v>71166</v>
      </c>
      <c r="C6" s="3045">
        <f t="shared" ref="C6:C8" ca="1" si="0">ROUND(B6*10000/$B$1,0)</f>
        <v>1726</v>
      </c>
      <c r="D6" s="3045">
        <f t="shared" ref="D6:D8" ca="1" si="1">ROUND(B6*10000/$B$2,0)</f>
        <v>6040</v>
      </c>
      <c r="E6" s="3046"/>
      <c r="F6" s="3046"/>
    </row>
    <row r="7" spans="1:9" ht="16.5">
      <c r="A7" s="3045" t="s">
        <v>2849</v>
      </c>
      <c r="B7" s="3045">
        <f>SUM(H14:H23)</f>
        <v>0</v>
      </c>
      <c r="C7" s="3045">
        <f t="shared" si="0"/>
        <v>0</v>
      </c>
      <c r="D7" s="3045">
        <f t="shared" si="1"/>
        <v>0</v>
      </c>
      <c r="E7" s="3046"/>
      <c r="F7" s="3046"/>
    </row>
    <row r="8" spans="1:9" ht="16.5">
      <c r="A8" s="3045" t="s">
        <v>2850</v>
      </c>
      <c r="B8" s="3045">
        <f>SUM(I14:I23)</f>
        <v>0</v>
      </c>
      <c r="C8" s="3045">
        <f t="shared" si="0"/>
        <v>0</v>
      </c>
      <c r="D8" s="3045">
        <f t="shared" si="1"/>
        <v>0</v>
      </c>
      <c r="E8" s="3046"/>
      <c r="F8" s="3046"/>
    </row>
    <row r="9" spans="1:9" ht="16.5">
      <c r="A9" s="3045" t="s">
        <v>2851</v>
      </c>
      <c r="B9" s="3048"/>
      <c r="C9" s="3046"/>
      <c r="D9" s="3046"/>
      <c r="E9" s="3046"/>
      <c r="F9" s="3046"/>
    </row>
    <row r="10" spans="1:9" ht="16.5">
      <c r="A10" s="3045" t="s">
        <v>2852</v>
      </c>
      <c r="B10" s="3048"/>
      <c r="C10" s="3046"/>
      <c r="D10" s="3046"/>
      <c r="E10" s="3046"/>
      <c r="F10" s="3046"/>
    </row>
    <row r="11" spans="1:9" ht="16.5">
      <c r="A11" s="3045" t="s">
        <v>2869</v>
      </c>
      <c r="B11" s="3048"/>
      <c r="C11" s="3046"/>
      <c r="D11" s="3046"/>
      <c r="E11" s="3046"/>
      <c r="F11" s="3046"/>
    </row>
    <row r="12" spans="1:9" ht="16.5">
      <c r="A12" s="3046"/>
      <c r="B12" s="3046"/>
      <c r="C12" s="3046"/>
      <c r="D12" s="3046"/>
      <c r="E12" s="3046"/>
      <c r="F12" s="3046"/>
    </row>
    <row r="13" spans="1:9" ht="33">
      <c r="A13" s="3051" t="s">
        <v>2868</v>
      </c>
      <c r="B13" s="3049" t="s">
        <v>2840</v>
      </c>
      <c r="C13" s="3049" t="s">
        <v>2841</v>
      </c>
      <c r="D13" s="3049" t="s">
        <v>2853</v>
      </c>
      <c r="E13" s="3045" t="s">
        <v>2867</v>
      </c>
      <c r="F13" s="3045" t="s">
        <v>2846</v>
      </c>
      <c r="G13" s="3049" t="s">
        <v>2854</v>
      </c>
      <c r="H13" s="3049" t="s">
        <v>2855</v>
      </c>
      <c r="I13" s="3049" t="s">
        <v>2856</v>
      </c>
    </row>
    <row r="14" spans="1:9" ht="16.5">
      <c r="A14" s="3052" t="s">
        <v>2866</v>
      </c>
      <c r="B14" s="3049">
        <f>结果表!L38</f>
        <v>412380.85000000003</v>
      </c>
      <c r="C14" s="3049">
        <f>结果表!K38</f>
        <v>117823.1</v>
      </c>
      <c r="D14" s="3049">
        <f ca="1">结果表!C42</f>
        <v>71166</v>
      </c>
      <c r="E14" s="3049">
        <f ca="1">ROUND(D14*10000/B14,0)</f>
        <v>1726</v>
      </c>
      <c r="F14" s="3049">
        <f ca="1">ROUND(D14*10000/C14,0)</f>
        <v>6040</v>
      </c>
      <c r="G14" s="3049">
        <f ca="1">结果表!C44</f>
        <v>71166</v>
      </c>
      <c r="H14" s="3049" t="str">
        <f>结果表!C45</f>
        <v>——</v>
      </c>
      <c r="I14" s="3049" t="str">
        <f>结果表!C46</f>
        <v>——</v>
      </c>
    </row>
    <row r="15" spans="1:9" ht="16.5">
      <c r="A15" s="3052" t="s">
        <v>2857</v>
      </c>
      <c r="B15" s="3053"/>
      <c r="C15" s="3053"/>
      <c r="D15" s="3053"/>
      <c r="E15" s="3049" t="e">
        <f t="shared" ref="E15:E23" si="2">ROUND(D15*10000/B15,0)</f>
        <v>#DIV/0!</v>
      </c>
      <c r="F15" s="3049" t="e">
        <f t="shared" ref="F15:F23" si="3">ROUND(D15*10000/C15,0)</f>
        <v>#DIV/0!</v>
      </c>
      <c r="G15" s="3050"/>
      <c r="H15" s="3050"/>
      <c r="I15" s="3053"/>
    </row>
    <row r="16" spans="1:9" ht="16.5">
      <c r="A16" s="3052" t="s">
        <v>2858</v>
      </c>
      <c r="B16" s="3053"/>
      <c r="C16" s="3053"/>
      <c r="D16" s="3053"/>
      <c r="E16" s="3049" t="e">
        <f t="shared" si="2"/>
        <v>#DIV/0!</v>
      </c>
      <c r="F16" s="3049" t="e">
        <f t="shared" si="3"/>
        <v>#DIV/0!</v>
      </c>
      <c r="G16" s="3050"/>
      <c r="H16" s="3050"/>
      <c r="I16" s="3053"/>
    </row>
    <row r="17" spans="1:9" ht="16.5">
      <c r="A17" s="3052" t="s">
        <v>2859</v>
      </c>
      <c r="B17" s="3053"/>
      <c r="C17" s="3053"/>
      <c r="D17" s="3053"/>
      <c r="E17" s="3049" t="e">
        <f t="shared" si="2"/>
        <v>#DIV/0!</v>
      </c>
      <c r="F17" s="3049" t="e">
        <f t="shared" si="3"/>
        <v>#DIV/0!</v>
      </c>
      <c r="G17" s="3050"/>
      <c r="H17" s="3050"/>
      <c r="I17" s="3053"/>
    </row>
    <row r="18" spans="1:9" ht="16.5">
      <c r="A18" s="3052" t="s">
        <v>2860</v>
      </c>
      <c r="B18" s="3053"/>
      <c r="C18" s="3053"/>
      <c r="D18" s="3053"/>
      <c r="E18" s="3049" t="e">
        <f t="shared" si="2"/>
        <v>#DIV/0!</v>
      </c>
      <c r="F18" s="3049" t="e">
        <f t="shared" si="3"/>
        <v>#DIV/0!</v>
      </c>
      <c r="G18" s="3053"/>
      <c r="H18" s="3053"/>
      <c r="I18" s="3053"/>
    </row>
    <row r="19" spans="1:9" ht="16.5">
      <c r="A19" s="3052" t="s">
        <v>2861</v>
      </c>
      <c r="B19" s="3053"/>
      <c r="C19" s="3053"/>
      <c r="D19" s="3053"/>
      <c r="E19" s="3049" t="e">
        <f t="shared" si="2"/>
        <v>#DIV/0!</v>
      </c>
      <c r="F19" s="3049" t="e">
        <f t="shared" si="3"/>
        <v>#DIV/0!</v>
      </c>
      <c r="G19" s="3053"/>
      <c r="H19" s="3053"/>
      <c r="I19" s="3053"/>
    </row>
    <row r="20" spans="1:9" ht="16.5">
      <c r="A20" s="3052" t="s">
        <v>2862</v>
      </c>
      <c r="B20" s="3053"/>
      <c r="C20" s="3053"/>
      <c r="D20" s="3053"/>
      <c r="E20" s="3049" t="e">
        <f t="shared" si="2"/>
        <v>#DIV/0!</v>
      </c>
      <c r="F20" s="3049" t="e">
        <f t="shared" si="3"/>
        <v>#DIV/0!</v>
      </c>
      <c r="G20" s="3053"/>
      <c r="H20" s="3053"/>
      <c r="I20" s="3053"/>
    </row>
    <row r="21" spans="1:9" ht="16.5">
      <c r="A21" s="3052" t="s">
        <v>2863</v>
      </c>
      <c r="B21" s="3053"/>
      <c r="C21" s="3053"/>
      <c r="D21" s="3053"/>
      <c r="E21" s="3049" t="e">
        <f t="shared" si="2"/>
        <v>#DIV/0!</v>
      </c>
      <c r="F21" s="3049" t="e">
        <f t="shared" si="3"/>
        <v>#DIV/0!</v>
      </c>
      <c r="G21" s="3053"/>
      <c r="H21" s="3053"/>
      <c r="I21" s="3053"/>
    </row>
    <row r="22" spans="1:9" ht="16.5">
      <c r="A22" s="3052" t="s">
        <v>2864</v>
      </c>
      <c r="B22" s="3053"/>
      <c r="C22" s="3053"/>
      <c r="D22" s="3053"/>
      <c r="E22" s="3049" t="e">
        <f t="shared" si="2"/>
        <v>#DIV/0!</v>
      </c>
      <c r="F22" s="3049" t="e">
        <f t="shared" si="3"/>
        <v>#DIV/0!</v>
      </c>
      <c r="G22" s="3053"/>
      <c r="H22" s="3053"/>
      <c r="I22" s="3053"/>
    </row>
    <row r="23" spans="1:9" ht="16.5">
      <c r="A23" s="3052" t="s">
        <v>2865</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13" zoomScaleNormal="100" zoomScaleSheetLayoutView="100" zoomScalePageLayoutView="80" workbookViewId="0">
      <selection activeCell="N38" sqref="N38"/>
    </sheetView>
  </sheetViews>
  <sheetFormatPr defaultColWidth="12.625" defaultRowHeight="21.75" customHeight="1"/>
  <cols>
    <col min="1" max="2" width="12.75" style="1248" bestFit="1" customWidth="1"/>
    <col min="3" max="4" width="17"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5" t="s">
        <v>2055</v>
      </c>
      <c r="B1" s="1776"/>
      <c r="C1" s="1804" t="s">
        <v>2056</v>
      </c>
      <c r="D1" s="1805" t="s">
        <v>3018</v>
      </c>
      <c r="E1" s="1804" t="s">
        <v>2057</v>
      </c>
      <c r="F1" s="1806" t="s">
        <v>3019</v>
      </c>
      <c r="G1" s="310"/>
      <c r="H1" s="310"/>
      <c r="I1" s="310"/>
      <c r="J1" s="2028"/>
      <c r="K1" s="2028"/>
      <c r="L1" s="2028"/>
      <c r="M1" s="2028"/>
      <c r="N1" s="2028"/>
      <c r="O1" s="2028"/>
      <c r="P1" s="2028"/>
      <c r="Q1" s="2028"/>
      <c r="R1" s="2028"/>
      <c r="S1" s="2028"/>
      <c r="T1" s="2028"/>
      <c r="U1" s="2028"/>
      <c r="V1" s="2028"/>
    </row>
    <row r="2" spans="1:22" ht="21.75" customHeight="1" thickBot="1">
      <c r="A2" s="3346" t="str">
        <f>项目基本情况!K2</f>
        <v>江苏省镇江市镇江新区丁岗三三八省道北321102092092GB01229W00000000号一宗住宅、商业用地出让国有建设用地使用权</v>
      </c>
      <c r="B2" s="3347"/>
      <c r="C2" s="3348"/>
      <c r="D2" s="3348"/>
      <c r="E2" s="3348"/>
      <c r="F2" s="3348"/>
      <c r="G2" s="3347"/>
      <c r="H2" s="3347"/>
      <c r="I2" s="3349"/>
      <c r="J2" s="2029"/>
      <c r="K2" s="2028"/>
      <c r="L2" s="2028"/>
      <c r="M2" s="2028"/>
      <c r="N2" s="2028"/>
      <c r="O2" s="2028"/>
      <c r="P2" s="2028"/>
      <c r="Q2" s="2028"/>
      <c r="R2" s="2028"/>
      <c r="S2" s="2028"/>
      <c r="T2" s="2028"/>
      <c r="U2" s="2028"/>
      <c r="V2" s="2028"/>
    </row>
    <row r="3" spans="1:22" ht="14.25">
      <c r="A3" s="3339" t="s">
        <v>298</v>
      </c>
      <c r="B3" s="3340"/>
      <c r="C3" s="3340"/>
      <c r="D3" s="3340"/>
      <c r="E3" s="3340"/>
      <c r="F3" s="3340"/>
      <c r="G3" s="3340"/>
      <c r="H3" s="3340"/>
      <c r="I3" s="3340"/>
      <c r="J3" s="2029"/>
      <c r="K3" s="2028"/>
      <c r="L3" s="2028"/>
      <c r="M3" s="2028"/>
      <c r="N3" s="2028"/>
      <c r="O3" s="2028"/>
      <c r="P3" s="2028"/>
      <c r="Q3" s="2028"/>
      <c r="R3" s="2028"/>
      <c r="S3" s="2028"/>
      <c r="T3" s="2028"/>
      <c r="U3" s="2028"/>
      <c r="V3" s="2028"/>
    </row>
    <row r="4" spans="1:22" ht="14.25">
      <c r="A4" s="257" t="s">
        <v>299</v>
      </c>
      <c r="B4" s="258" t="s">
        <v>300</v>
      </c>
      <c r="C4" s="259" t="s">
        <v>3016</v>
      </c>
      <c r="D4" s="259" t="s">
        <v>3017</v>
      </c>
      <c r="E4" s="3311" t="s">
        <v>301</v>
      </c>
      <c r="F4" s="3312"/>
      <c r="G4" s="3312"/>
      <c r="H4" s="3312"/>
      <c r="I4" s="3341"/>
      <c r="J4" s="2029"/>
      <c r="K4" s="2028"/>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10" t="s">
        <v>302</v>
      </c>
      <c r="B5" s="3336">
        <v>25</v>
      </c>
      <c r="C5" s="3334"/>
      <c r="D5" s="3338"/>
      <c r="E5" s="260" t="s">
        <v>303</v>
      </c>
      <c r="F5" s="261"/>
      <c r="G5" s="261"/>
      <c r="H5" s="261"/>
      <c r="I5" s="262"/>
      <c r="J5" s="2029"/>
      <c r="K5" s="2028"/>
      <c r="L5" s="2028"/>
      <c r="M5" s="2028"/>
      <c r="N5" s="2028"/>
      <c r="O5" s="2028"/>
      <c r="P5" s="2028"/>
      <c r="Q5" s="2028"/>
      <c r="R5" s="2028"/>
      <c r="S5" s="2028"/>
      <c r="T5" s="2028"/>
      <c r="U5" s="2028"/>
      <c r="V5" s="2028"/>
    </row>
    <row r="6" spans="1:22" ht="14.25">
      <c r="A6" s="3310"/>
      <c r="B6" s="3336"/>
      <c r="C6" s="3337"/>
      <c r="D6" s="3338"/>
      <c r="E6" s="260" t="s">
        <v>304</v>
      </c>
      <c r="F6" s="261"/>
      <c r="G6" s="261"/>
      <c r="H6" s="261"/>
      <c r="I6" s="262"/>
      <c r="J6" s="2029"/>
      <c r="K6" s="2028"/>
      <c r="L6" s="2028"/>
      <c r="M6" s="2028"/>
      <c r="N6" s="2028"/>
      <c r="O6" s="2028"/>
      <c r="P6" s="2028"/>
      <c r="Q6" s="2028"/>
      <c r="R6" s="2028"/>
      <c r="S6" s="2028"/>
      <c r="T6" s="2028"/>
      <c r="U6" s="2028"/>
      <c r="V6" s="2028"/>
    </row>
    <row r="7" spans="1:22" ht="14.25">
      <c r="A7" s="3310"/>
      <c r="B7" s="3336"/>
      <c r="C7" s="3335"/>
      <c r="D7" s="3338"/>
      <c r="E7" s="260" t="s">
        <v>305</v>
      </c>
      <c r="F7" s="261"/>
      <c r="G7" s="261"/>
      <c r="H7" s="261"/>
      <c r="I7" s="262"/>
      <c r="J7" s="2029"/>
      <c r="K7" s="2028"/>
      <c r="L7" s="2028"/>
      <c r="M7" s="2028"/>
      <c r="N7" s="2028"/>
      <c r="O7" s="2028"/>
      <c r="P7" s="2028"/>
      <c r="Q7" s="2028"/>
      <c r="R7" s="2028"/>
      <c r="S7" s="2028"/>
      <c r="T7" s="2028"/>
      <c r="U7" s="2028"/>
      <c r="V7" s="2028"/>
    </row>
    <row r="8" spans="1:22" ht="14.25">
      <c r="A8" s="3310" t="s">
        <v>306</v>
      </c>
      <c r="B8" s="3336">
        <v>15</v>
      </c>
      <c r="C8" s="3334"/>
      <c r="D8" s="3338"/>
      <c r="E8" s="260" t="s">
        <v>307</v>
      </c>
      <c r="F8" s="261"/>
      <c r="G8" s="261"/>
      <c r="H8" s="261"/>
      <c r="I8" s="262"/>
      <c r="J8" s="2029"/>
      <c r="K8" s="2028"/>
      <c r="L8" s="2028"/>
      <c r="M8" s="2028"/>
      <c r="N8" s="2028"/>
      <c r="O8" s="2028"/>
      <c r="P8" s="2028"/>
      <c r="Q8" s="2028"/>
      <c r="R8" s="2028"/>
      <c r="S8" s="2028"/>
      <c r="T8" s="2028"/>
      <c r="U8" s="2028"/>
      <c r="V8" s="2028"/>
    </row>
    <row r="9" spans="1:22" ht="14.25">
      <c r="A9" s="3310"/>
      <c r="B9" s="3336"/>
      <c r="C9" s="3335"/>
      <c r="D9" s="3338"/>
      <c r="E9" s="260" t="s">
        <v>308</v>
      </c>
      <c r="F9" s="261"/>
      <c r="G9" s="261"/>
      <c r="H9" s="261"/>
      <c r="I9" s="262"/>
      <c r="J9" s="2029"/>
      <c r="K9" s="2028"/>
      <c r="L9" s="2028"/>
      <c r="M9" s="2028"/>
      <c r="N9" s="2028"/>
      <c r="O9" s="2028"/>
      <c r="P9" s="2028"/>
      <c r="Q9" s="2028"/>
      <c r="R9" s="2028"/>
      <c r="S9" s="2028"/>
      <c r="T9" s="2028"/>
      <c r="U9" s="2028"/>
      <c r="V9" s="2028"/>
    </row>
    <row r="10" spans="1:22" ht="14.25">
      <c r="A10" s="3310" t="s">
        <v>309</v>
      </c>
      <c r="B10" s="3336">
        <v>15</v>
      </c>
      <c r="C10" s="3334"/>
      <c r="D10" s="3338"/>
      <c r="E10" s="260" t="s">
        <v>310</v>
      </c>
      <c r="F10" s="261"/>
      <c r="G10" s="261"/>
      <c r="H10" s="261"/>
      <c r="I10" s="262"/>
      <c r="J10" s="2029"/>
      <c r="K10" s="2028"/>
      <c r="L10" s="2028"/>
      <c r="M10" s="2028"/>
      <c r="N10" s="2028"/>
      <c r="O10" s="2028"/>
      <c r="P10" s="2028"/>
      <c r="Q10" s="2028"/>
      <c r="R10" s="2028"/>
      <c r="S10" s="2028"/>
      <c r="T10" s="2028"/>
      <c r="U10" s="2028"/>
      <c r="V10" s="2028"/>
    </row>
    <row r="11" spans="1:22" ht="14.25">
      <c r="A11" s="3310"/>
      <c r="B11" s="3336"/>
      <c r="C11" s="3335"/>
      <c r="D11" s="3338"/>
      <c r="E11" s="260" t="s">
        <v>311</v>
      </c>
      <c r="F11" s="261"/>
      <c r="G11" s="261"/>
      <c r="H11" s="261"/>
      <c r="I11" s="262"/>
      <c r="J11" s="2029"/>
      <c r="K11" s="2028"/>
      <c r="L11" s="2028"/>
      <c r="M11" s="2028"/>
      <c r="N11" s="2028"/>
      <c r="O11" s="2028"/>
      <c r="P11" s="2028"/>
      <c r="Q11" s="2028"/>
      <c r="R11" s="2028"/>
      <c r="S11" s="2028"/>
      <c r="T11" s="2028"/>
      <c r="U11" s="2028"/>
      <c r="V11" s="2028"/>
    </row>
    <row r="12" spans="1:22" ht="14.25">
      <c r="A12" s="3310" t="s">
        <v>312</v>
      </c>
      <c r="B12" s="3336">
        <v>15</v>
      </c>
      <c r="C12" s="3334"/>
      <c r="D12" s="3338"/>
      <c r="E12" s="260" t="s">
        <v>313</v>
      </c>
      <c r="F12" s="261"/>
      <c r="G12" s="261"/>
      <c r="H12" s="261"/>
      <c r="I12" s="262"/>
      <c r="J12" s="2029"/>
      <c r="K12" s="2028"/>
      <c r="L12" s="2028"/>
      <c r="M12" s="2028"/>
      <c r="N12" s="2028"/>
      <c r="O12" s="2028"/>
      <c r="P12" s="2028"/>
      <c r="Q12" s="2028"/>
      <c r="R12" s="2028"/>
      <c r="S12" s="2028"/>
      <c r="T12" s="2028"/>
      <c r="U12" s="2028"/>
      <c r="V12" s="2028"/>
    </row>
    <row r="13" spans="1:22" ht="14.25">
      <c r="A13" s="3310"/>
      <c r="B13" s="3336"/>
      <c r="C13" s="3335"/>
      <c r="D13" s="3338"/>
      <c r="E13" s="260" t="s">
        <v>314</v>
      </c>
      <c r="F13" s="261"/>
      <c r="G13" s="261"/>
      <c r="H13" s="261"/>
      <c r="I13" s="262"/>
      <c r="J13" s="2029"/>
      <c r="K13" s="2028"/>
      <c r="L13" s="2028"/>
      <c r="M13" s="2028"/>
      <c r="N13" s="2028"/>
      <c r="O13" s="2028"/>
      <c r="P13" s="2028"/>
      <c r="Q13" s="2028"/>
      <c r="R13" s="2028"/>
      <c r="S13" s="2028"/>
      <c r="T13" s="2028"/>
      <c r="U13" s="2028"/>
      <c r="V13" s="2028"/>
    </row>
    <row r="14" spans="1:22" ht="14.25">
      <c r="A14" s="3310" t="s">
        <v>315</v>
      </c>
      <c r="B14" s="3336">
        <v>30</v>
      </c>
      <c r="C14" s="3334">
        <v>5</v>
      </c>
      <c r="D14" s="3338">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310"/>
      <c r="B15" s="3336"/>
      <c r="C15" s="3337"/>
      <c r="D15" s="3338"/>
      <c r="E15" s="260" t="s">
        <v>317</v>
      </c>
      <c r="F15" s="261"/>
      <c r="G15" s="261"/>
      <c r="H15" s="261"/>
      <c r="I15" s="262"/>
      <c r="J15" s="2029"/>
      <c r="K15" s="2028"/>
      <c r="L15" s="2028"/>
      <c r="M15" s="2028"/>
      <c r="N15" s="2028"/>
      <c r="O15" s="2028"/>
      <c r="P15" s="2028"/>
      <c r="Q15" s="2028"/>
      <c r="R15" s="2028"/>
      <c r="S15" s="2028"/>
      <c r="T15" s="2028"/>
      <c r="U15" s="2028"/>
      <c r="V15" s="2028"/>
    </row>
    <row r="16" spans="1:22" ht="14.25">
      <c r="A16" s="3310"/>
      <c r="B16" s="3336"/>
      <c r="C16" s="3335"/>
      <c r="D16" s="3338"/>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62558</v>
      </c>
      <c r="D19" s="270">
        <f ca="1">SUMIF(INDIRECT("'"&amp;D4&amp;"'"&amp;"!A:A"),结果表!B19,INDIRECT("'"&amp;D4&amp;"'"&amp;"!B:B"))</f>
        <v>79773</v>
      </c>
      <c r="E19" s="267" t="s">
        <v>323</v>
      </c>
      <c r="F19" s="268" t="s">
        <v>322</v>
      </c>
      <c r="G19" s="271">
        <f ca="1">ROUND(C19*$C$18+D19*$D$18,0)</f>
        <v>71166</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1517</v>
      </c>
      <c r="D20" s="276">
        <f ca="1">SUMIF(INDIRECT("'"&amp;D4&amp;"'"&amp;"!A:A"),结果表!B20,INDIRECT("'"&amp;D4&amp;"'"&amp;"!B:B"))</f>
        <v>1934</v>
      </c>
      <c r="E20" s="273"/>
      <c r="F20" s="274" t="s">
        <v>325</v>
      </c>
      <c r="G20" s="277">
        <f ca="1">ROUND(C20*$C$18+D20*$D$18,0)</f>
        <v>1726</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5309</v>
      </c>
      <c r="D21" s="151">
        <f ca="1">SUMIF(INDIRECT("'"&amp;D4&amp;"'"&amp;"!A:A"),结果表!B21,INDIRECT("'"&amp;D4&amp;"'"&amp;"!B:B"))</f>
        <v>6771</v>
      </c>
      <c r="E21" s="273"/>
      <c r="F21" s="279" t="s">
        <v>327</v>
      </c>
      <c r="G21" s="281">
        <f ca="1">ROUND(C21*$C$18+D21*$D$18,0)</f>
        <v>6040</v>
      </c>
      <c r="H21" s="1249" t="s">
        <v>326</v>
      </c>
      <c r="I21" s="310"/>
      <c r="J21" s="2028"/>
      <c r="K21" s="2028"/>
      <c r="L21" s="2028"/>
      <c r="M21" s="2028"/>
      <c r="N21" s="2028"/>
      <c r="O21" s="2028"/>
      <c r="P21" s="2028"/>
      <c r="Q21" s="2028"/>
      <c r="R21" s="2028"/>
      <c r="S21" s="2028"/>
      <c r="T21" s="2028"/>
      <c r="U21" s="2028"/>
      <c r="V21" s="2028"/>
    </row>
    <row r="22" spans="1:26" ht="15.75" thickBot="1">
      <c r="A22" s="126" t="s">
        <v>328</v>
      </c>
      <c r="B22" s="1250"/>
      <c r="C22" s="1251"/>
      <c r="D22" s="282">
        <f ca="1">IF(C19&lt;D19,D19/C19-1,C19/D19-1)</f>
        <v>0.27518462866459936</v>
      </c>
      <c r="E22" s="283"/>
      <c r="F22" s="284"/>
      <c r="G22" s="285">
        <f ca="1">ROUND(G19/('数据-汇总表'!D3/666.67),0)</f>
        <v>403</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16"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17"/>
      <c r="B25" s="1319" t="s">
        <v>331</v>
      </c>
      <c r="C25" s="289">
        <f>IF(B30=0,0,C30)</f>
        <v>0</v>
      </c>
      <c r="D25" s="290"/>
      <c r="E25" s="310"/>
      <c r="F25" s="310"/>
      <c r="G25" s="310"/>
      <c r="H25" s="310"/>
      <c r="I25" s="310"/>
      <c r="J25" s="2028"/>
      <c r="K25" s="1253" t="str">
        <f ca="1">项目基本情况!B16&amp;"国有建设用地使用权价格："&amp;O38&amp;"万元"</f>
        <v>出让国有建设用地使用权价格：71166万元</v>
      </c>
      <c r="L25" s="1254"/>
      <c r="M25" s="1254"/>
      <c r="N25" s="1254"/>
      <c r="O25" s="1255"/>
      <c r="P25" s="2028"/>
      <c r="Q25" s="2028"/>
      <c r="R25" s="2028"/>
      <c r="S25" s="2028"/>
      <c r="T25" s="2028"/>
      <c r="U25" s="2028"/>
      <c r="V25" s="2028"/>
    </row>
    <row r="26" spans="1:26" s="1252" customFormat="1" ht="18">
      <c r="A26" s="292" t="s">
        <v>332</v>
      </c>
      <c r="B26" s="293" t="s">
        <v>333</v>
      </c>
      <c r="C26" s="293" t="s">
        <v>334</v>
      </c>
      <c r="D26" s="294" t="s">
        <v>335</v>
      </c>
      <c r="E26" s="310"/>
      <c r="F26" s="310"/>
      <c r="G26" s="310"/>
      <c r="H26" s="310"/>
      <c r="I26" s="310"/>
      <c r="J26" s="2028"/>
      <c r="K26" s="1256" t="str">
        <f ca="1">"大写金额：人民币"&amp;NUMBERSTRING(INT(O38*10000),2)&amp;"元整"</f>
        <v>大写金额：人民币柒亿壹仟壹佰陆拾陆万元整</v>
      </c>
      <c r="L26" s="1250"/>
      <c r="M26" s="1250"/>
      <c r="N26" s="1250"/>
      <c r="O26" s="1249"/>
      <c r="P26" s="2028"/>
      <c r="Q26" s="2028"/>
      <c r="R26" s="2028"/>
      <c r="S26" s="2028"/>
      <c r="T26" s="2028"/>
      <c r="U26" s="2028"/>
      <c r="V26" s="2028"/>
      <c r="W26" s="291"/>
      <c r="X26" s="291"/>
      <c r="Y26" s="291"/>
      <c r="Z26" s="291"/>
    </row>
    <row r="27" spans="1:26" ht="18">
      <c r="A27" s="3218" t="s">
        <v>4171</v>
      </c>
      <c r="B27" s="3219">
        <f>结果表!C106</f>
        <v>35474.474499999997</v>
      </c>
      <c r="C27" s="3220">
        <f>'数据-取费表'!B48+'数据-取费表'!B49</f>
        <v>3.0499999999999999E-2</v>
      </c>
      <c r="D27" s="294"/>
      <c r="E27" s="310"/>
      <c r="F27" s="310"/>
      <c r="G27" s="310"/>
      <c r="H27" s="310"/>
      <c r="I27" s="310"/>
      <c r="J27" s="2028"/>
      <c r="K27" s="1256" t="str">
        <f ca="1">"单位面积地价："&amp;M38&amp;"元/平方米"</f>
        <v>单位面积地价：6040元/平方米</v>
      </c>
      <c r="L27" s="1250"/>
      <c r="M27" s="1250"/>
      <c r="N27" s="1250"/>
      <c r="O27" s="1249"/>
      <c r="P27" s="2028"/>
      <c r="Q27" s="2028"/>
      <c r="R27" s="2028"/>
      <c r="S27" s="2028"/>
      <c r="T27" s="2028"/>
      <c r="U27" s="2028"/>
      <c r="V27" s="2028"/>
    </row>
    <row r="28" spans="1:26" ht="18.75" customHeight="1">
      <c r="A28" s="292"/>
      <c r="B28" s="293"/>
      <c r="C28" s="293"/>
      <c r="D28" s="294"/>
      <c r="E28" s="310"/>
      <c r="F28" s="310"/>
      <c r="G28" s="310"/>
      <c r="H28" s="310"/>
      <c r="I28" s="310"/>
      <c r="J28" s="2028"/>
      <c r="K28" s="1256" t="str">
        <f ca="1">"楼面地价："&amp;N38&amp;"元/平方米"</f>
        <v>楼面地价：1726元/平方米</v>
      </c>
      <c r="L28" s="1250"/>
      <c r="M28" s="1250"/>
      <c r="N28" s="1250"/>
      <c r="O28" s="1249"/>
      <c r="P28" s="2028"/>
      <c r="V28" s="2028"/>
    </row>
    <row r="29" spans="1:26" ht="18">
      <c r="A29" s="292"/>
      <c r="B29" s="293"/>
      <c r="C29" s="293"/>
      <c r="D29" s="294"/>
      <c r="E29" s="310"/>
      <c r="F29" s="310"/>
      <c r="G29" s="310"/>
      <c r="H29" s="310"/>
      <c r="I29" s="310"/>
      <c r="J29" s="2028"/>
      <c r="K29" s="1256" t="str">
        <f ca="1">IF(OR(项目基本情况!E8="抵押价格",项目基本情况!E8="已注销及未注销"),"抵押价格："&amp;O39&amp;"万元","——")</f>
        <v>抵押价格：71166万元</v>
      </c>
      <c r="L29" s="1250"/>
      <c r="M29" s="1250"/>
      <c r="N29" s="1250"/>
      <c r="O29" s="1249"/>
      <c r="P29" s="2028"/>
      <c r="V29" s="2028"/>
    </row>
    <row r="30" spans="1:26" ht="18.75" thickBot="1">
      <c r="A30" s="3130" t="s">
        <v>336</v>
      </c>
      <c r="B30" s="308"/>
      <c r="C30" s="308"/>
      <c r="D30" s="309"/>
      <c r="E30" s="3131" t="s">
        <v>2957</v>
      </c>
      <c r="F30" s="310"/>
      <c r="G30" s="310"/>
      <c r="H30" s="310"/>
      <c r="I30" s="310"/>
      <c r="J30" s="2028"/>
      <c r="K30" s="1256" t="str">
        <f ca="1">IF(K29="——","——","大写金额：人民币"&amp;NUMBERSTRING(INT(O39*10000),2)&amp;"元整")</f>
        <v>大写金额：人民币柒亿壹仟壹佰陆拾陆万元整</v>
      </c>
      <c r="L30" s="1250"/>
      <c r="M30" s="1250"/>
      <c r="N30" s="1250"/>
      <c r="O30" s="1249"/>
      <c r="P30" s="2028"/>
      <c r="V30" s="2028"/>
    </row>
    <row r="31" spans="1:26" ht="24" customHeight="1" thickBot="1">
      <c r="A31" s="310"/>
      <c r="B31" s="310"/>
      <c r="C31" s="310"/>
      <c r="D31" s="310"/>
      <c r="E31" s="310"/>
      <c r="F31" s="310"/>
      <c r="G31" s="310"/>
      <c r="H31" s="310"/>
      <c r="I31" s="310"/>
      <c r="J31" s="2028"/>
      <c r="K31" s="2468" t="str">
        <f>IF(项目基本情况!E8="抵押价格","——","抵押担保权已注销时的抵押价格："&amp;O40&amp;"万元")</f>
        <v>——</v>
      </c>
      <c r="L31" s="2464"/>
      <c r="M31" s="2464"/>
      <c r="N31" s="2464"/>
      <c r="O31" s="2465"/>
      <c r="P31" s="2028"/>
      <c r="V31" s="2028"/>
    </row>
    <row r="32" spans="1:26" ht="18.75" thickBot="1">
      <c r="A32" s="267" t="s">
        <v>337</v>
      </c>
      <c r="B32" s="1380" t="s">
        <v>1688</v>
      </c>
      <c r="C32" s="1381">
        <f ca="1">G19-C24</f>
        <v>71166</v>
      </c>
      <c r="D32" s="1382" t="s">
        <v>1689</v>
      </c>
      <c r="E32" s="310"/>
      <c r="F32" s="310"/>
      <c r="G32" s="310"/>
      <c r="H32" s="310"/>
      <c r="I32" s="310"/>
      <c r="J32" s="2028"/>
      <c r="K32" s="2463" t="str">
        <f>IF(K31="——","——","大写金额：人民币"&amp;NUMBERSTRING(INT(O40*10000),2)&amp;"元整")</f>
        <v>——</v>
      </c>
      <c r="L32" s="2466"/>
      <c r="M32" s="2466"/>
      <c r="N32" s="2466"/>
      <c r="O32" s="2467"/>
      <c r="P32" s="2028"/>
      <c r="V32" s="2028"/>
    </row>
    <row r="33" spans="1:26" ht="18.75" thickBot="1">
      <c r="A33" s="297" t="s">
        <v>340</v>
      </c>
      <c r="B33" s="1383" t="s">
        <v>1690</v>
      </c>
      <c r="C33" s="263">
        <f ca="1">ROUND(C32*10000/'数据-汇总表'!E3,0)</f>
        <v>1726</v>
      </c>
      <c r="D33" s="1384" t="s">
        <v>1691</v>
      </c>
      <c r="E33" s="3316" t="s">
        <v>338</v>
      </c>
      <c r="F33" s="295" t="s">
        <v>339</v>
      </c>
      <c r="G33" s="296"/>
      <c r="H33" s="978"/>
      <c r="I33" s="1257"/>
      <c r="J33" s="2028"/>
      <c r="K33" s="1256" t="str">
        <f>IF(项目基本情况!E9="——","——","抵押净值："&amp;C46&amp;"万元")</f>
        <v>——</v>
      </c>
      <c r="L33" s="1250"/>
      <c r="M33" s="1250"/>
      <c r="N33" s="1250"/>
      <c r="O33" s="1249"/>
      <c r="P33" s="2028"/>
      <c r="V33" s="2028"/>
    </row>
    <row r="34" spans="1:26" s="1252" customFormat="1" ht="18.75" thickBot="1">
      <c r="A34" s="299"/>
      <c r="B34" s="1385" t="s">
        <v>1692</v>
      </c>
      <c r="C34" s="263">
        <f ca="1">ROUND(C32*10000/'数据-汇总表'!D3,0)</f>
        <v>6040</v>
      </c>
      <c r="D34" s="1386" t="s">
        <v>1691</v>
      </c>
      <c r="E34" s="3357"/>
      <c r="F34" s="127" t="s">
        <v>341</v>
      </c>
      <c r="G34" s="298"/>
      <c r="H34" s="105"/>
      <c r="I34" s="310"/>
      <c r="J34" s="2028"/>
      <c r="K34" s="1259" t="str">
        <f>IF(K33="——","——","大写金额：人民币"&amp;NUMBERSTRING(INT(O41*10000),2)&amp;"元整")</f>
        <v>——</v>
      </c>
      <c r="L34" s="1260"/>
      <c r="M34" s="1260"/>
      <c r="N34" s="1260"/>
      <c r="O34" s="1261"/>
      <c r="P34" s="2028"/>
      <c r="Q34" s="291"/>
      <c r="R34" s="291"/>
      <c r="S34" s="291"/>
      <c r="T34" s="291"/>
      <c r="U34" s="291"/>
      <c r="V34" s="2028"/>
      <c r="W34" s="291"/>
      <c r="X34" s="291"/>
      <c r="Y34" s="291"/>
      <c r="Z34" s="291"/>
    </row>
    <row r="35" spans="1:26" ht="15.75" thickBot="1">
      <c r="A35" s="283"/>
      <c r="B35" s="1387"/>
      <c r="C35" s="1388">
        <f ca="1">ROUND(C32/('数据-汇总表'!D3/666.67),0)</f>
        <v>403</v>
      </c>
      <c r="D35" s="1389" t="s">
        <v>1693</v>
      </c>
      <c r="E35" s="3358"/>
      <c r="F35" s="300" t="s">
        <v>342</v>
      </c>
      <c r="G35" s="980">
        <f>D27</f>
        <v>0</v>
      </c>
      <c r="H35" s="979" t="s">
        <v>343</v>
      </c>
      <c r="I35" s="310"/>
      <c r="J35" s="2028"/>
      <c r="K35" s="3331" t="s">
        <v>350</v>
      </c>
      <c r="L35" s="3331" t="s">
        <v>351</v>
      </c>
      <c r="M35" s="1262" t="s">
        <v>352</v>
      </c>
      <c r="N35" s="3331" t="s">
        <v>353</v>
      </c>
      <c r="O35" s="3331" t="s">
        <v>354</v>
      </c>
      <c r="P35" s="2028"/>
      <c r="V35" s="2028"/>
    </row>
    <row r="36" spans="1:26" ht="16.5" customHeight="1">
      <c r="A36" s="302" t="s">
        <v>344</v>
      </c>
      <c r="B36" s="303" t="s">
        <v>333</v>
      </c>
      <c r="C36" s="304" t="s">
        <v>345</v>
      </c>
      <c r="D36" s="304" t="s">
        <v>346</v>
      </c>
      <c r="E36" s="305" t="s">
        <v>347</v>
      </c>
      <c r="F36" s="310"/>
      <c r="G36" s="310"/>
      <c r="H36" s="310"/>
      <c r="I36" s="310"/>
      <c r="J36" s="2030"/>
      <c r="K36" s="3332"/>
      <c r="L36" s="3332"/>
      <c r="M36" s="1264" t="s">
        <v>355</v>
      </c>
      <c r="N36" s="3332"/>
      <c r="O36" s="3332"/>
      <c r="P36" s="2028"/>
      <c r="V36" s="2028"/>
    </row>
    <row r="37" spans="1:26" ht="16.5" customHeight="1" thickBot="1">
      <c r="A37" s="1258" t="s">
        <v>348</v>
      </c>
      <c r="B37" s="306"/>
      <c r="C37" s="293"/>
      <c r="D37" s="293"/>
      <c r="E37" s="294"/>
      <c r="F37" s="310"/>
      <c r="G37" s="310"/>
      <c r="H37" s="310"/>
      <c r="I37" s="310"/>
      <c r="J37" s="2030"/>
      <c r="K37" s="3333"/>
      <c r="L37" s="3333"/>
      <c r="M37" s="1265"/>
      <c r="N37" s="3333"/>
      <c r="O37" s="3333"/>
      <c r="P37" s="2028"/>
      <c r="V37" s="2028"/>
    </row>
    <row r="38" spans="1:26" ht="16.5" customHeight="1" thickBot="1">
      <c r="A38" s="1258" t="s">
        <v>349</v>
      </c>
      <c r="B38" s="306"/>
      <c r="C38" s="293"/>
      <c r="D38" s="293"/>
      <c r="E38" s="294"/>
      <c r="F38" s="310"/>
      <c r="G38" s="310"/>
      <c r="H38" s="310"/>
      <c r="I38" s="310"/>
      <c r="J38" s="2030"/>
      <c r="K38" s="1266">
        <f>'数据-汇总表'!D3</f>
        <v>117823.1</v>
      </c>
      <c r="L38" s="1267">
        <f>'数据-汇总表'!E3</f>
        <v>412380.85000000003</v>
      </c>
      <c r="M38" s="1267">
        <f ca="1">C34</f>
        <v>6040</v>
      </c>
      <c r="N38" s="1267">
        <f ca="1">C33</f>
        <v>1726</v>
      </c>
      <c r="O38" s="1268">
        <f ca="1">C32</f>
        <v>71166</v>
      </c>
      <c r="P38" s="2028"/>
      <c r="V38" s="2028"/>
    </row>
    <row r="39" spans="1:26" ht="16.5" customHeight="1" thickBot="1">
      <c r="A39" s="1263"/>
      <c r="B39" s="307"/>
      <c r="C39" s="308"/>
      <c r="D39" s="308"/>
      <c r="E39" s="309"/>
      <c r="F39" s="310"/>
      <c r="G39" s="310"/>
      <c r="H39" s="310"/>
      <c r="I39" s="310"/>
      <c r="J39" s="2030"/>
      <c r="K39" s="3376" t="str">
        <f>MID(A44,3,LEN(A44)-2)</f>
        <v>抵押价格</v>
      </c>
      <c r="L39" s="3377"/>
      <c r="M39" s="3377"/>
      <c r="N39" s="3378"/>
      <c r="O39" s="1391">
        <f ca="1">C44</f>
        <v>71166</v>
      </c>
      <c r="P39" s="2028"/>
      <c r="V39" s="2028"/>
    </row>
    <row r="40" spans="1:26" ht="19.5" thickBot="1">
      <c r="A40" s="104" t="s">
        <v>872</v>
      </c>
      <c r="B40" s="310"/>
      <c r="C40" s="310"/>
      <c r="D40" s="310"/>
      <c r="E40" s="310"/>
      <c r="F40" s="310"/>
      <c r="G40" s="310"/>
      <c r="H40" s="310"/>
      <c r="I40" s="310"/>
      <c r="J40" s="2030"/>
      <c r="K40" s="3376" t="str">
        <f t="shared" ref="K40:K41" si="0">MID(A45,3,LEN(A45)-2)</f>
        <v/>
      </c>
      <c r="L40" s="3377"/>
      <c r="M40" s="3377"/>
      <c r="N40" s="3378"/>
      <c r="O40" s="1391" t="str">
        <f>C45</f>
        <v>——</v>
      </c>
      <c r="P40" s="2028"/>
      <c r="V40" s="2028"/>
    </row>
    <row r="41" spans="1:26" ht="16.5" thickBot="1">
      <c r="A41" s="311" t="s">
        <v>356</v>
      </c>
      <c r="B41" s="312"/>
      <c r="C41" s="313" t="s">
        <v>357</v>
      </c>
      <c r="D41" s="314" t="s">
        <v>358</v>
      </c>
      <c r="E41" s="314" t="s">
        <v>359</v>
      </c>
      <c r="F41" s="315" t="s">
        <v>360</v>
      </c>
      <c r="G41" s="310"/>
      <c r="H41" s="310"/>
      <c r="I41" s="310"/>
      <c r="J41" s="2030"/>
      <c r="K41" s="3376" t="str">
        <f t="shared" si="0"/>
        <v/>
      </c>
      <c r="L41" s="3377"/>
      <c r="M41" s="3377"/>
      <c r="N41" s="3378"/>
      <c r="O41" s="1391" t="str">
        <f>C46</f>
        <v>——</v>
      </c>
      <c r="P41" s="2028"/>
      <c r="V41" s="2028"/>
    </row>
    <row r="42" spans="1:26" ht="29.25">
      <c r="A42" s="3318" t="s">
        <v>2067</v>
      </c>
      <c r="B42" s="3319"/>
      <c r="C42" s="263">
        <f ca="1">C32</f>
        <v>71166</v>
      </c>
      <c r="D42" s="316">
        <f ca="1">C33</f>
        <v>1726</v>
      </c>
      <c r="E42" s="316">
        <f ca="1">C34</f>
        <v>6040</v>
      </c>
      <c r="F42" s="317">
        <f ca="1">C35</f>
        <v>403</v>
      </c>
      <c r="G42" s="310"/>
      <c r="H42" s="310"/>
      <c r="I42" s="318"/>
      <c r="J42" s="2030"/>
      <c r="K42" s="1269" t="s">
        <v>361</v>
      </c>
      <c r="L42" s="2047" t="s">
        <v>362</v>
      </c>
      <c r="M42" s="1270" t="s">
        <v>363</v>
      </c>
      <c r="N42" s="2048" t="s">
        <v>364</v>
      </c>
      <c r="O42" s="2049" t="s">
        <v>365</v>
      </c>
      <c r="P42" s="2028"/>
      <c r="V42" s="2028"/>
    </row>
    <row r="43" spans="1:26" ht="30">
      <c r="A43" s="3329" t="s">
        <v>2726</v>
      </c>
      <c r="B43" s="3330"/>
      <c r="C43" s="263">
        <f>IF(H33="正常操作",G33+G34+G35,G34+G35)</f>
        <v>0</v>
      </c>
      <c r="D43" s="316" t="s">
        <v>43</v>
      </c>
      <c r="E43" s="316" t="s">
        <v>44</v>
      </c>
      <c r="F43" s="317" t="s">
        <v>44</v>
      </c>
      <c r="G43" s="2866" t="s">
        <v>951</v>
      </c>
      <c r="H43" s="310"/>
      <c r="I43" s="318"/>
      <c r="J43" s="2030"/>
      <c r="K43" s="1271" t="str">
        <f>C4</f>
        <v>比较法-住宅、综合</v>
      </c>
      <c r="L43" s="1272">
        <f ca="1">IF(L42="估价结果/万元",C19,C20)</f>
        <v>62558</v>
      </c>
      <c r="M43" s="1273">
        <f>C18</f>
        <v>0.5</v>
      </c>
      <c r="N43" s="1274">
        <f ca="1">IF(N42="测算结果/万元",G19,G20)</f>
        <v>71166</v>
      </c>
      <c r="O43" s="1275">
        <f ca="1">IF(O42="最终结果/万元",C32,C33)</f>
        <v>71166</v>
      </c>
      <c r="P43" s="2028"/>
      <c r="V43" s="2028"/>
    </row>
    <row r="44" spans="1:26" ht="30.75" thickBot="1">
      <c r="A44" s="3318" t="str">
        <f>IF(OR(项目基本情况!E8="抵押价格",项目基本情况!E8="已注销及未注销"),"3.抵押价格","——")</f>
        <v>3.抵押价格</v>
      </c>
      <c r="B44" s="3319"/>
      <c r="C44" s="263">
        <f ca="1">IF(A44="——","——",C42-C43)</f>
        <v>71166</v>
      </c>
      <c r="D44" s="316">
        <f ca="1">ROUND(C44*10000/'数据-汇总表'!E3,0)</f>
        <v>1726</v>
      </c>
      <c r="E44" s="316">
        <f ca="1">ROUND(C44*10000/'数据-汇总表'!D3,0)</f>
        <v>6040</v>
      </c>
      <c r="F44" s="317">
        <f ca="1">ROUND(C44/('数据-汇总表'!D3/666.67),0)</f>
        <v>403</v>
      </c>
      <c r="G44" s="310"/>
      <c r="H44" s="310"/>
      <c r="I44" s="318"/>
      <c r="J44" s="2030"/>
      <c r="K44" s="1276" t="str">
        <f>D4</f>
        <v>剩余法-待开发</v>
      </c>
      <c r="L44" s="1277">
        <f ca="1">IF(L42="估价结果/万元",D19,D20)</f>
        <v>79773</v>
      </c>
      <c r="M44" s="1278">
        <f>D18</f>
        <v>0.5</v>
      </c>
      <c r="N44" s="1279"/>
      <c r="O44" s="1280"/>
      <c r="P44" s="2028"/>
      <c r="V44" s="2028"/>
    </row>
    <row r="45" spans="1:26" ht="15">
      <c r="A45" s="3324" t="str">
        <f>IF(项目基本情况!E8="已注销及未注销","4.抵押担保权已注销时的抵押价格",IF(项目基本情况!E8="已注销","3.抵押担保权已注销时的抵押价格","——"))</f>
        <v>——</v>
      </c>
      <c r="B45" s="3325"/>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20" t="str">
        <f>IF(项目基本情况!E9="抵押净值",IF(A45="——","4.抵押净值","5.抵押净值"),"——")</f>
        <v>——</v>
      </c>
      <c r="B46" s="3321"/>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1"/>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2" t="s">
        <v>373</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65" t="s">
        <v>374</v>
      </c>
      <c r="B63" s="3366"/>
      <c r="C63" s="3367"/>
      <c r="D63" s="340">
        <f ca="1">ROUND(C42*F63,0)</f>
        <v>71166</v>
      </c>
      <c r="E63" s="301" t="s">
        <v>375</v>
      </c>
      <c r="F63" s="341">
        <v>1</v>
      </c>
      <c r="G63" s="342" t="s">
        <v>376</v>
      </c>
      <c r="H63" s="310"/>
      <c r="I63" s="310"/>
      <c r="J63" s="2028"/>
      <c r="K63" s="2028"/>
      <c r="L63" s="2028"/>
      <c r="M63" s="2028"/>
      <c r="N63" s="2028"/>
      <c r="O63" s="2028"/>
      <c r="P63" s="310"/>
      <c r="Q63" s="2028"/>
      <c r="R63" s="2028"/>
      <c r="S63" s="2028"/>
      <c r="T63" s="2028"/>
      <c r="U63" s="2028"/>
      <c r="V63" s="2028"/>
    </row>
    <row r="64" spans="1:22" ht="14.25" customHeight="1">
      <c r="A64" s="3326" t="s">
        <v>378</v>
      </c>
      <c r="B64" s="3327"/>
      <c r="C64" s="3327"/>
      <c r="D64" s="3327"/>
      <c r="E64" s="3327"/>
      <c r="F64" s="3327"/>
      <c r="G64" s="3328"/>
      <c r="H64" s="1286"/>
      <c r="I64" s="946"/>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6"/>
      <c r="I65" s="946"/>
      <c r="J65" s="1990"/>
      <c r="K65" s="1287"/>
      <c r="L65" s="1288"/>
      <c r="M65" s="1288"/>
      <c r="N65" s="1320" t="s">
        <v>379</v>
      </c>
      <c r="O65" s="1321"/>
      <c r="P65" s="1322"/>
      <c r="Q65" s="2028"/>
      <c r="R65" s="2028"/>
      <c r="S65" s="2028"/>
      <c r="T65" s="2028"/>
      <c r="U65" s="2028"/>
      <c r="V65" s="2028"/>
    </row>
    <row r="66" spans="1:22" ht="25.5">
      <c r="A66" s="3322" t="s">
        <v>386</v>
      </c>
      <c r="B66" s="3323"/>
      <c r="C66" s="3323"/>
      <c r="D66" s="260">
        <f ca="1">IF(H66="情况1",0,IF(H66="情况2",D70,IF(H66="情况3",D71,IF(H66="情况4",D72))))</f>
        <v>3796</v>
      </c>
      <c r="E66" s="991" t="str">
        <f>IF(H66="情况4","(销售额-原购置价)×税（费）率","销售额×税（费）率")</f>
        <v>销售额×税（费）率</v>
      </c>
      <c r="F66" s="349">
        <f>IF(H66="情况1","免征",'数据-取费表'!B41)</f>
        <v>5.6000000000000001E-2</v>
      </c>
      <c r="G66" s="350" t="s">
        <v>387</v>
      </c>
      <c r="H66" s="191" t="s">
        <v>388</v>
      </c>
      <c r="I66" s="1286"/>
      <c r="J66" s="2034"/>
      <c r="K66" s="1289">
        <v>1</v>
      </c>
      <c r="L66" s="3380" t="s">
        <v>385</v>
      </c>
      <c r="M66" s="3381"/>
      <c r="N66" s="2458"/>
      <c r="O66" s="2459"/>
      <c r="P66" s="2460"/>
      <c r="Q66" s="2028"/>
      <c r="R66" s="2028"/>
      <c r="S66" s="2028"/>
      <c r="T66" s="2028"/>
      <c r="U66" s="2028"/>
      <c r="V66" s="2028"/>
    </row>
    <row r="67" spans="1:22" ht="25.5" customHeight="1">
      <c r="A67" s="351" t="s">
        <v>390</v>
      </c>
      <c r="B67" s="3313" t="s">
        <v>391</v>
      </c>
      <c r="C67" s="3313"/>
      <c r="D67" s="352">
        <v>0</v>
      </c>
      <c r="E67" s="41" t="s">
        <v>392</v>
      </c>
      <c r="F67" s="62" t="s">
        <v>21</v>
      </c>
      <c r="G67" s="3368"/>
      <c r="H67" s="310"/>
      <c r="I67" s="1290"/>
      <c r="J67" s="2035"/>
      <c r="K67" s="1976">
        <v>2</v>
      </c>
      <c r="L67" s="3379" t="s">
        <v>389</v>
      </c>
      <c r="M67" s="3379"/>
      <c r="N67" s="1323">
        <f>'数据-取费表'!B2</f>
        <v>43445</v>
      </c>
      <c r="O67" s="1323"/>
      <c r="P67" s="1323"/>
      <c r="Q67" s="2028"/>
      <c r="R67" s="2028"/>
      <c r="S67" s="2028"/>
      <c r="T67" s="2028"/>
      <c r="U67" s="2028"/>
      <c r="V67" s="2028"/>
    </row>
    <row r="68" spans="1:22" ht="25.5" customHeight="1">
      <c r="A68" s="353"/>
      <c r="B68" s="3313" t="s">
        <v>394</v>
      </c>
      <c r="C68" s="3313"/>
      <c r="D68" s="354"/>
      <c r="E68" s="77"/>
      <c r="F68" s="355"/>
      <c r="G68" s="3369"/>
      <c r="H68" s="310"/>
      <c r="I68" s="1290"/>
      <c r="J68" s="2035"/>
      <c r="K68" s="1976">
        <v>3</v>
      </c>
      <c r="L68" s="3379" t="s">
        <v>393</v>
      </c>
      <c r="M68" s="3379"/>
      <c r="N68" s="1291">
        <f ca="1">C42</f>
        <v>71166</v>
      </c>
      <c r="O68" s="1291"/>
      <c r="P68" s="1291"/>
      <c r="Q68" s="2028"/>
      <c r="R68" s="2028"/>
      <c r="S68" s="2028"/>
      <c r="T68" s="2028"/>
      <c r="U68" s="2028"/>
      <c r="V68" s="2028"/>
    </row>
    <row r="69" spans="1:22" ht="12" customHeight="1">
      <c r="A69" s="356"/>
      <c r="B69" s="3313" t="s">
        <v>395</v>
      </c>
      <c r="C69" s="3313"/>
      <c r="D69" s="357"/>
      <c r="E69" s="73"/>
      <c r="F69" s="355"/>
      <c r="G69" s="3370"/>
      <c r="H69" s="310"/>
      <c r="I69" s="1290"/>
      <c r="J69" s="2035"/>
      <c r="K69" s="1292">
        <v>4</v>
      </c>
      <c r="L69" s="3384" t="s">
        <v>2879</v>
      </c>
      <c r="M69" s="3385"/>
      <c r="N69" s="1293">
        <f ca="1">C44</f>
        <v>71166</v>
      </c>
      <c r="O69" s="1293"/>
      <c r="P69" s="1293"/>
      <c r="Q69" s="2028"/>
      <c r="R69" s="2028"/>
      <c r="S69" s="2028"/>
      <c r="T69" s="2028"/>
      <c r="U69" s="2028"/>
      <c r="V69" s="2028"/>
    </row>
    <row r="70" spans="1:22" ht="24" customHeight="1">
      <c r="A70" s="358" t="s">
        <v>396</v>
      </c>
      <c r="B70" s="3313" t="s">
        <v>397</v>
      </c>
      <c r="C70" s="3313"/>
      <c r="D70" s="357">
        <f ca="1">ROUND(D63*'数据-取费表'!B41/(1+'数据-取费表'!C42),0)</f>
        <v>3796</v>
      </c>
      <c r="E70" s="17" t="s">
        <v>398</v>
      </c>
      <c r="F70" s="359">
        <f>'数据-取费表'!B41</f>
        <v>5.6000000000000001E-2</v>
      </c>
      <c r="G70" s="360"/>
      <c r="H70" s="310"/>
      <c r="I70" s="1290"/>
      <c r="J70" s="2035"/>
      <c r="K70" s="3062"/>
      <c r="L70" s="3063"/>
      <c r="M70" s="3063"/>
      <c r="N70" s="3064" t="s">
        <v>2883</v>
      </c>
      <c r="O70" s="3063"/>
      <c r="P70" s="3065"/>
      <c r="Q70" s="2028"/>
      <c r="R70" s="2028"/>
      <c r="S70" s="2028"/>
      <c r="T70" s="2028"/>
      <c r="U70" s="2028"/>
      <c r="V70" s="2028"/>
    </row>
    <row r="71" spans="1:22" ht="12" customHeight="1">
      <c r="A71" s="358" t="s">
        <v>404</v>
      </c>
      <c r="B71" s="3314" t="s">
        <v>405</v>
      </c>
      <c r="C71" s="3315"/>
      <c r="D71" s="357">
        <f ca="1">ROUND(D63*'数据-取费表'!B41/(1+'数据-取费表'!C42),0)</f>
        <v>3796</v>
      </c>
      <c r="E71" s="17" t="s">
        <v>398</v>
      </c>
      <c r="F71" s="359">
        <f>'数据-取费表'!B41</f>
        <v>5.6000000000000001E-2</v>
      </c>
      <c r="G71" s="360"/>
      <c r="H71" s="310"/>
      <c r="I71" s="1290"/>
      <c r="J71" s="2035"/>
      <c r="K71" s="3061" t="s">
        <v>399</v>
      </c>
      <c r="L71" s="3386" t="s">
        <v>400</v>
      </c>
      <c r="M71" s="3386"/>
      <c r="N71" s="3061" t="s">
        <v>401</v>
      </c>
      <c r="O71" s="3061" t="s">
        <v>402</v>
      </c>
      <c r="P71" s="3061" t="s">
        <v>403</v>
      </c>
      <c r="Q71" s="2028"/>
      <c r="R71" s="2028"/>
      <c r="S71" s="2028"/>
      <c r="T71" s="2028"/>
      <c r="U71" s="2028"/>
      <c r="V71" s="2028"/>
    </row>
    <row r="72" spans="1:22" ht="12" customHeight="1">
      <c r="A72" s="358" t="s">
        <v>407</v>
      </c>
      <c r="B72" s="3314" t="s">
        <v>408</v>
      </c>
      <c r="C72" s="3315"/>
      <c r="D72" s="357">
        <f ca="1">C86</f>
        <v>3684</v>
      </c>
      <c r="E72" s="73" t="s">
        <v>409</v>
      </c>
      <c r="F72" s="359">
        <f>'数据-取费表'!B41</f>
        <v>5.6000000000000001E-2</v>
      </c>
      <c r="G72" s="360"/>
      <c r="H72" s="1296"/>
      <c r="I72" s="1290"/>
      <c r="J72" s="2035"/>
      <c r="K72" s="1976">
        <v>1</v>
      </c>
      <c r="L72" s="3361" t="s">
        <v>406</v>
      </c>
      <c r="M72" s="3361"/>
      <c r="N72" s="1294">
        <f ca="1">D66</f>
        <v>3796</v>
      </c>
      <c r="O72" s="1859" t="str">
        <f>E66</f>
        <v>销售额×税（费）率</v>
      </c>
      <c r="P72" s="1295">
        <f>F66</f>
        <v>5.6000000000000001E-2</v>
      </c>
      <c r="Q72" s="2028"/>
      <c r="R72" s="2028"/>
      <c r="S72" s="2028"/>
      <c r="T72" s="2028"/>
      <c r="U72" s="2028"/>
      <c r="V72" s="2028"/>
    </row>
    <row r="73" spans="1:22" ht="24" customHeight="1">
      <c r="A73" s="3355" t="s">
        <v>411</v>
      </c>
      <c r="B73" s="3323"/>
      <c r="C73" s="3323"/>
      <c r="D73" s="361">
        <f ca="1">IF(H73="个人住宅",0,ROUND(D63*I73,0))</f>
        <v>36</v>
      </c>
      <c r="E73" s="17" t="s">
        <v>412</v>
      </c>
      <c r="F73" s="359">
        <f>IF(H73="正常",I73,"免征")</f>
        <v>5.0000000000000001E-4</v>
      </c>
      <c r="G73" s="360"/>
      <c r="H73" s="191" t="s">
        <v>3882</v>
      </c>
      <c r="I73" s="359">
        <f>'数据-取费表'!B49</f>
        <v>5.0000000000000001E-4</v>
      </c>
      <c r="J73" s="2035"/>
      <c r="K73" s="1976">
        <v>2</v>
      </c>
      <c r="L73" s="3361" t="s">
        <v>410</v>
      </c>
      <c r="M73" s="3361"/>
      <c r="N73" s="1294">
        <f t="shared" ref="N73:P74" ca="1" si="1">D73</f>
        <v>36</v>
      </c>
      <c r="O73" s="1859" t="str">
        <f t="shared" si="1"/>
        <v>销售额×税（费）率</v>
      </c>
      <c r="P73" s="1295">
        <f t="shared" si="1"/>
        <v>5.0000000000000001E-4</v>
      </c>
      <c r="Q73" s="2028"/>
      <c r="R73" s="2028"/>
      <c r="S73" s="2028"/>
      <c r="T73" s="2028"/>
      <c r="U73" s="2028"/>
      <c r="V73" s="2028"/>
    </row>
    <row r="74" spans="1:22" ht="24.75">
      <c r="A74" s="3355" t="s">
        <v>415</v>
      </c>
      <c r="B74" s="3323"/>
      <c r="C74" s="3323"/>
      <c r="D74" s="361">
        <f ca="1">IF(H74="个人住宅",D75,D76)</f>
        <v>8832</v>
      </c>
      <c r="E74" s="17" t="s">
        <v>416</v>
      </c>
      <c r="F74" s="359" t="str">
        <f>IF(H74="正常",F76,"免征")</f>
        <v>——</v>
      </c>
      <c r="G74" s="981" t="s">
        <v>417</v>
      </c>
      <c r="H74" s="362" t="s">
        <v>413</v>
      </c>
      <c r="I74" s="42"/>
      <c r="J74" s="2035"/>
      <c r="K74" s="1976">
        <v>3</v>
      </c>
      <c r="L74" s="3361" t="s">
        <v>414</v>
      </c>
      <c r="M74" s="3361"/>
      <c r="N74" s="1294">
        <f t="shared" ca="1" si="1"/>
        <v>8832</v>
      </c>
      <c r="O74" s="1859" t="str">
        <f t="shared" si="1"/>
        <v>增值额×税（费）率</v>
      </c>
      <c r="P74" s="1297" t="str">
        <f t="shared" si="1"/>
        <v>——</v>
      </c>
      <c r="Q74" s="2028"/>
      <c r="R74" s="2028"/>
      <c r="S74" s="2028"/>
      <c r="T74" s="2028"/>
      <c r="U74" s="2028"/>
      <c r="V74" s="2028"/>
    </row>
    <row r="75" spans="1:22" ht="12.75">
      <c r="A75" s="358" t="s">
        <v>418</v>
      </c>
      <c r="B75" s="3311" t="s">
        <v>419</v>
      </c>
      <c r="C75" s="3341"/>
      <c r="D75" s="363">
        <v>0</v>
      </c>
      <c r="E75" s="41" t="s">
        <v>420</v>
      </c>
      <c r="F75" s="364"/>
      <c r="G75" s="360"/>
      <c r="H75" s="42"/>
      <c r="I75" s="42"/>
      <c r="J75" s="2035"/>
      <c r="K75" s="3054" t="str">
        <f>IF(H77="非个人房产","",4)</f>
        <v/>
      </c>
      <c r="L75" s="3361" t="str">
        <f>IF(H77="非个人房产","——","个人所得税")</f>
        <v>——</v>
      </c>
      <c r="M75" s="3361"/>
      <c r="N75" s="1298" t="str">
        <f>D77</f>
        <v>——</v>
      </c>
      <c r="O75" s="1872" t="str">
        <f>E77</f>
        <v>——</v>
      </c>
      <c r="P75" s="1299" t="str">
        <f>F77</f>
        <v>——</v>
      </c>
      <c r="Q75" s="2028"/>
      <c r="R75" s="2028"/>
      <c r="S75" s="2028"/>
      <c r="T75" s="2028"/>
      <c r="U75" s="2028"/>
      <c r="V75" s="2028"/>
    </row>
    <row r="76" spans="1:22" ht="24.75">
      <c r="A76" s="358" t="s">
        <v>396</v>
      </c>
      <c r="B76" s="3311" t="s">
        <v>422</v>
      </c>
      <c r="C76" s="3312"/>
      <c r="D76" s="361">
        <f ca="1">IF(H76="转让取得",C99,C115)</f>
        <v>8832</v>
      </c>
      <c r="E76" s="17" t="s">
        <v>423</v>
      </c>
      <c r="F76" s="53" t="s">
        <v>21</v>
      </c>
      <c r="G76" s="360"/>
      <c r="H76" s="362" t="s">
        <v>4168</v>
      </c>
      <c r="I76" s="42"/>
      <c r="J76" s="2035"/>
      <c r="K76" s="3054" t="str">
        <f>IF(项目基本情况!K6="上海银行",IF(K75="",4,K75+1),"")</f>
        <v/>
      </c>
      <c r="L76" s="3372" t="str">
        <f>IF(项目基本情况!K6="上海银行","其他处置费用","")</f>
        <v/>
      </c>
      <c r="M76" s="3373"/>
      <c r="N76" s="1294" t="str">
        <f>IF(项目基本情况!K6="上海银行",N89,"")</f>
        <v/>
      </c>
      <c r="O76" s="3374" t="str">
        <f>IF(项目基本情况!K6="上海银行","包含处置中涉及的律师、诉讼、拍卖、评估等费用","")</f>
        <v/>
      </c>
      <c r="P76" s="3375"/>
      <c r="Q76" s="2028"/>
      <c r="R76" s="2028"/>
      <c r="S76" s="2028"/>
      <c r="T76" s="2028"/>
      <c r="U76" s="2028"/>
      <c r="V76" s="2028"/>
    </row>
    <row r="77" spans="1:22" ht="24.75" thickBot="1">
      <c r="A77" s="3363" t="s">
        <v>425</v>
      </c>
      <c r="B77" s="3364"/>
      <c r="C77" s="3364"/>
      <c r="D77" s="365" t="str">
        <f>IF(H77="非个人房产","——",IF(H77="个人住宅",0,ROUND(D63*I77,0)))</f>
        <v>——</v>
      </c>
      <c r="E77" s="366" t="str">
        <f>IF(H77="非个人房产","——","销售额×税（费）率")</f>
        <v>——</v>
      </c>
      <c r="F77" s="367" t="str">
        <f>IF(H77="非个人房产","——",IF(H77="个人住宅","免征",I77))</f>
        <v>——</v>
      </c>
      <c r="G77" s="982" t="s">
        <v>417</v>
      </c>
      <c r="H77" s="362" t="s">
        <v>4169</v>
      </c>
      <c r="I77" s="368">
        <v>0.01</v>
      </c>
      <c r="J77" s="2035"/>
      <c r="K77" s="3362">
        <f>IF(AND(K75="",K76=""),4,IF(项目基本情况!K6="上海银行",K76+1,K75+1))</f>
        <v>4</v>
      </c>
      <c r="L77" s="3361" t="s">
        <v>2880</v>
      </c>
      <c r="M77" s="3060" t="s">
        <v>421</v>
      </c>
      <c r="N77" s="1300"/>
      <c r="O77" s="1301">
        <f ca="1">SUMIF(N72:N76,"&lt;9e307")</f>
        <v>12664</v>
      </c>
      <c r="P77" s="1302"/>
      <c r="Q77" s="3058">
        <f ca="1">O77/N69</f>
        <v>0.17795014473203496</v>
      </c>
      <c r="R77" s="2028"/>
      <c r="S77" s="2028"/>
      <c r="T77" s="2028"/>
      <c r="U77" s="2028"/>
      <c r="V77" s="2028"/>
    </row>
    <row r="78" spans="1:22" ht="12" customHeight="1">
      <c r="A78" s="1303"/>
      <c r="B78" s="310"/>
      <c r="C78" s="310"/>
      <c r="D78" s="310"/>
      <c r="E78" s="42"/>
      <c r="F78" s="42"/>
      <c r="G78" s="42"/>
      <c r="H78" s="1001"/>
      <c r="I78" s="310"/>
      <c r="J78" s="2035"/>
      <c r="K78" s="3362"/>
      <c r="L78" s="3361"/>
      <c r="M78" s="3060" t="s">
        <v>424</v>
      </c>
      <c r="N78" s="1300"/>
      <c r="O78" s="1301" t="str">
        <f ca="1">NUMBERSTRING(INT(O77*10000),2)&amp;"元整"</f>
        <v>壹亿贰仟陆佰陆拾肆万元整</v>
      </c>
      <c r="P78" s="1302"/>
      <c r="Q78" s="2028"/>
      <c r="R78" s="2028"/>
      <c r="S78" s="2028"/>
      <c r="T78" s="2028"/>
      <c r="U78" s="2028"/>
      <c r="V78" s="2028"/>
    </row>
    <row r="79" spans="1:22" ht="13.5" thickBot="1">
      <c r="A79" s="3356" t="s">
        <v>426</v>
      </c>
      <c r="B79" s="3356"/>
      <c r="C79" s="3356"/>
      <c r="D79" s="3356"/>
      <c r="E79" s="3356"/>
      <c r="F79" s="42"/>
      <c r="G79" s="42"/>
      <c r="H79" s="1001"/>
      <c r="I79" s="310"/>
      <c r="J79" s="2035"/>
      <c r="K79" s="3382">
        <f>K77+1</f>
        <v>5</v>
      </c>
      <c r="L79" s="3361" t="s">
        <v>2881</v>
      </c>
      <c r="M79" s="3060" t="s">
        <v>421</v>
      </c>
      <c r="N79" s="1300"/>
      <c r="O79" s="1301">
        <f ca="1">N69-O77</f>
        <v>58502</v>
      </c>
      <c r="P79" s="1302"/>
      <c r="Q79" s="2028"/>
      <c r="R79" s="2028"/>
      <c r="S79" s="2028"/>
      <c r="T79" s="2028"/>
      <c r="U79" s="2028"/>
      <c r="V79" s="2028"/>
    </row>
    <row r="80" spans="1:22" ht="25.5">
      <c r="A80" s="3351" t="s">
        <v>427</v>
      </c>
      <c r="B80" s="3352"/>
      <c r="C80" s="992"/>
      <c r="D80" s="992" t="s">
        <v>428</v>
      </c>
      <c r="E80" s="369" t="s">
        <v>429</v>
      </c>
      <c r="F80" s="42"/>
      <c r="G80" s="42"/>
      <c r="H80" s="1001"/>
      <c r="I80" s="310"/>
      <c r="J80" s="2028"/>
      <c r="K80" s="3383"/>
      <c r="L80" s="3361"/>
      <c r="M80" s="3060" t="s">
        <v>424</v>
      </c>
      <c r="N80" s="1300"/>
      <c r="O80" s="1301" t="str">
        <f ca="1">NUMBERSTRING(INT(O79*10000),2)&amp;"元整"</f>
        <v>伍亿捌仟伍佰零贰万元整</v>
      </c>
      <c r="P80" s="1302"/>
      <c r="Q80" s="2028"/>
      <c r="R80" s="2028"/>
      <c r="S80" s="2028"/>
      <c r="T80" s="2028"/>
      <c r="U80" s="2028"/>
      <c r="V80" s="2028"/>
    </row>
    <row r="81" spans="1:26" ht="13.5" thickBot="1">
      <c r="A81" s="380" t="s">
        <v>1823</v>
      </c>
      <c r="B81" s="370" t="s">
        <v>430</v>
      </c>
      <c r="C81" s="371">
        <f ca="1">ROUND((C82+C83)/(1+'数据-取费表'!C42),0)</f>
        <v>67777</v>
      </c>
      <c r="D81" s="372"/>
      <c r="E81" s="373"/>
      <c r="F81" s="42"/>
      <c r="G81" s="42"/>
      <c r="H81" s="1001"/>
      <c r="I81" s="310"/>
      <c r="J81" s="2028"/>
      <c r="K81" s="3054">
        <f>K79+1</f>
        <v>6</v>
      </c>
      <c r="L81" s="3359" t="s">
        <v>2882</v>
      </c>
      <c r="M81" s="3360"/>
      <c r="N81" s="1304"/>
      <c r="O81" s="1305">
        <f ca="1">ROUND(O79*10000/'数据-汇总表'!E3,0)</f>
        <v>1419</v>
      </c>
      <c r="P81" s="1306"/>
      <c r="Q81" s="2028"/>
      <c r="R81" s="2028"/>
      <c r="S81" s="2028"/>
      <c r="T81" s="2028"/>
      <c r="U81" s="2028"/>
      <c r="V81" s="2028"/>
    </row>
    <row r="82" spans="1:26" ht="13.5" thickTop="1">
      <c r="A82" s="374" t="s">
        <v>1824</v>
      </c>
      <c r="B82" s="375" t="s">
        <v>431</v>
      </c>
      <c r="C82" s="376">
        <f ca="1">D63</f>
        <v>71166</v>
      </c>
      <c r="D82" s="377" t="s">
        <v>19</v>
      </c>
      <c r="E82" s="378"/>
      <c r="F82" s="42"/>
      <c r="G82" s="42"/>
      <c r="H82" s="1001"/>
      <c r="I82" s="310"/>
      <c r="J82" s="2028"/>
      <c r="K82" s="2028"/>
      <c r="L82" s="2028"/>
      <c r="M82" s="2028"/>
      <c r="N82" s="2028"/>
      <c r="O82" s="2028"/>
      <c r="P82" s="2028"/>
      <c r="Q82" s="2028"/>
      <c r="R82" s="2028"/>
      <c r="S82" s="2028"/>
      <c r="T82" s="2028"/>
      <c r="U82" s="2028"/>
      <c r="V82" s="2028"/>
    </row>
    <row r="83" spans="1:26" ht="12.75">
      <c r="A83" s="374" t="s">
        <v>1825</v>
      </c>
      <c r="B83" s="375" t="s">
        <v>432</v>
      </c>
      <c r="C83" s="379">
        <v>0</v>
      </c>
      <c r="D83" s="377"/>
      <c r="E83" s="378"/>
      <c r="F83" s="42"/>
      <c r="G83" s="42"/>
      <c r="H83" s="1001"/>
      <c r="I83" s="310"/>
      <c r="J83" s="2028"/>
      <c r="K83" s="3371" t="s">
        <v>2870</v>
      </c>
      <c r="L83" s="3066" t="s">
        <v>2871</v>
      </c>
      <c r="M83" s="3056">
        <f ca="1">IF(N69&gt;10000,N69*0.5%,IF(AND(N69&gt;1000,N69&lt;=10000),N69*1%,IF(AND(N69&gt;100,N69&lt;=1000),N69*3%,IF(AND(N69&gt;10,N69&lt;=100),N69*5%,N69*8%))))</f>
        <v>355.83</v>
      </c>
      <c r="N83" s="53">
        <f ca="1">ROUND(M83,1)</f>
        <v>355.8</v>
      </c>
      <c r="O83" s="3059"/>
      <c r="P83" s="2028"/>
      <c r="Q83" s="2028"/>
      <c r="R83" s="2028"/>
      <c r="S83" s="2028"/>
      <c r="T83" s="2028"/>
      <c r="U83" s="2028"/>
      <c r="V83" s="2028"/>
    </row>
    <row r="84" spans="1:26" ht="12.75">
      <c r="A84" s="380" t="s">
        <v>1826</v>
      </c>
      <c r="B84" s="381" t="s">
        <v>433</v>
      </c>
      <c r="C84" s="382">
        <v>2000</v>
      </c>
      <c r="D84" s="383" t="s">
        <v>19</v>
      </c>
      <c r="E84" s="3101" t="s">
        <v>2929</v>
      </c>
      <c r="F84" s="42"/>
      <c r="G84" s="42"/>
      <c r="H84" s="1001"/>
      <c r="I84" s="310"/>
      <c r="J84" s="2028"/>
      <c r="K84" s="3371"/>
      <c r="L84" s="3066" t="s">
        <v>2872</v>
      </c>
      <c r="M84" s="3056">
        <f ca="1">IF(N69&gt;2000,N69*0.5%,IF(AND(N69&gt;1000,N69&lt;=2000),N69*0.6%,IF(AND(N69&gt;500,N69&lt;=1000),N69*0.7%,IF(AND(N69&gt;200,N69&lt;=500),N69*0.8%,IF(AND(N69&gt;100,N69&lt;=200),N69*0.9%,IF(AND(N69&gt;50,N69&lt;=100),N69*1%,IF(AND(N69&gt;20,N69&lt;=50),N69*1.5%,IF(AND(N69&gt;10,N69&lt;=20),N69*2%,IF(AND(N69&gt;1,N69&lt;=10),N69*2.5%)))))))))</f>
        <v>355.83</v>
      </c>
      <c r="N84" s="53">
        <f t="shared" ref="N84:N85" ca="1" si="2">ROUND(M84,1)</f>
        <v>355.8</v>
      </c>
      <c r="O84" s="2028" t="s">
        <v>2873</v>
      </c>
      <c r="P84" s="2028"/>
      <c r="Q84" s="2028"/>
      <c r="R84" s="2028"/>
      <c r="S84" s="2028"/>
      <c r="T84" s="2028"/>
      <c r="U84" s="2028"/>
      <c r="V84" s="2028"/>
    </row>
    <row r="85" spans="1:26" ht="12.75">
      <c r="A85" s="380" t="s">
        <v>1827</v>
      </c>
      <c r="B85" s="381" t="s">
        <v>434</v>
      </c>
      <c r="C85" s="384">
        <f ca="1">C81-C84</f>
        <v>65777</v>
      </c>
      <c r="D85" s="377" t="s">
        <v>19</v>
      </c>
      <c r="E85" s="378"/>
      <c r="F85" s="42"/>
      <c r="G85" s="42"/>
      <c r="H85" s="1001"/>
      <c r="I85" s="310"/>
      <c r="J85" s="2028"/>
      <c r="K85" s="3371"/>
      <c r="L85" s="3066" t="s">
        <v>2874</v>
      </c>
      <c r="M85" s="3056">
        <f ca="1">IF(N69&gt;1000,N69*0.1%,IF(AND(N69&gt;500,N69&lt;=1000),N69*0.5%,IF(AND(N69&gt;50,N69&lt;=500),N69*1%,IF(AND(N69&gt;1,N69&lt;=50),N69*1.5%))))</f>
        <v>71.165999999999997</v>
      </c>
      <c r="N85" s="53">
        <f t="shared" ca="1" si="2"/>
        <v>71.2</v>
      </c>
      <c r="O85" s="2028" t="s">
        <v>2873</v>
      </c>
      <c r="P85" s="2028"/>
      <c r="Q85" s="2028"/>
      <c r="R85" s="2028"/>
      <c r="S85" s="2028"/>
      <c r="T85" s="2028"/>
      <c r="U85" s="2028"/>
      <c r="V85" s="2028"/>
    </row>
    <row r="86" spans="1:26" ht="13.5" thickBot="1">
      <c r="A86" s="385" t="s">
        <v>1828</v>
      </c>
      <c r="B86" s="386" t="s">
        <v>435</v>
      </c>
      <c r="C86" s="387">
        <f ca="1">IF(C85&lt;=0,0,ROUND(C85*D86,0))</f>
        <v>3684</v>
      </c>
      <c r="D86" s="388">
        <f>'数据-取费表'!B41</f>
        <v>5.6000000000000001E-2</v>
      </c>
      <c r="E86" s="389"/>
      <c r="F86" s="42"/>
      <c r="G86" s="42"/>
      <c r="H86" s="1001"/>
      <c r="I86" s="310"/>
      <c r="J86" s="2028"/>
      <c r="K86" s="3371"/>
      <c r="L86" s="3066" t="s">
        <v>2875</v>
      </c>
      <c r="M86" s="3056">
        <f ca="1">N69*0.5%</f>
        <v>355.83</v>
      </c>
      <c r="N86" s="53">
        <f ca="1">IF(M86&gt;0.5,0.5,ROUND(M86,0))</f>
        <v>0.5</v>
      </c>
      <c r="O86" s="2028" t="s">
        <v>2876</v>
      </c>
      <c r="P86" s="2028"/>
      <c r="Q86" s="2028"/>
      <c r="R86" s="2028"/>
      <c r="S86" s="2028"/>
      <c r="T86" s="2028"/>
      <c r="U86" s="2028"/>
      <c r="V86" s="2028"/>
    </row>
    <row r="87" spans="1:26" s="1252" customFormat="1" ht="14.25" customHeight="1">
      <c r="A87" s="1307"/>
      <c r="B87" s="1308"/>
      <c r="C87" s="1309"/>
      <c r="D87" s="1310"/>
      <c r="E87" s="1311"/>
      <c r="F87" s="42"/>
      <c r="G87" s="42"/>
      <c r="H87" s="1001"/>
      <c r="I87" s="310"/>
      <c r="J87" s="2028"/>
      <c r="K87" s="3371"/>
      <c r="L87" s="3066" t="s">
        <v>2877</v>
      </c>
      <c r="M87" s="3056">
        <f ca="1">IF(N69&gt;=10000,(8.25+(N69-10000)*0.01%),IF(AND(N69&gt;=8000,N69&lt;10000),(7.85+(N69-8000)*0.02%),IF(AND(N69&gt;=5000,N69&lt;8000),(6.65+(N69-5000)*0.04%),IF(AND(N69&gt;=2000,N69&lt;5000),(4.25+(PN69-2000)*0.08%),IF(AND(N69&gt;=1000,N69&lt;2000),(2.75+(N69-1000)*0.15%),IF(AND(N69&gt;=100,N69&lt;1000),(0.5+(N69-100)*0.25%),IF(AND(N69&gt;0,N69&lt;100),N69*0.5%)))))))</f>
        <v>14.3666</v>
      </c>
      <c r="N87" s="53">
        <f ca="1">ROUND(M87*0.9,1)</f>
        <v>12.9</v>
      </c>
      <c r="O87" s="3059"/>
      <c r="P87" s="310"/>
      <c r="Q87" s="2028"/>
      <c r="R87" s="2028"/>
      <c r="S87" s="2028"/>
      <c r="T87" s="2028"/>
      <c r="U87" s="2028"/>
      <c r="V87" s="2028"/>
      <c r="W87" s="291"/>
      <c r="X87" s="291"/>
      <c r="Y87" s="291"/>
      <c r="Z87" s="291"/>
    </row>
    <row r="88" spans="1:26" s="1312" customFormat="1" ht="15" thickBot="1">
      <c r="A88" s="3353" t="s">
        <v>436</v>
      </c>
      <c r="B88" s="3354"/>
      <c r="C88" s="3354"/>
      <c r="D88" s="3354"/>
      <c r="E88" s="3354"/>
      <c r="F88" s="3354"/>
      <c r="G88" s="3354"/>
      <c r="H88" s="3354"/>
      <c r="I88" s="1313"/>
      <c r="J88" s="2036"/>
      <c r="K88" s="3371"/>
      <c r="L88" s="3066" t="s">
        <v>2878</v>
      </c>
      <c r="M88" s="3056">
        <f ca="1">IF(N69&gt;10000,N69*0.5%,IF(AND(N69&gt;5000,N69&lt;=10000),N69*1%,IF(AND(N69&gt;1000,N69&lt;=5000),N69*2%,IF(AND(N69&gt;200,N69&lt;=1000),N69*3%,N69*5%))))</f>
        <v>355.83</v>
      </c>
      <c r="N88" s="53">
        <f ca="1">ROUND(M88,1)</f>
        <v>355.8</v>
      </c>
      <c r="O88" s="3059"/>
      <c r="P88" s="11"/>
      <c r="Q88" s="2033"/>
      <c r="R88" s="2033"/>
      <c r="S88" s="2033"/>
      <c r="T88" s="2033"/>
      <c r="U88" s="2033"/>
      <c r="V88" s="2033"/>
      <c r="W88" s="2037"/>
      <c r="X88" s="2037"/>
      <c r="Y88" s="2037"/>
      <c r="Z88" s="2037"/>
    </row>
    <row r="89" spans="1:26" s="1312" customFormat="1" ht="14.25">
      <c r="A89" s="3351" t="s">
        <v>427</v>
      </c>
      <c r="B89" s="3352"/>
      <c r="C89" s="992"/>
      <c r="D89" s="992" t="s">
        <v>428</v>
      </c>
      <c r="E89" s="390" t="s">
        <v>437</v>
      </c>
      <c r="F89" s="391"/>
      <c r="G89" s="391"/>
      <c r="H89" s="392"/>
      <c r="I89" s="1314"/>
      <c r="J89" s="2038"/>
      <c r="K89" s="3371"/>
      <c r="L89" s="3066" t="s">
        <v>27</v>
      </c>
      <c r="M89" s="3057"/>
      <c r="N89" s="53">
        <f ca="1">ROUND(SUM(N83:N88),0)</f>
        <v>1152</v>
      </c>
      <c r="O89" s="3067">
        <f ca="1">N89/N69</f>
        <v>1.6187505269370205E-2</v>
      </c>
      <c r="P89" s="2033"/>
      <c r="Q89" s="2033"/>
      <c r="R89" s="2033"/>
      <c r="S89" s="2033"/>
      <c r="T89" s="2033"/>
      <c r="U89" s="2033"/>
      <c r="V89" s="2033"/>
      <c r="W89" s="2037"/>
      <c r="X89" s="2037"/>
      <c r="Y89" s="2037"/>
      <c r="Z89" s="2037"/>
    </row>
    <row r="90" spans="1:26" s="1312" customFormat="1" ht="14.25">
      <c r="A90" s="380" t="s">
        <v>1823</v>
      </c>
      <c r="B90" s="381" t="s">
        <v>438</v>
      </c>
      <c r="C90" s="384">
        <f ca="1">ROUND(D63/(1+'数据-取费表'!C42),0)</f>
        <v>67777</v>
      </c>
      <c r="D90" s="377" t="s">
        <v>19</v>
      </c>
      <c r="E90" s="989"/>
      <c r="F90" s="988"/>
      <c r="G90" s="988"/>
      <c r="H90" s="393"/>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80" t="s">
        <v>1829</v>
      </c>
      <c r="B91" s="347" t="s">
        <v>439</v>
      </c>
      <c r="C91" s="384">
        <f ca="1">C92+C96</f>
        <v>2968</v>
      </c>
      <c r="D91" s="377" t="s">
        <v>19</v>
      </c>
      <c r="E91" s="989"/>
      <c r="F91" s="988"/>
      <c r="G91" s="988"/>
      <c r="H91" s="393"/>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4" t="s">
        <v>1830</v>
      </c>
      <c r="B92" s="375" t="s">
        <v>440</v>
      </c>
      <c r="C92" s="377">
        <f>ROUND(IF(G95="2016年5月1日后购买",C93/(1+'数据-取费表'!C30)+C94+C95,C93+C94+C95),0)</f>
        <v>2561</v>
      </c>
      <c r="D92" s="377" t="s">
        <v>19</v>
      </c>
      <c r="E92" s="989"/>
      <c r="F92" s="988"/>
      <c r="G92" s="988"/>
      <c r="H92" s="393"/>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4" t="s">
        <v>1831</v>
      </c>
      <c r="B93" s="375" t="s">
        <v>441</v>
      </c>
      <c r="C93" s="395">
        <v>2000</v>
      </c>
      <c r="D93" s="377" t="s">
        <v>19</v>
      </c>
      <c r="E93" s="396" t="s">
        <v>442</v>
      </c>
      <c r="F93" s="397" t="s">
        <v>443</v>
      </c>
      <c r="G93" s="396" t="s">
        <v>444</v>
      </c>
      <c r="H93" s="398">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4" t="s">
        <v>1832</v>
      </c>
      <c r="B94" s="399" t="s">
        <v>445</v>
      </c>
      <c r="C94" s="377">
        <f>IF(F93="购房发票",ROUND(C93*H93*5%,0),0)</f>
        <v>500</v>
      </c>
      <c r="D94" s="400">
        <v>0.05</v>
      </c>
      <c r="E94" s="3314" t="s">
        <v>446</v>
      </c>
      <c r="F94" s="3313"/>
      <c r="G94" s="3313"/>
      <c r="H94" s="3350"/>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4" t="s">
        <v>1833</v>
      </c>
      <c r="B95" s="375" t="s">
        <v>447</v>
      </c>
      <c r="C95" s="377">
        <f>ROUND(IF(G95="个人买卖住房",0,IF(G95="2016年5月1日前购买",C93*D95,C93*D95/(1+'数据-取费表'!C42))),0)</f>
        <v>61</v>
      </c>
      <c r="D95" s="401">
        <f>'数据-取费表'!B48+'数据-取费表'!B49</f>
        <v>3.0499999999999999E-2</v>
      </c>
      <c r="E95" s="26" t="s">
        <v>448</v>
      </c>
      <c r="F95" s="402"/>
      <c r="G95" s="403" t="s">
        <v>2427</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4" t="s">
        <v>1834</v>
      </c>
      <c r="B96" s="375" t="s">
        <v>449</v>
      </c>
      <c r="C96" s="404">
        <f ca="1">ROUND(D63*D96/(1+'数据-取费表'!C42),0)</f>
        <v>407</v>
      </c>
      <c r="D96" s="405">
        <f>'数据-取费表'!B43</f>
        <v>6.000000000000001E-3</v>
      </c>
      <c r="E96" s="3342" t="s">
        <v>2426</v>
      </c>
      <c r="F96" s="3343"/>
      <c r="G96" s="3343"/>
      <c r="H96" s="3344"/>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1835</v>
      </c>
      <c r="B97" s="381" t="s">
        <v>450</v>
      </c>
      <c r="C97" s="384">
        <f ca="1">C90-C91</f>
        <v>64809</v>
      </c>
      <c r="D97" s="377" t="s">
        <v>19</v>
      </c>
      <c r="E97" s="989"/>
      <c r="F97" s="988"/>
      <c r="G97" s="988"/>
      <c r="H97" s="393"/>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1836</v>
      </c>
      <c r="B98" s="381" t="s">
        <v>451</v>
      </c>
      <c r="C98" s="406">
        <f ca="1">IF(C97&lt;=0,0,C97/C91)</f>
        <v>21.835916442048518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1837</v>
      </c>
      <c r="B99" s="386" t="s">
        <v>452</v>
      </c>
      <c r="C99" s="407">
        <f ca="1">ROUND(IF(C97&lt;=0,0,IF(C98&gt;=200%,C97*60%-C91*35%,IF(C98&gt;=100%,C97*50%-C91*15%,IF(C98&gt;=50%,C97*40%-C91*5%,IF(C98&lt;50%,C97*30%,0))))),0)</f>
        <v>37847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53" t="s">
        <v>453</v>
      </c>
      <c r="B101" s="3354"/>
      <c r="C101" s="3354"/>
      <c r="D101" s="3354"/>
      <c r="E101" s="3354"/>
      <c r="F101" s="3354"/>
      <c r="G101" s="3354"/>
      <c r="H101" s="3354"/>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351" t="s">
        <v>427</v>
      </c>
      <c r="B102" s="3352"/>
      <c r="C102" s="992"/>
      <c r="D102" s="992" t="s">
        <v>428</v>
      </c>
      <c r="E102" s="390" t="s">
        <v>437</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80" t="s">
        <v>1823</v>
      </c>
      <c r="B103" s="381" t="s">
        <v>438</v>
      </c>
      <c r="C103" s="384">
        <f ca="1">ROUND(D63/(1+'数据-取费表'!C42),0)</f>
        <v>67777</v>
      </c>
      <c r="D103" s="377" t="s">
        <v>19</v>
      </c>
      <c r="E103" s="989"/>
      <c r="F103" s="988"/>
      <c r="G103" s="988"/>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80" t="s">
        <v>1829</v>
      </c>
      <c r="B104" s="347" t="s">
        <v>439</v>
      </c>
      <c r="C104" s="384">
        <f ca="1">IF(H106="仅含出让金",C105+C108+C109+C110+C111+C112,C105+C109+C110+C111+C112)</f>
        <v>40619.474499999997</v>
      </c>
      <c r="D104" s="414"/>
      <c r="E104" s="989"/>
      <c r="F104" s="988"/>
      <c r="G104" s="988"/>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4" t="s">
        <v>1830</v>
      </c>
      <c r="B105" s="375" t="s">
        <v>454</v>
      </c>
      <c r="C105" s="404">
        <f>C106+C107</f>
        <v>36556.474499999997</v>
      </c>
      <c r="D105" s="405"/>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4" t="s">
        <v>1831</v>
      </c>
      <c r="B106" s="375" t="s">
        <v>455</v>
      </c>
      <c r="C106" s="415">
        <v>35474.474499999997</v>
      </c>
      <c r="D106" s="405"/>
      <c r="E106" s="416" t="s">
        <v>456</v>
      </c>
      <c r="F106" s="984"/>
      <c r="G106" s="417" t="s">
        <v>457</v>
      </c>
      <c r="H106" s="418" t="s">
        <v>2437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4" t="s">
        <v>1832</v>
      </c>
      <c r="B107" s="375" t="s">
        <v>447</v>
      </c>
      <c r="C107" s="404">
        <f>ROUND(C106*D107,0)</f>
        <v>1082</v>
      </c>
      <c r="D107" s="405">
        <f>'数据-取费表'!B48+'数据-取费表'!B49</f>
        <v>3.0499999999999999E-2</v>
      </c>
      <c r="E107" s="416" t="s">
        <v>458</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4" t="s">
        <v>1834</v>
      </c>
      <c r="B108" s="375" t="s">
        <v>459</v>
      </c>
      <c r="C108" s="415"/>
      <c r="D108" s="405"/>
      <c r="E108" s="416"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1838</v>
      </c>
      <c r="B109" s="375" t="s">
        <v>460</v>
      </c>
      <c r="C109" s="404">
        <f>IF(H109="——",IF(F1="现房",'剩余法-现房'!C18,'剩余法-待开发'!C18),I109)</f>
        <v>0</v>
      </c>
      <c r="D109" s="405"/>
      <c r="E109" s="3345" t="s">
        <v>461</v>
      </c>
      <c r="F109" s="3343"/>
      <c r="G109" s="3343"/>
      <c r="H109" s="1941" t="s">
        <v>2279</v>
      </c>
      <c r="I109" s="1942">
        <v>0</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1839</v>
      </c>
      <c r="B110" s="375" t="s">
        <v>462</v>
      </c>
      <c r="C110" s="404">
        <f>ROUND((C105+C108+C109)*D110,0)</f>
        <v>3656</v>
      </c>
      <c r="D110" s="405">
        <v>0.1</v>
      </c>
      <c r="E110" s="3345" t="s">
        <v>463</v>
      </c>
      <c r="F110" s="3343"/>
      <c r="G110" s="3343"/>
      <c r="H110" s="3344"/>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1840</v>
      </c>
      <c r="B111" s="375" t="s">
        <v>449</v>
      </c>
      <c r="C111" s="404">
        <f ca="1">ROUND(D63*D111/(1+'数据-取费表'!C42),0)</f>
        <v>407</v>
      </c>
      <c r="D111" s="405">
        <f>'数据-取费表'!B43</f>
        <v>6.000000000000001E-3</v>
      </c>
      <c r="E111" s="3342" t="s">
        <v>2426</v>
      </c>
      <c r="F111" s="3343"/>
      <c r="G111" s="3343"/>
      <c r="H111" s="3344"/>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1841</v>
      </c>
      <c r="B112" s="375" t="s">
        <v>464</v>
      </c>
      <c r="C112" s="404">
        <f>ROUND(C108*D112,0)</f>
        <v>0</v>
      </c>
      <c r="D112" s="405">
        <v>0.2</v>
      </c>
      <c r="E112" s="3345" t="s">
        <v>2451</v>
      </c>
      <c r="F112" s="3343"/>
      <c r="G112" s="3343"/>
      <c r="H112" s="3344"/>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1835</v>
      </c>
      <c r="B113" s="381" t="s">
        <v>450</v>
      </c>
      <c r="C113" s="384">
        <f ca="1">ROUND(C103-C104,0)</f>
        <v>27158</v>
      </c>
      <c r="D113" s="377" t="s">
        <v>19</v>
      </c>
      <c r="E113" s="989"/>
      <c r="F113" s="988"/>
      <c r="G113" s="988"/>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1836</v>
      </c>
      <c r="B114" s="381" t="s">
        <v>451</v>
      </c>
      <c r="C114" s="406">
        <f ca="1">IF(C113&lt;=0,0,C113/C104)</f>
        <v>0.66859555260863857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8"/>
      <c r="G114" s="988"/>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1837</v>
      </c>
      <c r="B115" s="386" t="s">
        <v>452</v>
      </c>
      <c r="C115" s="407">
        <f ca="1">ROUND(IF(C113&lt;=0,0,IF(C114&gt;=200%,C113*60%-C104*35%,IF(C114&gt;=100%,C113*50%-C104*15%,IF(C114&gt;=50%,C113*40%-C104*5%,IF(C114&lt;50%,C113*30%,0))))),0)</f>
        <v>8832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465</v>
      </c>
      <c r="B1" s="2809"/>
      <c r="C1" s="2104"/>
      <c r="D1" s="2104"/>
      <c r="E1" s="2104"/>
      <c r="F1" s="2104"/>
      <c r="G1" s="2104"/>
      <c r="H1" s="2104"/>
      <c r="I1" s="2104"/>
      <c r="J1" s="2104"/>
      <c r="K1" s="421">
        <f>MATCH(B1,'数据-取费表'!A6:A16,0)+5</f>
        <v>8</v>
      </c>
    </row>
    <row r="2" spans="1:41" s="2041" customFormat="1" ht="18" customHeight="1">
      <c r="A2" s="422" t="s">
        <v>466</v>
      </c>
      <c r="B2" s="423">
        <f ca="1">C32</f>
        <v>0</v>
      </c>
      <c r="C2" s="2104"/>
      <c r="D2" s="2104"/>
      <c r="E2" s="2104"/>
      <c r="F2" s="2104"/>
      <c r="G2" s="2104"/>
      <c r="H2" s="2104"/>
      <c r="I2" s="2104"/>
      <c r="J2" s="2104"/>
      <c r="K2" s="2104"/>
    </row>
    <row r="3" spans="1:41" s="2041" customFormat="1" ht="18" customHeight="1">
      <c r="A3" s="1378" t="s">
        <v>1684</v>
      </c>
      <c r="B3" s="424">
        <f ca="1">ROUND(B2*10000/IF(B1="",'数据-汇总表'!E3,INDIRECT("'数据-取费表'!K"&amp;$K$1)),0)</f>
        <v>0</v>
      </c>
      <c r="C3" s="2104"/>
      <c r="D3" s="2104"/>
      <c r="E3" s="2104"/>
      <c r="F3" s="2104"/>
      <c r="G3" s="2104"/>
      <c r="H3" s="2104"/>
      <c r="I3" s="2104"/>
      <c r="J3" s="2104"/>
      <c r="K3" s="2104"/>
    </row>
    <row r="4" spans="1:41" s="2041" customFormat="1" ht="18" customHeight="1">
      <c r="A4" s="425" t="s">
        <v>467</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468</v>
      </c>
      <c r="D5" s="2104"/>
      <c r="E5" s="2104"/>
      <c r="F5" s="2104"/>
      <c r="G5" s="2104"/>
      <c r="H5" s="2104"/>
      <c r="I5" s="2104"/>
      <c r="J5" s="2104"/>
      <c r="K5" s="2104"/>
    </row>
    <row r="6" spans="1:41" s="2111" customFormat="1" ht="16.5" customHeight="1">
      <c r="A6" s="431" t="s">
        <v>2648</v>
      </c>
      <c r="B6" s="432"/>
      <c r="C6" s="1622">
        <f>SUM(C10:K10)</f>
        <v>0</v>
      </c>
      <c r="D6" s="2109"/>
      <c r="E6" s="2109"/>
      <c r="F6" s="2109"/>
      <c r="G6" s="2109"/>
      <c r="H6" s="2109"/>
      <c r="I6" s="2109"/>
      <c r="J6" s="2109"/>
      <c r="K6" s="2110"/>
    </row>
    <row r="7" spans="1:41" s="2113" customFormat="1" ht="15">
      <c r="A7" s="433" t="s">
        <v>469</v>
      </c>
      <c r="B7" s="434" t="s">
        <v>470</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7" t="s">
        <v>471</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3" t="s">
        <v>469</v>
      </c>
      <c r="B12" s="443" t="s">
        <v>470</v>
      </c>
      <c r="C12" s="444" t="s">
        <v>474</v>
      </c>
      <c r="D12" s="445" t="s">
        <v>475</v>
      </c>
      <c r="E12" s="445" t="s">
        <v>476</v>
      </c>
      <c r="F12" s="445" t="s">
        <v>477</v>
      </c>
      <c r="G12" s="443"/>
      <c r="H12" s="446"/>
      <c r="I12" s="446"/>
      <c r="J12" s="446"/>
      <c r="K12" s="447"/>
    </row>
    <row r="13" spans="1:41" s="2116" customFormat="1" ht="13.5" customHeight="1">
      <c r="A13" s="1632" t="s">
        <v>1848</v>
      </c>
      <c r="B13" s="448" t="s">
        <v>478</v>
      </c>
      <c r="C13" s="449">
        <f ca="1">IF(B1="",'数据-取费表'!M16,INDIRECT("'数据-取费表'!M"&amp;$K$1)+INDIRECT("'数据-取费表'!t"&amp;$K$1))</f>
        <v>102270</v>
      </c>
      <c r="D13" s="450"/>
      <c r="E13" s="364"/>
      <c r="F13" s="451"/>
      <c r="G13" s="443"/>
      <c r="H13" s="446"/>
      <c r="I13" s="446"/>
      <c r="J13" s="446"/>
      <c r="K13" s="447"/>
    </row>
    <row r="14" spans="1:41" s="2116" customFormat="1" ht="13.5" customHeight="1">
      <c r="A14" s="1632" t="s">
        <v>1849</v>
      </c>
      <c r="B14" s="448" t="s">
        <v>479</v>
      </c>
      <c r="C14" s="53">
        <f ca="1">ROUND(C13*F14,0)</f>
        <v>3068</v>
      </c>
      <c r="D14" s="450"/>
      <c r="E14" s="364"/>
      <c r="F14" s="452">
        <f>'数据-取费表'!B33</f>
        <v>0.03</v>
      </c>
      <c r="G14" s="443" t="s">
        <v>501</v>
      </c>
      <c r="H14" s="446"/>
      <c r="I14" s="446"/>
      <c r="J14" s="446"/>
      <c r="K14" s="447"/>
    </row>
    <row r="15" spans="1:41" s="2116" customFormat="1" ht="13.5" customHeight="1">
      <c r="A15" s="1632" t="s">
        <v>1850</v>
      </c>
      <c r="B15" s="448" t="s">
        <v>481</v>
      </c>
      <c r="C15" s="53">
        <f ca="1">ROUND(IF(B1="",SUMIF('数据-取费表'!C:C,"住宅",'数据-取费表'!M:M)*F15,IF(INDIRECT("'数据-取费表'!c"&amp;$K$1)="住宅",INDIRECT("'数据-取费表'!M"&amp;$K$1)*F15,0)),0)</f>
        <v>1155</v>
      </c>
      <c r="D15" s="450"/>
      <c r="E15" s="364"/>
      <c r="F15" s="452">
        <f>'数据-取费表'!B34</f>
        <v>3.5000000000000003E-2</v>
      </c>
      <c r="G15" s="443" t="s">
        <v>501</v>
      </c>
      <c r="H15" s="446"/>
      <c r="I15" s="446"/>
      <c r="J15" s="446"/>
      <c r="K15" s="447"/>
    </row>
    <row r="16" spans="1:41" s="2117" customFormat="1" ht="13.5" customHeight="1">
      <c r="A16" s="1632" t="s">
        <v>1851</v>
      </c>
      <c r="B16" s="448" t="s">
        <v>483</v>
      </c>
      <c r="C16" s="53">
        <f ca="1">ROUND(D16*E16/10000,0)</f>
        <v>8248</v>
      </c>
      <c r="D16" s="450">
        <f ca="1">IF(B1="",'数据-汇总表'!E3,INDIRECT("'数据-取费表'!K"&amp;$K$1)+INDIRECT("'数据-取费表'!S"&amp;$K$1))</f>
        <v>412380.85000000003</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8" t="s">
        <v>484</v>
      </c>
      <c r="C17" s="453">
        <f ca="1">ROUND(C13*F17,0)</f>
        <v>1534</v>
      </c>
      <c r="D17" s="454"/>
      <c r="E17" s="453"/>
      <c r="F17" s="455">
        <f>'数据-取费表'!B36</f>
        <v>1.4999999999999999E-2</v>
      </c>
      <c r="G17" s="443" t="s">
        <v>501</v>
      </c>
      <c r="H17" s="456"/>
      <c r="I17" s="456"/>
      <c r="J17" s="456"/>
      <c r="K17" s="457"/>
    </row>
    <row r="18" spans="1:14" s="2119" customFormat="1" ht="13.5" customHeight="1">
      <c r="A18" s="1633" t="s">
        <v>1853</v>
      </c>
      <c r="B18" s="458" t="s">
        <v>486</v>
      </c>
      <c r="C18" s="459">
        <f ca="1">SUM(C13:C17)</f>
        <v>116275</v>
      </c>
      <c r="D18" s="460"/>
      <c r="E18" s="461"/>
      <c r="F18" s="461"/>
      <c r="G18" s="1325" t="s">
        <v>2430</v>
      </c>
      <c r="H18" s="446"/>
      <c r="I18" s="446"/>
      <c r="J18" s="446"/>
      <c r="K18" s="447"/>
    </row>
    <row r="19" spans="1:14" s="2119" customFormat="1" ht="13.5" customHeight="1">
      <c r="A19" s="1633" t="s">
        <v>1854</v>
      </c>
      <c r="B19" s="458" t="s">
        <v>492</v>
      </c>
      <c r="C19" s="459">
        <f ca="1">ROUND(C18*F19,0)</f>
        <v>2326</v>
      </c>
      <c r="D19" s="461"/>
      <c r="E19" s="461"/>
      <c r="F19" s="465">
        <f>'数据-取费表'!B37</f>
        <v>0.02</v>
      </c>
      <c r="G19" s="443" t="s">
        <v>502</v>
      </c>
      <c r="H19" s="446"/>
      <c r="I19" s="446"/>
      <c r="J19" s="446"/>
      <c r="K19" s="447"/>
      <c r="L19" s="2121"/>
      <c r="M19" s="2121"/>
      <c r="N19" s="2121"/>
    </row>
    <row r="20" spans="1:14" s="2119" customFormat="1" ht="13.5" customHeight="1">
      <c r="A20" s="1633" t="s">
        <v>1855</v>
      </c>
      <c r="B20" s="458" t="s">
        <v>503</v>
      </c>
      <c r="C20" s="3030">
        <f>F20</f>
        <v>0.02</v>
      </c>
      <c r="D20" s="468" t="s">
        <v>504</v>
      </c>
      <c r="E20" s="468"/>
      <c r="F20" s="485">
        <f>'数据-取费表'!B38</f>
        <v>0.02</v>
      </c>
      <c r="G20" s="1325" t="s">
        <v>505</v>
      </c>
      <c r="H20" s="446"/>
      <c r="I20" s="446"/>
      <c r="J20" s="446"/>
      <c r="K20" s="447"/>
      <c r="L20" s="2121"/>
      <c r="M20" s="2121"/>
      <c r="N20" s="2121"/>
    </row>
    <row r="21" spans="1:14" s="2121" customFormat="1" ht="13.5" customHeight="1">
      <c r="A21" s="1633" t="s">
        <v>1858</v>
      </c>
      <c r="B21" s="460" t="s">
        <v>493</v>
      </c>
      <c r="C21" s="469">
        <f ca="1">C22</f>
        <v>8550</v>
      </c>
      <c r="D21" s="466">
        <f ca="1">C23</f>
        <v>1.4E-3</v>
      </c>
      <c r="E21" s="468" t="s">
        <v>506</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8" t="s">
        <v>2452</v>
      </c>
    </row>
    <row r="22" spans="1:14" s="2120" customFormat="1" ht="13.5" customHeight="1">
      <c r="A22" s="1632" t="s">
        <v>1848</v>
      </c>
      <c r="B22" s="1326" t="s">
        <v>2433</v>
      </c>
      <c r="C22" s="486">
        <f ca="1">ROUND(IF('数据-取费表'!B22&lt;=1,(C18+C19)*F21*'数据-取费表'!B20/2,(C18+C19)*(POWER((1+F21),'数据-取费表'!B20/2)-1)),0)</f>
        <v>8550</v>
      </c>
      <c r="D22" s="471"/>
      <c r="E22" s="472"/>
      <c r="F22" s="473"/>
      <c r="G22" s="2567" t="str">
        <f>IF('数据-取费表'!B22&lt;=1,"((1)+(2))×年利率×建设期÷2","((1)+(2))×((1+年利率)^(建设期÷2)-1)")</f>
        <v>((1)+(2))×((1+年利率)^(建设期÷2)-1)</v>
      </c>
      <c r="H22" s="456"/>
      <c r="I22" s="456"/>
      <c r="J22" s="456"/>
      <c r="K22" s="457"/>
    </row>
    <row r="23" spans="1:14" s="2120" customFormat="1" ht="13.5" customHeight="1">
      <c r="A23" s="1632" t="s">
        <v>1849</v>
      </c>
      <c r="B23" s="1326" t="s">
        <v>507</v>
      </c>
      <c r="C23" s="487">
        <f ca="1">ROUND(IF('数据-取费表'!B22&lt;=1,F20*F21*'数据-取费表'!B20/2,F20*(POWER((1+F21),'数据-取费表'!B20/2)-1)),4)</f>
        <v>1.4E-3</v>
      </c>
      <c r="D23" s="471"/>
      <c r="E23" s="472"/>
      <c r="F23" s="473"/>
      <c r="G23" s="2567" t="str">
        <f>IF('数据-取费表'!B22&lt;=1,"销售费用率×年利率×建设期÷2","销售费用率×((1+年利率)^(建设期÷2)-1)")</f>
        <v>销售费用率×((1+年利率)^(建设期÷2)-1)</v>
      </c>
      <c r="H23" s="456"/>
      <c r="I23" s="456"/>
      <c r="J23" s="456"/>
      <c r="K23" s="457"/>
    </row>
    <row r="24" spans="1:14" s="2120" customFormat="1" ht="13.5" customHeight="1">
      <c r="A24" s="1633" t="s">
        <v>1859</v>
      </c>
      <c r="B24" s="3032" t="s">
        <v>2828</v>
      </c>
      <c r="C24" s="477">
        <f ca="1">C25</f>
        <v>14232</v>
      </c>
      <c r="D24" s="488">
        <f ca="1">C26</f>
        <v>2.3999999999999998E-3</v>
      </c>
      <c r="E24" s="468" t="s">
        <v>506</v>
      </c>
      <c r="F24" s="478">
        <f ca="1">IF(B1="",'数据-取费表'!Q16,INDIRECT("'数据-取费表'!q"&amp;$K$1))</f>
        <v>0.12</v>
      </c>
      <c r="G24" s="443"/>
      <c r="H24" s="446"/>
      <c r="I24" s="446"/>
      <c r="J24" s="446"/>
      <c r="K24" s="447"/>
    </row>
    <row r="25" spans="1:14" s="2120" customFormat="1" ht="13.5" customHeight="1">
      <c r="A25" s="1632" t="s">
        <v>1848</v>
      </c>
      <c r="B25" s="1326" t="s">
        <v>2434</v>
      </c>
      <c r="C25" s="489">
        <f ca="1">ROUND((C18+C19)*F24,0)</f>
        <v>14232</v>
      </c>
      <c r="D25" s="471"/>
      <c r="E25" s="472"/>
      <c r="F25" s="479"/>
      <c r="G25" s="1324" t="s">
        <v>2431</v>
      </c>
      <c r="H25" s="456"/>
      <c r="I25" s="456"/>
      <c r="J25" s="456"/>
      <c r="K25" s="457"/>
    </row>
    <row r="26" spans="1:14" s="2120" customFormat="1" ht="13.5" customHeight="1">
      <c r="A26" s="1632" t="s">
        <v>1849</v>
      </c>
      <c r="B26" s="1326" t="s">
        <v>508</v>
      </c>
      <c r="C26" s="490">
        <f ca="1">ROUND(F20*F24,4)</f>
        <v>2.3999999999999998E-3</v>
      </c>
      <c r="D26" s="471"/>
      <c r="E26" s="480"/>
      <c r="F26" s="479"/>
      <c r="G26" s="1324" t="s">
        <v>509</v>
      </c>
      <c r="H26" s="456"/>
      <c r="I26" s="456"/>
      <c r="J26" s="456"/>
      <c r="K26" s="457"/>
    </row>
    <row r="27" spans="1:14" s="2120" customFormat="1" ht="13.5" customHeight="1">
      <c r="A27" s="1636" t="s">
        <v>1867</v>
      </c>
      <c r="B27" s="458" t="s">
        <v>510</v>
      </c>
      <c r="C27" s="3031">
        <f>ROUND(F27/(1+'数据-取费表'!C42),4)</f>
        <v>5.33E-2</v>
      </c>
      <c r="D27" s="461" t="s">
        <v>2826</v>
      </c>
      <c r="E27" s="461"/>
      <c r="F27" s="465">
        <f>'数据-取费表'!B41</f>
        <v>5.6000000000000001E-2</v>
      </c>
      <c r="G27" s="1960" t="s">
        <v>2291</v>
      </c>
      <c r="H27" s="446"/>
      <c r="I27" s="446"/>
      <c r="J27" s="446"/>
      <c r="K27" s="447"/>
    </row>
    <row r="28" spans="1:14" s="2121" customFormat="1" ht="13.5" customHeight="1">
      <c r="A28" s="1636" t="s">
        <v>1868</v>
      </c>
      <c r="B28" s="475" t="s">
        <v>511</v>
      </c>
      <c r="C28" s="469">
        <f ca="1">ROUND((C18+C19+C21+C24)/(1-C20-D21-D24-C27),0)</f>
        <v>153194</v>
      </c>
      <c r="D28" s="476"/>
      <c r="E28" s="468"/>
      <c r="F28" s="470"/>
      <c r="G28" s="1325" t="s">
        <v>2432</v>
      </c>
      <c r="H28" s="446"/>
      <c r="I28" s="446"/>
      <c r="J28" s="446"/>
      <c r="K28" s="447"/>
    </row>
    <row r="29" spans="1:14" s="2121" customFormat="1" ht="13.5" customHeight="1">
      <c r="A29" s="1636" t="s">
        <v>1869</v>
      </c>
      <c r="B29" s="475" t="s">
        <v>512</v>
      </c>
      <c r="C29" s="491">
        <f ca="1">IF(B1="",'数据-取费表'!N16,INDIRECT("'数据-取费表'!N"&amp;$K$1))</f>
        <v>0</v>
      </c>
      <c r="D29" s="492"/>
      <c r="E29" s="493"/>
      <c r="F29" s="494"/>
      <c r="G29" s="443"/>
      <c r="H29" s="446"/>
      <c r="I29" s="446"/>
      <c r="J29" s="446"/>
      <c r="K29" s="447"/>
    </row>
    <row r="30" spans="1:14" s="2121" customFormat="1" ht="13.5" customHeight="1">
      <c r="A30" s="442">
        <v>2</v>
      </c>
      <c r="B30" s="475" t="s">
        <v>513</v>
      </c>
      <c r="C30" s="496">
        <f ca="1">ROUND(C28*C29,0)</f>
        <v>0</v>
      </c>
      <c r="D30" s="492"/>
      <c r="E30" s="497"/>
      <c r="F30" s="498"/>
      <c r="G30" s="1327" t="s">
        <v>514</v>
      </c>
      <c r="H30" s="495"/>
      <c r="I30" s="495"/>
      <c r="J30" s="446"/>
      <c r="K30" s="447"/>
    </row>
    <row r="31" spans="1:14" s="2126" customFormat="1" ht="13.5" customHeight="1">
      <c r="A31" s="2482" t="s">
        <v>1865</v>
      </c>
      <c r="B31" s="1328"/>
      <c r="C31" s="499">
        <f>ROUND(C6*F31/(1+'数据-取费表'!C42),0)</f>
        <v>0</v>
      </c>
      <c r="D31" s="1329"/>
      <c r="E31" s="1329"/>
      <c r="F31" s="500">
        <f>'数据-取费表'!B41</f>
        <v>5.6000000000000001E-2</v>
      </c>
      <c r="G31" s="1330"/>
      <c r="H31" s="1330"/>
      <c r="I31" s="1330"/>
      <c r="J31" s="1331"/>
      <c r="K31" s="1332"/>
    </row>
    <row r="32" spans="1:14" s="2085"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83" t="s">
        <v>2962</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C17" sqref="C17"/>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515</v>
      </c>
      <c r="B1" s="502"/>
      <c r="C1" s="503" t="s">
        <v>516</v>
      </c>
      <c r="D1" s="504" t="s">
        <v>517</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466</v>
      </c>
      <c r="B2" s="507" t="e">
        <f>F68</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1684</v>
      </c>
      <c r="B3" s="509" t="e">
        <f>ROUND(B2*10000/'数据-汇总表'!E3,0)</f>
        <v>#DIV/0!</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4" customFormat="1" ht="28.5" customHeight="1">
      <c r="A4" s="510" t="s">
        <v>519</v>
      </c>
      <c r="B4" s="426" t="e">
        <f>IF(B48="单位面积地价",C50,ROUND(B2*10000/'数据-汇总表'!D3,0))</f>
        <v>#DIV/0!</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4" customFormat="1" ht="28.5" customHeight="1" thickBot="1">
      <c r="A5" s="428"/>
      <c r="B5" s="429" t="e">
        <f>ROUND(B2/('数据-汇总表'!D3/666.67),0)</f>
        <v>#DIV/0!</v>
      </c>
      <c r="C5" s="430"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520</v>
      </c>
      <c r="B6" s="512"/>
      <c r="C6" s="3396" t="s">
        <v>521</v>
      </c>
      <c r="D6" s="3397"/>
      <c r="E6" s="3396" t="s">
        <v>522</v>
      </c>
      <c r="F6" s="3397"/>
      <c r="G6" s="3396" t="s">
        <v>523</v>
      </c>
      <c r="H6" s="3397"/>
      <c r="I6" s="3396" t="s">
        <v>524</v>
      </c>
      <c r="J6" s="3397"/>
      <c r="K6" s="513" t="s">
        <v>525</v>
      </c>
      <c r="L6" s="2133"/>
      <c r="M6" s="2132"/>
      <c r="N6" s="2132"/>
      <c r="O6" s="2134"/>
      <c r="P6" s="3398" t="s">
        <v>526</v>
      </c>
      <c r="Q6" s="3399"/>
      <c r="R6" s="3404" t="s">
        <v>522</v>
      </c>
      <c r="S6" s="3405"/>
      <c r="T6" s="3404" t="s">
        <v>523</v>
      </c>
      <c r="U6" s="3405"/>
      <c r="V6" s="3391" t="s">
        <v>524</v>
      </c>
      <c r="W6" s="3391"/>
      <c r="X6" s="1566"/>
      <c r="Y6" s="3404" t="s">
        <v>526</v>
      </c>
      <c r="Z6" s="3405"/>
      <c r="AA6" s="3393" t="s">
        <v>522</v>
      </c>
      <c r="AB6" s="3394" t="s">
        <v>523</v>
      </c>
      <c r="AC6" s="3393" t="s">
        <v>524</v>
      </c>
    </row>
    <row r="7" spans="1:30" ht="20.25">
      <c r="A7" s="514"/>
      <c r="B7" s="515"/>
      <c r="C7" s="3412" t="s">
        <v>2916</v>
      </c>
      <c r="D7" s="3413"/>
      <c r="E7" s="3412" t="s">
        <v>2917</v>
      </c>
      <c r="F7" s="3413"/>
      <c r="G7" s="3412" t="s">
        <v>2918</v>
      </c>
      <c r="H7" s="3413"/>
      <c r="I7" s="3412" t="s">
        <v>2919</v>
      </c>
      <c r="J7" s="3413"/>
      <c r="K7" s="513"/>
      <c r="L7" s="2133"/>
      <c r="M7" s="2132"/>
      <c r="N7" s="2132"/>
      <c r="O7" s="2134"/>
      <c r="P7" s="3400"/>
      <c r="Q7" s="3401"/>
      <c r="R7" s="3406"/>
      <c r="S7" s="3407"/>
      <c r="T7" s="3406"/>
      <c r="U7" s="3407"/>
      <c r="V7" s="3391"/>
      <c r="W7" s="3391"/>
      <c r="X7" s="1566"/>
      <c r="Y7" s="3406"/>
      <c r="Z7" s="3407"/>
      <c r="AA7" s="3394"/>
      <c r="AB7" s="3394"/>
      <c r="AC7" s="3394"/>
    </row>
    <row r="8" spans="1:30" ht="21" thickBot="1">
      <c r="A8" s="514"/>
      <c r="B8" s="515"/>
      <c r="C8" s="3414" t="s">
        <v>2920</v>
      </c>
      <c r="D8" s="3415"/>
      <c r="E8" s="3414" t="s">
        <v>2920</v>
      </c>
      <c r="F8" s="3415"/>
      <c r="G8" s="3410" t="s">
        <v>2920</v>
      </c>
      <c r="H8" s="3411"/>
      <c r="I8" s="3410" t="s">
        <v>2920</v>
      </c>
      <c r="J8" s="3411"/>
      <c r="K8" s="513" t="s">
        <v>527</v>
      </c>
      <c r="L8" s="2133"/>
      <c r="M8" s="2132"/>
      <c r="N8" s="2132"/>
      <c r="O8" s="2134"/>
      <c r="P8" s="3402"/>
      <c r="Q8" s="3403"/>
      <c r="R8" s="3406"/>
      <c r="S8" s="3407"/>
      <c r="T8" s="3408"/>
      <c r="U8" s="3409"/>
      <c r="V8" s="3391"/>
      <c r="W8" s="3391"/>
      <c r="X8" s="1566"/>
      <c r="Y8" s="3408"/>
      <c r="Z8" s="3409"/>
      <c r="AA8" s="3395"/>
      <c r="AB8" s="3395"/>
      <c r="AC8" s="3395"/>
    </row>
    <row r="9" spans="1:30" s="1218" customFormat="1" ht="21" thickBot="1">
      <c r="A9" s="2912"/>
      <c r="B9" s="2919" t="s">
        <v>528</v>
      </c>
      <c r="C9" s="2911">
        <f>'数据-取费表'!B2</f>
        <v>43445</v>
      </c>
      <c r="D9" s="519">
        <v>100</v>
      </c>
      <c r="E9" s="520"/>
      <c r="F9" s="521">
        <f>SUMIF(72:72,YEAR(E9)&amp;"-"&amp;INT((MONTH(E9)+2)/3),73:73)</f>
        <v>0</v>
      </c>
      <c r="G9" s="522"/>
      <c r="H9" s="519">
        <f>SUMIF(72:72,YEAR(G9)&amp;"-"&amp;INT((MONTH(G9)+2)/3),73:73)</f>
        <v>0</v>
      </c>
      <c r="I9" s="522"/>
      <c r="J9" s="519">
        <f>SUMIF(72:72,YEAR(I9)&amp;"-"&amp;INT((MONTH(I9)+2)/3),73:73)</f>
        <v>0</v>
      </c>
      <c r="K9" s="523"/>
      <c r="L9" s="2135"/>
      <c r="M9" s="2132"/>
      <c r="N9" s="2132"/>
      <c r="O9" s="2136"/>
      <c r="P9" s="3421" t="s">
        <v>529</v>
      </c>
      <c r="Q9" s="3423"/>
      <c r="R9" s="1567" t="s">
        <v>8</v>
      </c>
      <c r="S9" s="1568">
        <f t="shared" ref="S9:S17" si="0">F9</f>
        <v>0</v>
      </c>
      <c r="T9" s="1567" t="s">
        <v>8</v>
      </c>
      <c r="U9" s="1568">
        <f t="shared" ref="U9:U17" si="1">H9</f>
        <v>0</v>
      </c>
      <c r="V9" s="1567" t="s">
        <v>8</v>
      </c>
      <c r="W9" s="1568">
        <f t="shared" ref="W9:W17" si="2">J9</f>
        <v>0</v>
      </c>
      <c r="X9" s="1569"/>
      <c r="Y9" s="3421" t="s">
        <v>529</v>
      </c>
      <c r="Z9" s="3422"/>
      <c r="AA9" s="1570" t="e">
        <f>D9/F9</f>
        <v>#DIV/0!</v>
      </c>
      <c r="AB9" s="1570" t="e">
        <f>D9/H9</f>
        <v>#DIV/0!</v>
      </c>
      <c r="AC9" s="1570" t="e">
        <f>D9/J9</f>
        <v>#DIV/0!</v>
      </c>
    </row>
    <row r="10" spans="1:30" s="1218" customFormat="1" ht="21" thickBot="1">
      <c r="A10" s="2913"/>
      <c r="B10" s="2920" t="s">
        <v>530</v>
      </c>
      <c r="C10" s="855" t="s">
        <v>531</v>
      </c>
      <c r="D10" s="519">
        <v>100</v>
      </c>
      <c r="E10" s="524" t="s">
        <v>3882</v>
      </c>
      <c r="F10" s="521">
        <f>SUMIF(75:75,E10,76:76)-SUMIF(75:75,C10,76:76)+100</f>
        <v>100</v>
      </c>
      <c r="G10" s="524" t="s">
        <v>3882</v>
      </c>
      <c r="H10" s="519">
        <f>SUMIF(75:75,G10,76:76)-SUMIF(75:75,C10,76:76)+100</f>
        <v>100</v>
      </c>
      <c r="I10" s="524" t="s">
        <v>3882</v>
      </c>
      <c r="J10" s="519">
        <f>SUMIF(75:75,I10,76:76)-SUMIF(75:75,C10,76:76)+100</f>
        <v>100</v>
      </c>
      <c r="K10" s="523"/>
      <c r="L10" s="2135"/>
      <c r="M10" s="2132"/>
      <c r="N10" s="2132"/>
      <c r="O10" s="2136"/>
      <c r="P10" s="3421" t="s">
        <v>532</v>
      </c>
      <c r="Q10" s="3422"/>
      <c r="R10" s="1567" t="s">
        <v>8</v>
      </c>
      <c r="S10" s="1568">
        <f t="shared" si="0"/>
        <v>100</v>
      </c>
      <c r="T10" s="1567" t="s">
        <v>8</v>
      </c>
      <c r="U10" s="1568">
        <f t="shared" si="1"/>
        <v>100</v>
      </c>
      <c r="V10" s="1567" t="s">
        <v>8</v>
      </c>
      <c r="W10" s="1568">
        <f t="shared" si="2"/>
        <v>100</v>
      </c>
      <c r="X10" s="1569"/>
      <c r="Y10" s="3421" t="s">
        <v>532</v>
      </c>
      <c r="Z10" s="3422"/>
      <c r="AA10" s="1570">
        <f t="shared" ref="AA10:AA47" si="3">D10/F10</f>
        <v>1</v>
      </c>
      <c r="AB10" s="1570">
        <f t="shared" ref="AB10:AB47" si="4">D10/H10</f>
        <v>1</v>
      </c>
      <c r="AC10" s="1570">
        <f t="shared" ref="AC10:AC47" si="5">D10/J10</f>
        <v>1</v>
      </c>
    </row>
    <row r="11" spans="1:30" s="1218" customFormat="1" ht="20.25">
      <c r="A11" s="2914"/>
      <c r="B11" s="2921" t="s">
        <v>2752</v>
      </c>
      <c r="C11" s="2908" t="s">
        <v>922</v>
      </c>
      <c r="D11" s="253">
        <v>100</v>
      </c>
      <c r="E11" s="525"/>
      <c r="F11" s="253">
        <f>SUMIF(77:77,E11,78:78)-SUMIF(77:77,C11,78:78)+100</f>
        <v>0</v>
      </c>
      <c r="G11" s="525"/>
      <c r="H11" s="253">
        <f>SUMIF(77:77,G11,78:78)-SUMIF(77:77,C11,78:78)+100</f>
        <v>0</v>
      </c>
      <c r="I11" s="525"/>
      <c r="J11" s="253">
        <f>SUMIF(77:77,I11,78:78)-SUMIF(77:77,C11,78:78)+100</f>
        <v>0</v>
      </c>
      <c r="K11" s="523"/>
      <c r="L11" s="2135"/>
      <c r="M11" s="2132"/>
      <c r="N11" s="2132"/>
      <c r="O11" s="2137"/>
      <c r="P11" s="3390" t="s">
        <v>534</v>
      </c>
      <c r="Q11" s="1149" t="str">
        <f t="shared" ref="Q11:Q17" si="6">B11</f>
        <v>用途</v>
      </c>
      <c r="R11" s="1567" t="s">
        <v>8</v>
      </c>
      <c r="S11" s="1568">
        <f t="shared" si="0"/>
        <v>0</v>
      </c>
      <c r="T11" s="1567" t="s">
        <v>8</v>
      </c>
      <c r="U11" s="1568">
        <f t="shared" si="1"/>
        <v>0</v>
      </c>
      <c r="V11" s="1567" t="s">
        <v>8</v>
      </c>
      <c r="W11" s="1568">
        <f t="shared" si="2"/>
        <v>0</v>
      </c>
      <c r="X11" s="1569"/>
      <c r="Y11" s="3336" t="s">
        <v>535</v>
      </c>
      <c r="Z11" s="1148" t="str">
        <f t="shared" ref="Z11:Z17" si="7">Q11</f>
        <v>用途</v>
      </c>
      <c r="AA11" s="1570" t="e">
        <f t="shared" si="3"/>
        <v>#DIV/0!</v>
      </c>
      <c r="AB11" s="1570" t="e">
        <f t="shared" si="4"/>
        <v>#DIV/0!</v>
      </c>
      <c r="AC11" s="1570" t="e">
        <f t="shared" si="5"/>
        <v>#DIV/0!</v>
      </c>
    </row>
    <row r="12" spans="1:30" s="1336" customFormat="1" ht="28.5">
      <c r="A12" s="2915"/>
      <c r="B12" s="2920" t="s">
        <v>2753</v>
      </c>
      <c r="C12" s="908" t="str">
        <f>项目基本情况!D20</f>
        <v>住宅61.9年、商业31.9年</v>
      </c>
      <c r="D12" s="254">
        <v>100</v>
      </c>
      <c r="E12" s="528"/>
      <c r="F12" s="254">
        <f>ROUND(100/'数据-取费表'!G16,0)</f>
        <v>105</v>
      </c>
      <c r="G12" s="529"/>
      <c r="H12" s="254">
        <f>ROUND(100/'数据-取费表'!G16,0)</f>
        <v>105</v>
      </c>
      <c r="I12" s="529"/>
      <c r="J12" s="254">
        <f>ROUND(100/'数据-取费表'!G16,0)</f>
        <v>105</v>
      </c>
      <c r="K12" s="530"/>
      <c r="L12" s="2138"/>
      <c r="M12" s="2132"/>
      <c r="N12" s="2132"/>
      <c r="O12" s="2139"/>
      <c r="P12" s="3390"/>
      <c r="Q12" s="1149" t="str">
        <f t="shared" si="6"/>
        <v>土地使用年限（年）</v>
      </c>
      <c r="R12" s="1567" t="s">
        <v>8</v>
      </c>
      <c r="S12" s="1568">
        <f t="shared" si="0"/>
        <v>105</v>
      </c>
      <c r="T12" s="1567" t="s">
        <v>8</v>
      </c>
      <c r="U12" s="1568">
        <f t="shared" si="1"/>
        <v>105</v>
      </c>
      <c r="V12" s="1567" t="s">
        <v>8</v>
      </c>
      <c r="W12" s="1568">
        <f t="shared" si="2"/>
        <v>105</v>
      </c>
      <c r="X12" s="1569"/>
      <c r="Y12" s="3336"/>
      <c r="Z12" s="1148" t="str">
        <f t="shared" si="7"/>
        <v>土地使用年限（年）</v>
      </c>
      <c r="AA12" s="1570">
        <f t="shared" si="3"/>
        <v>0.95238095238095233</v>
      </c>
      <c r="AB12" s="1570">
        <f t="shared" si="4"/>
        <v>0.95238095238095233</v>
      </c>
      <c r="AC12" s="1570">
        <f t="shared" si="5"/>
        <v>0.95238095238095233</v>
      </c>
    </row>
    <row r="13" spans="1:30" ht="21" thickBot="1">
      <c r="A13" s="2916"/>
      <c r="B13" s="2920" t="s">
        <v>2754</v>
      </c>
      <c r="C13" s="533">
        <f>'数据-汇总表'!I6</f>
        <v>3.5</v>
      </c>
      <c r="D13" s="254">
        <v>100</v>
      </c>
      <c r="E13" s="532"/>
      <c r="F13" s="254" t="e">
        <f>LOOKUP(E13,82:82,83:83)-LOOKUP(C13,82:82,83:83)+100</f>
        <v>#N/A</v>
      </c>
      <c r="G13" s="533"/>
      <c r="H13" s="254" t="e">
        <f>LOOKUP(G13,82:82,83:83)-LOOKUP(C13,82:82,83:83)+100</f>
        <v>#N/A</v>
      </c>
      <c r="I13" s="532"/>
      <c r="J13" s="254" t="e">
        <f>LOOKUP(I13,82:82,83:83)-LOOKUP(C13,82:82,83:83)+100</f>
        <v>#N/A</v>
      </c>
      <c r="K13" s="534"/>
      <c r="L13" s="2140"/>
      <c r="M13" s="2132"/>
      <c r="N13" s="2132"/>
      <c r="O13" s="2141"/>
      <c r="P13" s="3390"/>
      <c r="Q13" s="1149" t="str">
        <f t="shared" si="6"/>
        <v>容积率</v>
      </c>
      <c r="R13" s="1567" t="s">
        <v>8</v>
      </c>
      <c r="S13" s="1568" t="e">
        <f t="shared" si="0"/>
        <v>#N/A</v>
      </c>
      <c r="T13" s="1567" t="s">
        <v>8</v>
      </c>
      <c r="U13" s="1568" t="e">
        <f t="shared" si="1"/>
        <v>#N/A</v>
      </c>
      <c r="V13" s="1567" t="s">
        <v>8</v>
      </c>
      <c r="W13" s="1568" t="e">
        <f t="shared" si="2"/>
        <v>#N/A</v>
      </c>
      <c r="X13" s="1569"/>
      <c r="Y13" s="3336"/>
      <c r="Z13" s="1148" t="str">
        <f t="shared" si="7"/>
        <v>容积率</v>
      </c>
      <c r="AA13" s="1570" t="e">
        <f t="shared" si="3"/>
        <v>#N/A</v>
      </c>
      <c r="AB13" s="1570" t="e">
        <f t="shared" si="4"/>
        <v>#N/A</v>
      </c>
      <c r="AC13" s="1570" t="e">
        <f t="shared" si="5"/>
        <v>#N/A</v>
      </c>
    </row>
    <row r="14" spans="1:30" s="1218" customFormat="1" ht="20.25" hidden="1">
      <c r="A14" s="2913"/>
      <c r="B14" s="2922" t="s">
        <v>2755</v>
      </c>
      <c r="C14" s="2909"/>
      <c r="D14" s="537">
        <v>100</v>
      </c>
      <c r="E14" s="1373"/>
      <c r="F14" s="254">
        <f>SUMIF(84:84,E14,85:85)-SUMIF(84:84,C14,85:85)+100</f>
        <v>100</v>
      </c>
      <c r="G14" s="529"/>
      <c r="H14" s="254">
        <f>SUMIF(84:84,G14,85:85)-SUMIF(84:84,C14,85:85)+100</f>
        <v>100</v>
      </c>
      <c r="I14" s="528"/>
      <c r="J14" s="254">
        <f>SUMIF(84:84,I14,85:85)-SUMIF(84:84,C14,85:85)+100</f>
        <v>100</v>
      </c>
      <c r="K14" s="530"/>
      <c r="L14" s="2135"/>
      <c r="M14" s="2132"/>
      <c r="N14" s="2132"/>
      <c r="O14" s="2137"/>
      <c r="P14" s="3390"/>
      <c r="Q14" s="1149" t="str">
        <f t="shared" si="6"/>
        <v>配建</v>
      </c>
      <c r="R14" s="1567" t="s">
        <v>8</v>
      </c>
      <c r="S14" s="1568">
        <f t="shared" si="0"/>
        <v>100</v>
      </c>
      <c r="T14" s="1567" t="s">
        <v>8</v>
      </c>
      <c r="U14" s="1568">
        <f t="shared" si="1"/>
        <v>100</v>
      </c>
      <c r="V14" s="1567" t="s">
        <v>8</v>
      </c>
      <c r="W14" s="1568">
        <f t="shared" si="2"/>
        <v>100</v>
      </c>
      <c r="X14" s="1569"/>
      <c r="Y14" s="3336"/>
      <c r="Z14" s="1148" t="str">
        <f t="shared" si="7"/>
        <v>配建</v>
      </c>
      <c r="AA14" s="1570">
        <f>D14/F14</f>
        <v>1</v>
      </c>
      <c r="AB14" s="1570">
        <f>D14/H14</f>
        <v>1</v>
      </c>
      <c r="AC14" s="1570">
        <f>D14/J14</f>
        <v>1</v>
      </c>
    </row>
    <row r="15" spans="1:30" ht="20.25" hidden="1">
      <c r="A15" s="2917"/>
      <c r="B15" s="2923"/>
      <c r="C15" s="910"/>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90"/>
      <c r="Q15" s="1149">
        <f t="shared" si="6"/>
        <v>0</v>
      </c>
      <c r="R15" s="1567" t="s">
        <v>8</v>
      </c>
      <c r="S15" s="1568">
        <f t="shared" si="0"/>
        <v>100</v>
      </c>
      <c r="T15" s="1567" t="s">
        <v>8</v>
      </c>
      <c r="U15" s="1568">
        <f t="shared" si="1"/>
        <v>100</v>
      </c>
      <c r="V15" s="1567" t="s">
        <v>8</v>
      </c>
      <c r="W15" s="1568">
        <f t="shared" si="2"/>
        <v>100</v>
      </c>
      <c r="X15" s="1569"/>
      <c r="Y15" s="3336"/>
      <c r="Z15" s="1148">
        <f t="shared" si="7"/>
        <v>0</v>
      </c>
      <c r="AA15" s="1570">
        <f>D15/F15</f>
        <v>1</v>
      </c>
      <c r="AB15" s="1570">
        <f>D15/H15</f>
        <v>1</v>
      </c>
      <c r="AC15" s="1570">
        <f>D15/J15</f>
        <v>1</v>
      </c>
    </row>
    <row r="16" spans="1:30" ht="21" hidden="1" thickBot="1">
      <c r="A16" s="2918"/>
      <c r="B16" s="2924"/>
      <c r="C16" s="913"/>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90"/>
      <c r="Q16" s="1149">
        <f t="shared" si="6"/>
        <v>0</v>
      </c>
      <c r="R16" s="1567" t="s">
        <v>8</v>
      </c>
      <c r="S16" s="1568">
        <f t="shared" si="0"/>
        <v>100</v>
      </c>
      <c r="T16" s="1567" t="s">
        <v>8</v>
      </c>
      <c r="U16" s="1568">
        <f t="shared" si="1"/>
        <v>100</v>
      </c>
      <c r="V16" s="1567" t="s">
        <v>8</v>
      </c>
      <c r="W16" s="1568">
        <f t="shared" si="2"/>
        <v>100</v>
      </c>
      <c r="X16" s="1569"/>
      <c r="Y16" s="3336"/>
      <c r="Z16" s="1148">
        <f t="shared" si="7"/>
        <v>0</v>
      </c>
      <c r="AA16" s="1570">
        <f>D16/F16</f>
        <v>1</v>
      </c>
      <c r="AB16" s="1570">
        <f>D16/H16</f>
        <v>1</v>
      </c>
      <c r="AC16" s="1570">
        <f>D16/J16</f>
        <v>1</v>
      </c>
    </row>
    <row r="17" spans="1:29" ht="99.75">
      <c r="A17" s="2910" t="s">
        <v>2750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42"/>
      <c r="M17" s="2132"/>
      <c r="N17" s="2132"/>
      <c r="O17" s="2141"/>
      <c r="P17" s="3424" t="s">
        <v>539</v>
      </c>
      <c r="Q17" s="1571" t="str">
        <f t="shared" si="6"/>
        <v>居住社区成熟度</v>
      </c>
      <c r="R17" s="1572" t="s">
        <v>8</v>
      </c>
      <c r="S17" s="1573">
        <f t="shared" si="0"/>
        <v>100</v>
      </c>
      <c r="T17" s="1572" t="s">
        <v>8</v>
      </c>
      <c r="U17" s="1573">
        <f t="shared" si="1"/>
        <v>100</v>
      </c>
      <c r="V17" s="1572" t="s">
        <v>8</v>
      </c>
      <c r="W17" s="1573">
        <f t="shared" si="2"/>
        <v>100</v>
      </c>
      <c r="X17" s="1566"/>
      <c r="Y17" s="3424" t="s">
        <v>539</v>
      </c>
      <c r="Z17" s="1574" t="str">
        <f t="shared" si="7"/>
        <v>居住社区成熟度</v>
      </c>
      <c r="AA17" s="1575">
        <f t="shared" si="3"/>
        <v>1</v>
      </c>
      <c r="AB17" s="1575">
        <f t="shared" si="4"/>
        <v>1</v>
      </c>
      <c r="AC17" s="1575">
        <f t="shared" si="5"/>
        <v>1</v>
      </c>
    </row>
    <row r="18" spans="1:29" ht="20.25">
      <c r="A18" s="531"/>
      <c r="B18" s="552"/>
      <c r="C18" s="553"/>
      <c r="D18" s="556"/>
      <c r="E18" s="557"/>
      <c r="F18" s="554"/>
      <c r="G18" s="555"/>
      <c r="H18" s="558"/>
      <c r="I18" s="557"/>
      <c r="J18" s="554"/>
      <c r="K18" s="530"/>
      <c r="L18" s="2142"/>
      <c r="M18" s="2132"/>
      <c r="N18" s="2132"/>
      <c r="O18" s="2141"/>
      <c r="P18" s="3425"/>
      <c r="Q18" s="1571"/>
      <c r="R18" s="1572"/>
      <c r="S18" s="1573"/>
      <c r="T18" s="1572"/>
      <c r="U18" s="1573"/>
      <c r="V18" s="1572"/>
      <c r="W18" s="1573"/>
      <c r="X18" s="1566"/>
      <c r="Y18" s="3425"/>
      <c r="Z18" s="1574"/>
      <c r="AA18" s="1575">
        <v>1</v>
      </c>
      <c r="AB18" s="1575">
        <v>1</v>
      </c>
      <c r="AC18" s="1575">
        <v>1</v>
      </c>
    </row>
    <row r="19" spans="1:29" ht="71.25">
      <c r="A19" s="531"/>
      <c r="B19" s="559" t="s">
        <v>540</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42"/>
      <c r="M19" s="2132"/>
      <c r="N19" s="2132"/>
      <c r="O19" s="2141"/>
      <c r="P19" s="3425"/>
      <c r="Q19" s="1571" t="str">
        <f>B19</f>
        <v>商业繁华度</v>
      </c>
      <c r="R19" s="1572" t="s">
        <v>8</v>
      </c>
      <c r="S19" s="1573">
        <f>F19</f>
        <v>100</v>
      </c>
      <c r="T19" s="1572" t="s">
        <v>8</v>
      </c>
      <c r="U19" s="1573">
        <f>H19</f>
        <v>100</v>
      </c>
      <c r="V19" s="1572" t="s">
        <v>8</v>
      </c>
      <c r="W19" s="1573">
        <f>J19</f>
        <v>100</v>
      </c>
      <c r="X19" s="1566"/>
      <c r="Y19" s="3425"/>
      <c r="Z19" s="1574" t="str">
        <f>Q19</f>
        <v>商业繁华度</v>
      </c>
      <c r="AA19" s="1575">
        <f t="shared" si="3"/>
        <v>1</v>
      </c>
      <c r="AB19" s="1575">
        <f t="shared" si="4"/>
        <v>1</v>
      </c>
      <c r="AC19" s="1575">
        <f t="shared" si="5"/>
        <v>1</v>
      </c>
    </row>
    <row r="20" spans="1:29" ht="20.25">
      <c r="A20" s="531"/>
      <c r="B20" s="565"/>
      <c r="C20" s="566"/>
      <c r="D20" s="562"/>
      <c r="E20" s="568"/>
      <c r="F20" s="558"/>
      <c r="G20" s="567"/>
      <c r="H20" s="554"/>
      <c r="I20" s="568"/>
      <c r="J20" s="554"/>
      <c r="K20" s="530"/>
      <c r="L20" s="2142"/>
      <c r="M20" s="2132"/>
      <c r="N20" s="2132"/>
      <c r="O20" s="2141"/>
      <c r="P20" s="3425"/>
      <c r="Q20" s="1571"/>
      <c r="R20" s="1572"/>
      <c r="S20" s="1573"/>
      <c r="T20" s="1572"/>
      <c r="U20" s="1573"/>
      <c r="V20" s="1572"/>
      <c r="W20" s="1573"/>
      <c r="X20" s="1566"/>
      <c r="Y20" s="3425"/>
      <c r="Z20" s="1574"/>
      <c r="AA20" s="1575">
        <v>1</v>
      </c>
      <c r="AB20" s="1575">
        <v>1</v>
      </c>
      <c r="AC20" s="1575">
        <v>1</v>
      </c>
    </row>
    <row r="21" spans="1:29" ht="20.25" hidden="1">
      <c r="A21" s="531"/>
      <c r="B21" s="559" t="s">
        <v>541</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25"/>
      <c r="Q21" s="1571" t="str">
        <f>B21</f>
        <v>办公集聚程度</v>
      </c>
      <c r="R21" s="1572" t="s">
        <v>8</v>
      </c>
      <c r="S21" s="1573">
        <f>F21</f>
        <v>100</v>
      </c>
      <c r="T21" s="1572" t="s">
        <v>8</v>
      </c>
      <c r="U21" s="1573">
        <f>H21</f>
        <v>100</v>
      </c>
      <c r="V21" s="1572" t="s">
        <v>8</v>
      </c>
      <c r="W21" s="1573">
        <f>J21</f>
        <v>100</v>
      </c>
      <c r="X21" s="1566"/>
      <c r="Y21" s="3425"/>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2"/>
      <c r="M22" s="2132"/>
      <c r="N22" s="2132"/>
      <c r="O22" s="2141"/>
      <c r="P22" s="3425"/>
      <c r="Q22" s="1571"/>
      <c r="R22" s="1572"/>
      <c r="S22" s="1573"/>
      <c r="T22" s="1572"/>
      <c r="U22" s="1573"/>
      <c r="V22" s="1572"/>
      <c r="W22" s="1573"/>
      <c r="X22" s="1566"/>
      <c r="Y22" s="3425"/>
      <c r="Z22" s="1574"/>
      <c r="AA22" s="1575">
        <v>1</v>
      </c>
      <c r="AB22" s="1575">
        <v>1</v>
      </c>
      <c r="AC22" s="1575">
        <v>1</v>
      </c>
    </row>
    <row r="23" spans="1:29" ht="85.5">
      <c r="A23" s="531"/>
      <c r="B23" s="559" t="s">
        <v>542</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42"/>
      <c r="M23" s="2132"/>
      <c r="N23" s="2132"/>
      <c r="O23" s="2141"/>
      <c r="P23" s="3425"/>
      <c r="Q23" s="1571" t="str">
        <f>B23</f>
        <v>交通便捷度</v>
      </c>
      <c r="R23" s="1572" t="s">
        <v>8</v>
      </c>
      <c r="S23" s="1573">
        <f>F23</f>
        <v>100</v>
      </c>
      <c r="T23" s="1572" t="s">
        <v>8</v>
      </c>
      <c r="U23" s="1573">
        <f>H23</f>
        <v>100</v>
      </c>
      <c r="V23" s="1572" t="s">
        <v>8</v>
      </c>
      <c r="W23" s="1573">
        <f>J23</f>
        <v>100</v>
      </c>
      <c r="X23" s="1566"/>
      <c r="Y23" s="3425"/>
      <c r="Z23" s="1574" t="str">
        <f>Q23</f>
        <v>交通便捷度</v>
      </c>
      <c r="AA23" s="1575">
        <f t="shared" si="3"/>
        <v>1</v>
      </c>
      <c r="AB23" s="1575">
        <f t="shared" si="4"/>
        <v>1</v>
      </c>
      <c r="AC23" s="1575">
        <f t="shared" si="5"/>
        <v>1</v>
      </c>
    </row>
    <row r="24" spans="1:29" ht="20.25">
      <c r="A24" s="531"/>
      <c r="B24" s="577"/>
      <c r="C24" s="553"/>
      <c r="D24" s="556"/>
      <c r="E24" s="557"/>
      <c r="F24" s="554"/>
      <c r="G24" s="555"/>
      <c r="H24" s="554"/>
      <c r="I24" s="557"/>
      <c r="J24" s="554"/>
      <c r="K24" s="530"/>
      <c r="L24" s="2142"/>
      <c r="M24" s="2132"/>
      <c r="N24" s="2132"/>
      <c r="O24" s="2141"/>
      <c r="P24" s="3425"/>
      <c r="Q24" s="1571"/>
      <c r="R24" s="1572"/>
      <c r="S24" s="1573"/>
      <c r="T24" s="1572"/>
      <c r="U24" s="1573"/>
      <c r="V24" s="1572"/>
      <c r="W24" s="1573"/>
      <c r="X24" s="1566"/>
      <c r="Y24" s="3425"/>
      <c r="Z24" s="1574"/>
      <c r="AA24" s="1575">
        <v>1</v>
      </c>
      <c r="AB24" s="1575">
        <v>1</v>
      </c>
      <c r="AC24" s="1575">
        <v>1</v>
      </c>
    </row>
    <row r="25" spans="1:29" ht="27">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42"/>
      <c r="M25" s="2132"/>
      <c r="N25" s="2132"/>
      <c r="O25" s="2141"/>
      <c r="P25" s="3425"/>
      <c r="Q25" s="1571" t="str">
        <f t="shared" ref="Q25:Q39" si="8">B25</f>
        <v>区域土地利用方向</v>
      </c>
      <c r="R25" s="1572" t="s">
        <v>8</v>
      </c>
      <c r="S25" s="1573">
        <f>F25</f>
        <v>100</v>
      </c>
      <c r="T25" s="1572" t="s">
        <v>8</v>
      </c>
      <c r="U25" s="1573">
        <f>H25</f>
        <v>100</v>
      </c>
      <c r="V25" s="1572" t="s">
        <v>8</v>
      </c>
      <c r="W25" s="1573">
        <f>J25</f>
        <v>100</v>
      </c>
      <c r="X25" s="1566"/>
      <c r="Y25" s="3425"/>
      <c r="Z25" s="1574" t="str">
        <f>Q25</f>
        <v>区域土地利用方向</v>
      </c>
      <c r="AA25" s="1575">
        <f t="shared" si="3"/>
        <v>1</v>
      </c>
      <c r="AB25" s="1575">
        <f t="shared" si="4"/>
        <v>1</v>
      </c>
      <c r="AC25" s="1575">
        <f t="shared" si="5"/>
        <v>1</v>
      </c>
    </row>
    <row r="26" spans="1:29" ht="20.25">
      <c r="A26" s="514"/>
      <c r="B26" s="1005"/>
      <c r="C26" s="553"/>
      <c r="D26" s="556"/>
      <c r="E26" s="557"/>
      <c r="F26" s="554"/>
      <c r="G26" s="555"/>
      <c r="H26" s="554"/>
      <c r="I26" s="557"/>
      <c r="J26" s="554"/>
      <c r="K26" s="530"/>
      <c r="L26" s="2142"/>
      <c r="M26" s="2132"/>
      <c r="N26" s="2132"/>
      <c r="O26" s="2141"/>
      <c r="P26" s="3425"/>
      <c r="Q26" s="1571"/>
      <c r="R26" s="1572"/>
      <c r="S26" s="1573"/>
      <c r="T26" s="1572"/>
      <c r="U26" s="1573"/>
      <c r="V26" s="1572"/>
      <c r="W26" s="1573"/>
      <c r="X26" s="1566"/>
      <c r="Y26" s="3425"/>
      <c r="Z26" s="1574"/>
      <c r="AA26" s="1575"/>
      <c r="AB26" s="1575"/>
      <c r="AC26" s="1575"/>
    </row>
    <row r="27" spans="1:29" ht="27">
      <c r="A27" s="514"/>
      <c r="B27" s="577" t="s">
        <v>544</v>
      </c>
      <c r="C27" s="560">
        <f>估价对象房地状况!C20</f>
        <v>0</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42"/>
      <c r="M27" s="2132"/>
      <c r="N27" s="2132"/>
      <c r="O27" s="2141"/>
      <c r="P27" s="3425"/>
      <c r="Q27" s="1571" t="str">
        <f t="shared" si="8"/>
        <v>自然及人文环境状况</v>
      </c>
      <c r="R27" s="1572" t="s">
        <v>8</v>
      </c>
      <c r="S27" s="1573">
        <f>F27</f>
        <v>100</v>
      </c>
      <c r="T27" s="1572" t="s">
        <v>8</v>
      </c>
      <c r="U27" s="1573">
        <f>H27</f>
        <v>100</v>
      </c>
      <c r="V27" s="1572" t="s">
        <v>8</v>
      </c>
      <c r="W27" s="1573">
        <f>J27</f>
        <v>100</v>
      </c>
      <c r="X27" s="1566"/>
      <c r="Y27" s="3425"/>
      <c r="Z27" s="1574" t="str">
        <f>Q27</f>
        <v>自然及人文环境状况</v>
      </c>
      <c r="AA27" s="1575">
        <f t="shared" si="3"/>
        <v>1</v>
      </c>
      <c r="AB27" s="1575">
        <f t="shared" si="4"/>
        <v>1</v>
      </c>
      <c r="AC27" s="1575">
        <f t="shared" si="5"/>
        <v>1</v>
      </c>
    </row>
    <row r="28" spans="1:29" ht="20.25">
      <c r="A28" s="514"/>
      <c r="B28" s="565"/>
      <c r="C28" s="553"/>
      <c r="D28" s="556"/>
      <c r="E28" s="575"/>
      <c r="F28" s="554"/>
      <c r="G28" s="553"/>
      <c r="H28" s="554"/>
      <c r="I28" s="575"/>
      <c r="J28" s="554"/>
      <c r="K28" s="530"/>
      <c r="L28" s="2142"/>
      <c r="M28" s="2132"/>
      <c r="N28" s="2132"/>
      <c r="O28" s="2141"/>
      <c r="P28" s="3425"/>
      <c r="Q28" s="1571"/>
      <c r="R28" s="1572"/>
      <c r="S28" s="1573"/>
      <c r="T28" s="1572"/>
      <c r="U28" s="1573"/>
      <c r="V28" s="1572"/>
      <c r="W28" s="1573"/>
      <c r="X28" s="1566"/>
      <c r="Y28" s="3425"/>
      <c r="Z28" s="1574"/>
      <c r="AA28" s="1575">
        <v>1</v>
      </c>
      <c r="AB28" s="1575">
        <v>1</v>
      </c>
      <c r="AC28" s="1575">
        <v>1</v>
      </c>
    </row>
    <row r="29" spans="1:29" s="1218" customFormat="1" ht="20.25">
      <c r="A29" s="576"/>
      <c r="B29" s="2591" t="s">
        <v>2545</v>
      </c>
      <c r="C29" s="572">
        <f>估价对象房地状况!C21</f>
        <v>0</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35"/>
      <c r="M29" s="2132"/>
      <c r="N29" s="2132"/>
      <c r="O29" s="2137"/>
      <c r="P29" s="3425"/>
      <c r="Q29" s="1149" t="str">
        <f t="shared" si="8"/>
        <v>公共配套设施</v>
      </c>
      <c r="R29" s="1567" t="s">
        <v>8</v>
      </c>
      <c r="S29" s="1568">
        <f>F29</f>
        <v>100</v>
      </c>
      <c r="T29" s="1567" t="s">
        <v>8</v>
      </c>
      <c r="U29" s="1568">
        <f>H29</f>
        <v>100</v>
      </c>
      <c r="V29" s="1567" t="s">
        <v>8</v>
      </c>
      <c r="W29" s="1568">
        <f>J29</f>
        <v>100</v>
      </c>
      <c r="X29" s="1569"/>
      <c r="Y29" s="3425"/>
      <c r="Z29" s="1148" t="str">
        <f>Q29</f>
        <v>公共配套设施</v>
      </c>
      <c r="AA29" s="1575">
        <f>D29/F29</f>
        <v>1</v>
      </c>
      <c r="AB29" s="1575">
        <f>D29/H29</f>
        <v>1</v>
      </c>
      <c r="AC29" s="1575">
        <f>D29/J29</f>
        <v>1</v>
      </c>
    </row>
    <row r="30" spans="1:29" s="1218" customFormat="1" ht="20.25">
      <c r="A30" s="576"/>
      <c r="B30" s="565"/>
      <c r="C30" s="578"/>
      <c r="D30" s="556"/>
      <c r="E30" s="575"/>
      <c r="F30" s="554"/>
      <c r="G30" s="553"/>
      <c r="H30" s="554"/>
      <c r="I30" s="575"/>
      <c r="J30" s="554"/>
      <c r="K30" s="530"/>
      <c r="L30" s="2135"/>
      <c r="M30" s="2132"/>
      <c r="N30" s="2132"/>
      <c r="O30" s="2137"/>
      <c r="P30" s="3425"/>
      <c r="Q30" s="1149"/>
      <c r="R30" s="1567"/>
      <c r="S30" s="1568"/>
      <c r="T30" s="1567"/>
      <c r="U30" s="1568"/>
      <c r="V30" s="1567"/>
      <c r="W30" s="1568"/>
      <c r="X30" s="1569"/>
      <c r="Y30" s="3425"/>
      <c r="Z30" s="1148"/>
      <c r="AA30" s="1575">
        <v>1</v>
      </c>
      <c r="AB30" s="1575">
        <v>1</v>
      </c>
      <c r="AC30" s="1575">
        <v>1</v>
      </c>
    </row>
    <row r="31" spans="1:29" s="1218" customFormat="1" ht="20.25">
      <c r="A31" s="576"/>
      <c r="B31" s="2591" t="s">
        <v>2546</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5"/>
      <c r="M31" s="2132"/>
      <c r="N31" s="2132"/>
      <c r="O31" s="2137"/>
      <c r="P31" s="3425"/>
      <c r="Q31" s="2578" t="str">
        <f t="shared" ref="Q31" si="9">B31</f>
        <v>基础设施水平</v>
      </c>
      <c r="R31" s="1567" t="s">
        <v>8</v>
      </c>
      <c r="S31" s="1568">
        <f>F31</f>
        <v>100</v>
      </c>
      <c r="T31" s="1567" t="s">
        <v>8</v>
      </c>
      <c r="U31" s="1568">
        <f>H31</f>
        <v>100</v>
      </c>
      <c r="V31" s="1567" t="s">
        <v>8</v>
      </c>
      <c r="W31" s="1568">
        <f>J31</f>
        <v>100</v>
      </c>
      <c r="X31" s="1569"/>
      <c r="Y31" s="3425"/>
      <c r="Z31" s="2575" t="str">
        <f>Q31</f>
        <v>基础设施水平</v>
      </c>
      <c r="AA31" s="1575">
        <f>D31/F31</f>
        <v>1</v>
      </c>
      <c r="AB31" s="1575">
        <f>D31/H31</f>
        <v>1</v>
      </c>
      <c r="AC31" s="1575">
        <f>D31/J31</f>
        <v>1</v>
      </c>
    </row>
    <row r="32" spans="1:29" s="1218" customFormat="1" ht="20.25">
      <c r="A32" s="576"/>
      <c r="B32" s="565"/>
      <c r="C32" s="578" t="s">
        <v>3883</v>
      </c>
      <c r="D32" s="556"/>
      <c r="E32" s="578" t="s">
        <v>3883</v>
      </c>
      <c r="F32" s="554"/>
      <c r="G32" s="578" t="s">
        <v>3883</v>
      </c>
      <c r="H32" s="554"/>
      <c r="I32" s="578" t="s">
        <v>3883</v>
      </c>
      <c r="J32" s="554"/>
      <c r="K32" s="530"/>
      <c r="L32" s="2135"/>
      <c r="M32" s="2132"/>
      <c r="N32" s="2132"/>
      <c r="O32" s="2137"/>
      <c r="P32" s="3425"/>
      <c r="Q32" s="2578"/>
      <c r="R32" s="1567"/>
      <c r="S32" s="1568"/>
      <c r="T32" s="1567"/>
      <c r="U32" s="1568"/>
      <c r="V32" s="1567"/>
      <c r="W32" s="1568"/>
      <c r="X32" s="1569"/>
      <c r="Y32" s="3425"/>
      <c r="Z32" s="2575"/>
      <c r="AA32" s="1575">
        <v>1</v>
      </c>
      <c r="AB32" s="1575">
        <v>1</v>
      </c>
      <c r="AC32" s="1575">
        <v>1</v>
      </c>
    </row>
    <row r="33" spans="1:29" ht="20.25" hidden="1">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2"/>
      <c r="M33" s="2132"/>
      <c r="N33" s="2132"/>
      <c r="O33" s="2141"/>
      <c r="P33" s="3425"/>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5"/>
      <c r="Z33" s="1574" t="str">
        <f t="shared" ref="Z33:Z47" si="13">Q33</f>
        <v>临街状况</v>
      </c>
      <c r="AA33" s="1575">
        <f t="shared" si="3"/>
        <v>1</v>
      </c>
      <c r="AB33" s="1575">
        <f t="shared" si="4"/>
        <v>1</v>
      </c>
      <c r="AC33" s="1575">
        <f t="shared" si="5"/>
        <v>1</v>
      </c>
    </row>
    <row r="34" spans="1:29" ht="27">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42"/>
      <c r="M34" s="2132"/>
      <c r="N34" s="2132"/>
      <c r="O34" s="2141"/>
      <c r="P34" s="3425"/>
      <c r="Q34" s="1571" t="str">
        <f t="shared" si="8"/>
        <v>毗邻道路的类型与等级</v>
      </c>
      <c r="R34" s="1572" t="s">
        <v>8</v>
      </c>
      <c r="S34" s="1573">
        <f t="shared" si="10"/>
        <v>100</v>
      </c>
      <c r="T34" s="1572" t="s">
        <v>8</v>
      </c>
      <c r="U34" s="1573">
        <f t="shared" si="11"/>
        <v>100</v>
      </c>
      <c r="V34" s="1572" t="s">
        <v>8</v>
      </c>
      <c r="W34" s="1573">
        <f t="shared" si="12"/>
        <v>100</v>
      </c>
      <c r="X34" s="1566"/>
      <c r="Y34" s="3425"/>
      <c r="Z34" s="1574" t="str">
        <f t="shared" si="13"/>
        <v>毗邻道路的类型与等级</v>
      </c>
      <c r="AA34" s="1575">
        <f t="shared" si="3"/>
        <v>1</v>
      </c>
      <c r="AB34" s="1575">
        <f t="shared" si="4"/>
        <v>1</v>
      </c>
      <c r="AC34" s="1575">
        <f t="shared" si="5"/>
        <v>1</v>
      </c>
    </row>
    <row r="35" spans="1:29" ht="21" thickBot="1">
      <c r="A35" s="531"/>
      <c r="B35" s="565"/>
      <c r="C35" s="553"/>
      <c r="D35" s="556"/>
      <c r="E35" s="575"/>
      <c r="F35" s="554"/>
      <c r="G35" s="553"/>
      <c r="H35" s="554"/>
      <c r="I35" s="575"/>
      <c r="J35" s="554"/>
      <c r="K35" s="580"/>
      <c r="L35" s="2142"/>
      <c r="M35" s="2132"/>
      <c r="N35" s="2132"/>
      <c r="O35" s="2141"/>
      <c r="P35" s="3425"/>
      <c r="Q35" s="1571"/>
      <c r="R35" s="1572"/>
      <c r="S35" s="1573"/>
      <c r="T35" s="1572"/>
      <c r="U35" s="1573"/>
      <c r="V35" s="1572"/>
      <c r="W35" s="1573"/>
      <c r="X35" s="1566"/>
      <c r="Y35" s="3425"/>
      <c r="Z35" s="1574"/>
      <c r="AA35" s="1575">
        <v>1</v>
      </c>
      <c r="AB35" s="1575">
        <v>1</v>
      </c>
      <c r="AC35" s="1575">
        <v>1</v>
      </c>
    </row>
    <row r="36" spans="1:29" ht="20.25" hidden="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25"/>
      <c r="Q36" s="1571" t="str">
        <f t="shared" si="8"/>
        <v>土地级别</v>
      </c>
      <c r="R36" s="1572" t="s">
        <v>8</v>
      </c>
      <c r="S36" s="1573">
        <f t="shared" si="10"/>
        <v>100</v>
      </c>
      <c r="T36" s="1572" t="s">
        <v>8</v>
      </c>
      <c r="U36" s="1573">
        <f t="shared" si="11"/>
        <v>100</v>
      </c>
      <c r="V36" s="1572" t="s">
        <v>8</v>
      </c>
      <c r="W36" s="1573">
        <f t="shared" si="12"/>
        <v>100</v>
      </c>
      <c r="X36" s="1566"/>
      <c r="Y36" s="3425"/>
      <c r="Z36" s="1574" t="str">
        <f t="shared" si="13"/>
        <v>土地级别</v>
      </c>
      <c r="AA36" s="1575">
        <f t="shared" si="3"/>
        <v>1</v>
      </c>
      <c r="AB36" s="1575">
        <f t="shared" si="4"/>
        <v>1</v>
      </c>
      <c r="AC36" s="1575">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25"/>
      <c r="Q37" s="1571">
        <f t="shared" si="8"/>
        <v>0</v>
      </c>
      <c r="R37" s="1572" t="s">
        <v>8</v>
      </c>
      <c r="S37" s="1573">
        <f t="shared" si="10"/>
        <v>100</v>
      </c>
      <c r="T37" s="1572" t="s">
        <v>8</v>
      </c>
      <c r="U37" s="1573">
        <f t="shared" si="11"/>
        <v>100</v>
      </c>
      <c r="V37" s="1572" t="s">
        <v>8</v>
      </c>
      <c r="W37" s="1573">
        <f t="shared" si="12"/>
        <v>100</v>
      </c>
      <c r="X37" s="1566"/>
      <c r="Y37" s="3425"/>
      <c r="Z37" s="1574">
        <f t="shared" si="13"/>
        <v>0</v>
      </c>
      <c r="AA37" s="1575">
        <f t="shared" si="3"/>
        <v>1</v>
      </c>
      <c r="AB37" s="1575">
        <f t="shared" si="4"/>
        <v>1</v>
      </c>
      <c r="AC37" s="1575">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26" t="s">
        <v>549</v>
      </c>
      <c r="Q38" s="1571">
        <f t="shared" si="8"/>
        <v>0</v>
      </c>
      <c r="R38" s="1572" t="s">
        <v>8</v>
      </c>
      <c r="S38" s="1573">
        <f t="shared" si="10"/>
        <v>100</v>
      </c>
      <c r="T38" s="1572" t="s">
        <v>8</v>
      </c>
      <c r="U38" s="1573">
        <f t="shared" si="11"/>
        <v>100</v>
      </c>
      <c r="V38" s="1572" t="s">
        <v>8</v>
      </c>
      <c r="W38" s="1573">
        <f t="shared" si="12"/>
        <v>100</v>
      </c>
      <c r="X38" s="1566"/>
      <c r="Y38" s="3427" t="s">
        <v>549</v>
      </c>
      <c r="Z38" s="1574">
        <f t="shared" si="13"/>
        <v>0</v>
      </c>
      <c r="AA38" s="1575">
        <f t="shared" si="3"/>
        <v>1</v>
      </c>
      <c r="AB38" s="1575">
        <f t="shared" si="4"/>
        <v>1</v>
      </c>
      <c r="AC38" s="1575">
        <f t="shared" si="5"/>
        <v>1</v>
      </c>
    </row>
    <row r="39" spans="1:29" s="1337"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27"/>
      <c r="Q39" s="1571">
        <f t="shared" si="8"/>
        <v>0</v>
      </c>
      <c r="R39" s="1576" t="s">
        <v>8</v>
      </c>
      <c r="S39" s="1577">
        <f t="shared" si="10"/>
        <v>100</v>
      </c>
      <c r="T39" s="1576" t="s">
        <v>8</v>
      </c>
      <c r="U39" s="1577">
        <f t="shared" si="11"/>
        <v>100</v>
      </c>
      <c r="V39" s="1576" t="s">
        <v>8</v>
      </c>
      <c r="W39" s="1577">
        <f t="shared" si="12"/>
        <v>100</v>
      </c>
      <c r="X39" s="1578"/>
      <c r="Y39" s="3427"/>
      <c r="Z39" s="1579">
        <f t="shared" si="13"/>
        <v>0</v>
      </c>
      <c r="AA39" s="1575">
        <f t="shared" si="3"/>
        <v>1</v>
      </c>
      <c r="AB39" s="1575">
        <f t="shared" si="4"/>
        <v>1</v>
      </c>
      <c r="AC39" s="1575">
        <f t="shared" si="5"/>
        <v>1</v>
      </c>
    </row>
    <row r="40" spans="1:29" ht="20.25">
      <c r="A40" s="2907" t="s">
        <v>2751</v>
      </c>
      <c r="B40" s="594" t="s">
        <v>551</v>
      </c>
      <c r="C40" s="595">
        <f>'数据-汇总表'!D3</f>
        <v>117823.1</v>
      </c>
      <c r="D40" s="596">
        <v>100</v>
      </c>
      <c r="E40" s="595"/>
      <c r="F40" s="596">
        <f>LOOKUP(E40,119:119,120:120)-LOOKUP(C40,119:119,120:120)+100</f>
        <v>100</v>
      </c>
      <c r="G40" s="595"/>
      <c r="H40" s="596">
        <f>LOOKUP(G40,119:119,120:120)-LOOKUP(C40,119:119,120:120)+100</f>
        <v>100</v>
      </c>
      <c r="I40" s="597"/>
      <c r="J40" s="596">
        <f>LOOKUP(I40,119:119,120:120)-LOOKUP(C40,119:119,120:120)+100</f>
        <v>100</v>
      </c>
      <c r="K40" s="580"/>
      <c r="L40" s="2142"/>
      <c r="M40" s="2132"/>
      <c r="N40" s="2132"/>
      <c r="O40" s="2141"/>
      <c r="P40" s="3427"/>
      <c r="Q40" s="1571" t="str">
        <f>B40</f>
        <v>宗地面积</v>
      </c>
      <c r="R40" s="1572" t="s">
        <v>8</v>
      </c>
      <c r="S40" s="1573">
        <f t="shared" si="10"/>
        <v>100</v>
      </c>
      <c r="T40" s="1572" t="s">
        <v>8</v>
      </c>
      <c r="U40" s="1573">
        <f t="shared" si="11"/>
        <v>100</v>
      </c>
      <c r="V40" s="1572" t="s">
        <v>8</v>
      </c>
      <c r="W40" s="1573">
        <f t="shared" si="12"/>
        <v>100</v>
      </c>
      <c r="X40" s="1566"/>
      <c r="Y40" s="3427"/>
      <c r="Z40" s="1574" t="str">
        <f t="shared" si="13"/>
        <v>宗地面积</v>
      </c>
      <c r="AA40" s="1575">
        <f t="shared" si="3"/>
        <v>1</v>
      </c>
      <c r="AB40" s="1575">
        <f t="shared" si="4"/>
        <v>1</v>
      </c>
      <c r="AC40" s="1575">
        <f t="shared" si="5"/>
        <v>1</v>
      </c>
    </row>
    <row r="41" spans="1:29" ht="20.25">
      <c r="A41" s="593"/>
      <c r="B41" s="526" t="s">
        <v>552</v>
      </c>
      <c r="C41" s="598" t="s">
        <v>3028</v>
      </c>
      <c r="D41" s="539">
        <v>100</v>
      </c>
      <c r="E41" s="598" t="s">
        <v>3028</v>
      </c>
      <c r="F41" s="539">
        <f>SUMIF(121:121,E41,122:122)-SUMIF(121:121,C41,122:122)+100</f>
        <v>100</v>
      </c>
      <c r="G41" s="598" t="s">
        <v>3028</v>
      </c>
      <c r="H41" s="539">
        <f>SUMIF(121:121,G41,122:122)-SUMIF(121:121,C41,122:122)+100</f>
        <v>100</v>
      </c>
      <c r="I41" s="598" t="s">
        <v>3028</v>
      </c>
      <c r="J41" s="539">
        <f>SUMIF(121:121,I41,122:122)-SUMIF(121:121,C41,122:122)+100</f>
        <v>100</v>
      </c>
      <c r="K41" s="583">
        <v>2</v>
      </c>
      <c r="L41" s="2142"/>
      <c r="M41" s="2132"/>
      <c r="N41" s="2132"/>
      <c r="O41" s="2141"/>
      <c r="P41" s="3427"/>
      <c r="Q41" s="1571" t="str">
        <f t="shared" ref="Q41:Q47" si="14">B41</f>
        <v>宗地形状</v>
      </c>
      <c r="R41" s="1572" t="s">
        <v>8</v>
      </c>
      <c r="S41" s="1573">
        <f t="shared" si="10"/>
        <v>100</v>
      </c>
      <c r="T41" s="1572" t="s">
        <v>8</v>
      </c>
      <c r="U41" s="1573">
        <f t="shared" si="11"/>
        <v>100</v>
      </c>
      <c r="V41" s="1572" t="s">
        <v>8</v>
      </c>
      <c r="W41" s="1573">
        <f t="shared" si="12"/>
        <v>100</v>
      </c>
      <c r="X41" s="1566"/>
      <c r="Y41" s="3427"/>
      <c r="Z41" s="1574" t="str">
        <f t="shared" si="13"/>
        <v>宗地形状</v>
      </c>
      <c r="AA41" s="1575">
        <f t="shared" si="3"/>
        <v>1</v>
      </c>
      <c r="AB41" s="1575">
        <f t="shared" si="4"/>
        <v>1</v>
      </c>
      <c r="AC41" s="1575">
        <f t="shared" si="5"/>
        <v>1</v>
      </c>
    </row>
    <row r="42" spans="1:29" ht="20.25" hidden="1">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2"/>
      <c r="M42" s="2132"/>
      <c r="N42" s="2132"/>
      <c r="O42" s="2141"/>
      <c r="P42" s="3427"/>
      <c r="Q42" s="1571" t="str">
        <f t="shared" si="14"/>
        <v>临街宽度及深度</v>
      </c>
      <c r="R42" s="1572" t="s">
        <v>8</v>
      </c>
      <c r="S42" s="1573">
        <f t="shared" si="10"/>
        <v>100</v>
      </c>
      <c r="T42" s="1572" t="s">
        <v>8</v>
      </c>
      <c r="U42" s="1573">
        <f t="shared" si="11"/>
        <v>100</v>
      </c>
      <c r="V42" s="1572" t="s">
        <v>8</v>
      </c>
      <c r="W42" s="1573">
        <f t="shared" si="12"/>
        <v>100</v>
      </c>
      <c r="X42" s="1566"/>
      <c r="Y42" s="3427"/>
      <c r="Z42" s="1574" t="str">
        <f t="shared" si="13"/>
        <v>临街宽度及深度</v>
      </c>
      <c r="AA42" s="1575">
        <f t="shared" si="3"/>
        <v>1</v>
      </c>
      <c r="AB42" s="1575">
        <f t="shared" si="4"/>
        <v>1</v>
      </c>
      <c r="AC42" s="1575">
        <f t="shared" si="5"/>
        <v>1</v>
      </c>
    </row>
    <row r="43" spans="1:29" s="1218" customFormat="1" ht="20.25">
      <c r="A43" s="599"/>
      <c r="B43" s="1895" t="s">
        <v>2422</v>
      </c>
      <c r="C43" s="600" t="s">
        <v>3023</v>
      </c>
      <c r="D43" s="254">
        <v>100</v>
      </c>
      <c r="E43" s="600" t="s">
        <v>3023</v>
      </c>
      <c r="F43" s="539">
        <f>SUMIF(125:125,E43,126:126)-SUMIF(125:125,C43,126:126)+100</f>
        <v>100</v>
      </c>
      <c r="G43" s="600" t="s">
        <v>3023</v>
      </c>
      <c r="H43" s="539">
        <f>SUMIF(125:125,G43,126:126)-SUMIF(125:125,C43,126:126)+100</f>
        <v>100</v>
      </c>
      <c r="I43" s="600" t="s">
        <v>3023</v>
      </c>
      <c r="J43" s="539">
        <f>SUMIF(125:125,I43,126:126)-SUMIF(125:125,C43,126:126)+100</f>
        <v>100</v>
      </c>
      <c r="K43" s="583">
        <v>2</v>
      </c>
      <c r="L43" s="2135"/>
      <c r="M43" s="2132"/>
      <c r="N43" s="2132"/>
      <c r="O43" s="2137"/>
      <c r="P43" s="3427"/>
      <c r="Q43" s="1571" t="str">
        <f t="shared" si="14"/>
        <v>宗地开发程度</v>
      </c>
      <c r="R43" s="1567" t="s">
        <v>8</v>
      </c>
      <c r="S43" s="1568">
        <f t="shared" si="10"/>
        <v>100</v>
      </c>
      <c r="T43" s="1567" t="s">
        <v>8</v>
      </c>
      <c r="U43" s="1568">
        <f t="shared" si="11"/>
        <v>100</v>
      </c>
      <c r="V43" s="1567" t="s">
        <v>8</v>
      </c>
      <c r="W43" s="1568">
        <f t="shared" si="12"/>
        <v>100</v>
      </c>
      <c r="X43" s="1569"/>
      <c r="Y43" s="3427"/>
      <c r="Z43" s="1148" t="str">
        <f t="shared" si="13"/>
        <v>宗地开发程度</v>
      </c>
      <c r="AA43" s="1570">
        <f t="shared" si="3"/>
        <v>1</v>
      </c>
      <c r="AB43" s="1570">
        <f t="shared" si="4"/>
        <v>1</v>
      </c>
      <c r="AC43" s="1570">
        <f t="shared" si="5"/>
        <v>1</v>
      </c>
    </row>
    <row r="44" spans="1:29" ht="21" thickBot="1">
      <c r="A44" s="593"/>
      <c r="B44" s="526" t="s">
        <v>554</v>
      </c>
      <c r="C44" s="598" t="s">
        <v>3021</v>
      </c>
      <c r="D44" s="539">
        <v>100</v>
      </c>
      <c r="E44" s="598" t="s">
        <v>3021</v>
      </c>
      <c r="F44" s="539">
        <f>SUMIF(127:127,E44,128:128)-SUMIF(127:127,C44,128:128)+100</f>
        <v>100</v>
      </c>
      <c r="G44" s="598" t="s">
        <v>3021</v>
      </c>
      <c r="H44" s="539">
        <f>SUMIF(127:127,G44,128:128)-SUMIF(127:127,C44,128:128)+100</f>
        <v>100</v>
      </c>
      <c r="I44" s="598" t="s">
        <v>3021</v>
      </c>
      <c r="J44" s="539">
        <f>SUMIF(127:127,I44,128:128)-SUMIF(127:127,C44,128:128)+100</f>
        <v>100</v>
      </c>
      <c r="K44" s="583">
        <v>2</v>
      </c>
      <c r="L44" s="2142"/>
      <c r="M44" s="2132"/>
      <c r="N44" s="2132"/>
      <c r="O44" s="2141"/>
      <c r="P44" s="3427" t="s">
        <v>549</v>
      </c>
      <c r="Q44" s="1571" t="str">
        <f t="shared" si="14"/>
        <v>工程地质条件</v>
      </c>
      <c r="R44" s="1572" t="s">
        <v>8</v>
      </c>
      <c r="S44" s="1573">
        <f t="shared" si="10"/>
        <v>100</v>
      </c>
      <c r="T44" s="1572" t="s">
        <v>8</v>
      </c>
      <c r="U44" s="1573">
        <f t="shared" si="11"/>
        <v>100</v>
      </c>
      <c r="V44" s="1572" t="s">
        <v>8</v>
      </c>
      <c r="W44" s="1573">
        <f t="shared" si="12"/>
        <v>100</v>
      </c>
      <c r="X44" s="1566"/>
      <c r="Y44" s="3427" t="s">
        <v>549</v>
      </c>
      <c r="Z44" s="1574" t="str">
        <f t="shared" si="13"/>
        <v>工程地质条件</v>
      </c>
      <c r="AA44" s="1575">
        <f t="shared" si="3"/>
        <v>1</v>
      </c>
      <c r="AB44" s="1575">
        <f t="shared" si="4"/>
        <v>1</v>
      </c>
      <c r="AC44" s="1575">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27"/>
      <c r="Q45" s="1571">
        <f t="shared" si="14"/>
        <v>0</v>
      </c>
      <c r="R45" s="1572" t="s">
        <v>8</v>
      </c>
      <c r="S45" s="1573">
        <f t="shared" si="10"/>
        <v>100</v>
      </c>
      <c r="T45" s="1572" t="s">
        <v>8</v>
      </c>
      <c r="U45" s="1573">
        <f t="shared" si="11"/>
        <v>100</v>
      </c>
      <c r="V45" s="1572" t="s">
        <v>8</v>
      </c>
      <c r="W45" s="1573">
        <f t="shared" si="12"/>
        <v>100</v>
      </c>
      <c r="X45" s="1566"/>
      <c r="Y45" s="3427"/>
      <c r="Z45" s="1574">
        <f t="shared" si="13"/>
        <v>0</v>
      </c>
      <c r="AA45" s="1575">
        <f t="shared" si="3"/>
        <v>1</v>
      </c>
      <c r="AB45" s="1575">
        <f t="shared" si="4"/>
        <v>1</v>
      </c>
      <c r="AC45" s="1575">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27"/>
      <c r="Q46" s="1571">
        <f t="shared" si="14"/>
        <v>0</v>
      </c>
      <c r="R46" s="1572" t="s">
        <v>8</v>
      </c>
      <c r="S46" s="1573">
        <f t="shared" si="10"/>
        <v>100</v>
      </c>
      <c r="T46" s="1572" t="s">
        <v>8</v>
      </c>
      <c r="U46" s="1573">
        <f t="shared" si="11"/>
        <v>100</v>
      </c>
      <c r="V46" s="1572" t="s">
        <v>8</v>
      </c>
      <c r="W46" s="1573">
        <f t="shared" si="12"/>
        <v>100</v>
      </c>
      <c r="X46" s="1566"/>
      <c r="Y46" s="3427"/>
      <c r="Z46" s="1574">
        <f t="shared" si="13"/>
        <v>0</v>
      </c>
      <c r="AA46" s="1575">
        <f t="shared" si="3"/>
        <v>1</v>
      </c>
      <c r="AB46" s="1575">
        <f t="shared" si="4"/>
        <v>1</v>
      </c>
      <c r="AC46" s="1575">
        <f t="shared" si="5"/>
        <v>1</v>
      </c>
    </row>
    <row r="47" spans="1:29" s="1337"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27"/>
      <c r="Q47" s="1571">
        <f t="shared" si="14"/>
        <v>0</v>
      </c>
      <c r="R47" s="1576" t="s">
        <v>8</v>
      </c>
      <c r="S47" s="1577">
        <f t="shared" si="10"/>
        <v>100</v>
      </c>
      <c r="T47" s="1576" t="s">
        <v>8</v>
      </c>
      <c r="U47" s="1577">
        <f t="shared" si="11"/>
        <v>100</v>
      </c>
      <c r="V47" s="1576" t="s">
        <v>8</v>
      </c>
      <c r="W47" s="1577">
        <f t="shared" si="12"/>
        <v>100</v>
      </c>
      <c r="X47" s="1578"/>
      <c r="Y47" s="3427"/>
      <c r="Z47" s="1579">
        <f t="shared" si="13"/>
        <v>0</v>
      </c>
      <c r="AA47" s="1575">
        <f t="shared" si="3"/>
        <v>1</v>
      </c>
      <c r="AB47" s="1575">
        <f t="shared" si="4"/>
        <v>1</v>
      </c>
      <c r="AC47" s="1575">
        <f t="shared" si="5"/>
        <v>1</v>
      </c>
    </row>
    <row r="48" spans="1:29" ht="20.25">
      <c r="A48" s="606" t="s">
        <v>555</v>
      </c>
      <c r="B48" s="607" t="s">
        <v>3020</v>
      </c>
      <c r="C48" s="608" t="s">
        <v>1</v>
      </c>
      <c r="D48" s="609"/>
      <c r="E48" s="610"/>
      <c r="F48" s="611"/>
      <c r="G48" s="612"/>
      <c r="H48" s="613"/>
      <c r="I48" s="610"/>
      <c r="J48" s="613"/>
      <c r="K48" s="1338"/>
      <c r="L48" s="2144"/>
      <c r="M48" s="2132"/>
      <c r="N48" s="2132"/>
      <c r="O48" s="2145"/>
      <c r="P48" s="3390" t="str">
        <f>A48</f>
        <v>成交单价</v>
      </c>
      <c r="Q48" s="3390"/>
      <c r="R48" s="3391">
        <f>E48</f>
        <v>0</v>
      </c>
      <c r="S48" s="3391"/>
      <c r="T48" s="3391">
        <f>G48</f>
        <v>0</v>
      </c>
      <c r="U48" s="3391"/>
      <c r="V48" s="3391">
        <f>I48</f>
        <v>0</v>
      </c>
      <c r="W48" s="3391"/>
      <c r="X48" s="1558"/>
      <c r="Y48" s="1580"/>
      <c r="Z48" s="1558"/>
      <c r="AA48" s="1558"/>
      <c r="AB48" s="1558"/>
      <c r="AC48" s="1558"/>
    </row>
    <row r="49" spans="1:29" ht="21" thickBot="1">
      <c r="A49" s="614" t="s">
        <v>2689</v>
      </c>
      <c r="B49" s="615"/>
      <c r="C49" s="616" t="e">
        <f>R50</f>
        <v>#DIV/0!</v>
      </c>
      <c r="D49" s="617"/>
      <c r="E49" s="616" t="e">
        <f>R49</f>
        <v>#DIV/0!</v>
      </c>
      <c r="F49" s="618"/>
      <c r="G49" s="619" t="e">
        <f>T49</f>
        <v>#DIV/0!</v>
      </c>
      <c r="H49" s="617"/>
      <c r="I49" s="616" t="e">
        <f>V49</f>
        <v>#DIV/0!</v>
      </c>
      <c r="J49" s="617"/>
      <c r="K49" s="1339"/>
      <c r="L49" s="2144"/>
      <c r="M49" s="2132"/>
      <c r="N49" s="2132"/>
      <c r="O49" s="2145"/>
      <c r="P49" s="3390" t="str">
        <f>A49</f>
        <v>比较价格（元/平方米）</v>
      </c>
      <c r="Q49" s="3390"/>
      <c r="R49" s="3392" t="e">
        <f>ROUND(PRODUCT(R48,AA9:AA47),0)</f>
        <v>#DIV/0!</v>
      </c>
      <c r="S49" s="3392"/>
      <c r="T49" s="3392" t="e">
        <f>ROUND(PRODUCT(T48,AB9:AB47),0)</f>
        <v>#DIV/0!</v>
      </c>
      <c r="U49" s="3392"/>
      <c r="V49" s="3392" t="e">
        <f>ROUND(PRODUCT(V48,AC9:AC47),0)</f>
        <v>#DIV/0!</v>
      </c>
      <c r="W49" s="3392"/>
      <c r="X49" s="1558"/>
      <c r="Y49" s="1558"/>
      <c r="Z49" s="1558"/>
      <c r="AA49" s="1558"/>
      <c r="AB49" s="1558"/>
      <c r="AC49" s="1558"/>
    </row>
    <row r="50" spans="1:29" ht="21" thickBot="1">
      <c r="A50" s="620" t="s">
        <v>2922</v>
      </c>
      <c r="B50" s="621"/>
      <c r="C50" s="622" t="e">
        <f>R50</f>
        <v>#DIV/0!</v>
      </c>
      <c r="D50" s="622"/>
      <c r="E50" s="622"/>
      <c r="F50" s="622"/>
      <c r="G50" s="622"/>
      <c r="H50" s="622"/>
      <c r="I50" s="622"/>
      <c r="J50" s="622"/>
      <c r="K50" s="1340"/>
      <c r="L50" s="2144"/>
      <c r="M50" s="2132"/>
      <c r="N50" s="2132"/>
      <c r="O50" s="2145"/>
      <c r="P50" s="3387" t="str">
        <f>A50</f>
        <v>估价对象XX用房的比较价格（楼面单价，元/平方米）</v>
      </c>
      <c r="Q50" s="3388"/>
      <c r="R50" s="3389" t="e">
        <f>ROUND(AVERAGE(R49:V49),0)</f>
        <v>#DIV/0!</v>
      </c>
      <c r="S50" s="3389"/>
      <c r="T50" s="3389"/>
      <c r="U50" s="3389"/>
      <c r="V50" s="3389"/>
      <c r="W50" s="3389"/>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559</v>
      </c>
      <c r="B57" s="629" t="s">
        <v>560</v>
      </c>
      <c r="C57" s="1559" t="s">
        <v>1724</v>
      </c>
      <c r="D57" s="2227" t="s">
        <v>2293</v>
      </c>
      <c r="E57" s="630" t="s">
        <v>561</v>
      </c>
      <c r="F57" s="631" t="s">
        <v>562</v>
      </c>
      <c r="G57" s="3416" t="s">
        <v>2281</v>
      </c>
      <c r="H57" s="3417"/>
      <c r="I57" s="1554" t="s">
        <v>1722</v>
      </c>
      <c r="J57" s="1554" t="str">
        <f>项目基本情况!F41</f>
        <v>江苏省镇江市</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2" t="s">
        <v>563</v>
      </c>
      <c r="B58" s="633" t="e">
        <f>C50</f>
        <v>#DIV/0!</v>
      </c>
      <c r="C58" s="634">
        <v>1</v>
      </c>
      <c r="D58" s="2228">
        <v>1</v>
      </c>
      <c r="E58" s="634">
        <f>'数据-汇总表'!E8+'数据-汇总表'!E9</f>
        <v>412380.85000000003</v>
      </c>
      <c r="F58" s="635" t="e">
        <f t="shared" ref="F58:F67" si="15">ROUND(B58*E58/10000,0)</f>
        <v>#DIV/0!</v>
      </c>
      <c r="G58" s="3418"/>
      <c r="H58" s="3419"/>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564</v>
      </c>
      <c r="B59" s="637" t="e">
        <f>ROUND($C$50*C59*D59,0)</f>
        <v>#DIV/0!</v>
      </c>
      <c r="C59" s="377">
        <f t="shared" ref="C59:C67" si="16">IF($C$57="北京市系数",I59,J59)</f>
        <v>0</v>
      </c>
      <c r="D59" s="2229">
        <v>0.25</v>
      </c>
      <c r="E59" s="638">
        <v>0</v>
      </c>
      <c r="F59" s="635" t="e">
        <f t="shared" si="15"/>
        <v>#DIV/0!</v>
      </c>
      <c r="G59" s="3420"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565</v>
      </c>
      <c r="B60" s="637" t="e">
        <f t="shared" ref="B60:B67" si="17">ROUND($C$50*C60*D60,0)</f>
        <v>#DIV/0!</v>
      </c>
      <c r="C60" s="377">
        <f t="shared" si="16"/>
        <v>0</v>
      </c>
      <c r="D60" s="2229">
        <v>0.25</v>
      </c>
      <c r="E60" s="638">
        <v>0</v>
      </c>
      <c r="F60" s="635" t="e">
        <f t="shared" si="15"/>
        <v>#DIV/0!</v>
      </c>
      <c r="G60" s="3420"/>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566</v>
      </c>
      <c r="B61" s="637" t="e">
        <f t="shared" si="17"/>
        <v>#DIV/0!</v>
      </c>
      <c r="C61" s="377">
        <f t="shared" si="16"/>
        <v>0</v>
      </c>
      <c r="D61" s="2229">
        <v>0.25</v>
      </c>
      <c r="E61" s="638">
        <v>0</v>
      </c>
      <c r="F61" s="635" t="e">
        <f t="shared" si="15"/>
        <v>#DIV/0!</v>
      </c>
      <c r="G61" s="3420"/>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6" t="s">
        <v>567</v>
      </c>
      <c r="B62" s="637" t="e">
        <f t="shared" si="17"/>
        <v>#DIV/0!</v>
      </c>
      <c r="C62" s="377">
        <f t="shared" si="16"/>
        <v>0</v>
      </c>
      <c r="D62" s="2229">
        <v>0.25</v>
      </c>
      <c r="E62" s="638">
        <v>0</v>
      </c>
      <c r="F62" s="635" t="e">
        <f t="shared" si="15"/>
        <v>#DIV/0!</v>
      </c>
      <c r="G62" s="3420"/>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2327</v>
      </c>
      <c r="B63" s="637" t="e">
        <f t="shared" si="17"/>
        <v>#DIV/0!</v>
      </c>
      <c r="C63" s="377">
        <f t="shared" si="16"/>
        <v>0</v>
      </c>
      <c r="D63" s="2229">
        <v>0.25</v>
      </c>
      <c r="E63" s="640">
        <f>'数据-汇总表'!E11</f>
        <v>0</v>
      </c>
      <c r="F63" s="635" t="e">
        <f t="shared" si="15"/>
        <v>#DIV/0!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6" t="s">
        <v>568</v>
      </c>
      <c r="B64" s="637" t="e">
        <f t="shared" si="17"/>
        <v>#DIV/0!</v>
      </c>
      <c r="C64" s="377">
        <f t="shared" si="16"/>
        <v>0</v>
      </c>
      <c r="D64" s="2229">
        <v>0.25</v>
      </c>
      <c r="E64" s="640">
        <f>'数据-汇总表'!E12</f>
        <v>0</v>
      </c>
      <c r="F64" s="635" t="e">
        <f t="shared" si="15"/>
        <v>#DIV/0!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6" t="s">
        <v>569</v>
      </c>
      <c r="B65" s="637" t="e">
        <f t="shared" si="17"/>
        <v>#DIV/0!</v>
      </c>
      <c r="C65" s="377">
        <f t="shared" si="16"/>
        <v>0</v>
      </c>
      <c r="D65" s="2229">
        <v>0.25</v>
      </c>
      <c r="E65" s="640">
        <f>'数据-汇总表'!E13</f>
        <v>0</v>
      </c>
      <c r="F65" s="635" t="e">
        <f t="shared" si="15"/>
        <v>#DIV/0!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6" t="s">
        <v>570</v>
      </c>
      <c r="B66" s="637" t="e">
        <f t="shared" si="17"/>
        <v>#DIV/0!</v>
      </c>
      <c r="C66" s="377">
        <f t="shared" si="16"/>
        <v>0</v>
      </c>
      <c r="D66" s="2229">
        <v>0.25</v>
      </c>
      <c r="E66" s="640">
        <f>'数据-汇总表'!E14</f>
        <v>0</v>
      </c>
      <c r="F66" s="635" t="e">
        <f t="shared" si="15"/>
        <v>#DIV/0!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6" t="s">
        <v>571</v>
      </c>
      <c r="B67" s="637" t="e">
        <f t="shared" si="17"/>
        <v>#DIV/0!</v>
      </c>
      <c r="C67" s="377">
        <f t="shared" si="16"/>
        <v>0</v>
      </c>
      <c r="D67" s="2229">
        <v>0.25</v>
      </c>
      <c r="E67" s="640">
        <f>'数据-汇总表'!E15</f>
        <v>0</v>
      </c>
      <c r="F67" s="635" t="e">
        <f t="shared" si="15"/>
        <v>#DIV/0!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1" t="s">
        <v>572</v>
      </c>
      <c r="B68" s="642" t="s">
        <v>17</v>
      </c>
      <c r="C68" s="642" t="s">
        <v>18</v>
      </c>
      <c r="D68" s="642" t="s">
        <v>2294</v>
      </c>
      <c r="E68" s="642">
        <f>IF(B48="楼面地价",SUM(E58:E67),'数据-汇总表'!D3)</f>
        <v>412380.85000000003</v>
      </c>
      <c r="F68" s="643" t="e">
        <f>IF(B48="楼面地价",SUM(F58:F67),ROUND(C50*E68/10000,0))</f>
        <v>#DIV/0!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2018-12-1</v>
      </c>
      <c r="D70" s="2799">
        <f>EDATE(C70,-3)</f>
        <v>43344</v>
      </c>
      <c r="E70" s="2799">
        <f t="shared" ref="E70:N70" si="18">EDATE(D70,-3)</f>
        <v>43252</v>
      </c>
      <c r="F70" s="2799">
        <f t="shared" si="18"/>
        <v>43160</v>
      </c>
      <c r="G70" s="2799">
        <f t="shared" si="18"/>
        <v>43070</v>
      </c>
      <c r="H70" s="2799">
        <f t="shared" si="18"/>
        <v>42979</v>
      </c>
      <c r="I70" s="2799">
        <f t="shared" si="18"/>
        <v>42887</v>
      </c>
      <c r="J70" s="2799">
        <f t="shared" si="18"/>
        <v>42795</v>
      </c>
      <c r="K70" s="2799">
        <f t="shared" si="18"/>
        <v>42705</v>
      </c>
      <c r="L70" s="2799">
        <f t="shared" si="18"/>
        <v>42614</v>
      </c>
      <c r="M70" s="2799">
        <f t="shared" si="18"/>
        <v>42522</v>
      </c>
      <c r="N70" s="2799">
        <f t="shared" si="18"/>
        <v>42430</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68" t="s">
        <v>2529</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18" customFormat="1" ht="27" customHeight="1">
      <c r="A73" s="2806" t="s">
        <v>922</v>
      </c>
      <c r="B73" s="478" t="str">
        <f>"北京市平均增长率"&amp;TEXT(SUMIF(基准地价!N21:N25,A73,基准地价!P21:P25),"0.00%")</f>
        <v>北京市平均增长率2.41%</v>
      </c>
      <c r="C73" s="892">
        <v>100</v>
      </c>
      <c r="D73" s="3193">
        <f>C73-$C$74</f>
        <v>99.5</v>
      </c>
      <c r="E73" s="3193">
        <f t="shared" ref="E73:N73" si="20">D73-$C$74</f>
        <v>99</v>
      </c>
      <c r="F73" s="3193">
        <f t="shared" si="20"/>
        <v>98.5</v>
      </c>
      <c r="G73" s="3193">
        <f t="shared" si="20"/>
        <v>98</v>
      </c>
      <c r="H73" s="3193">
        <f t="shared" si="20"/>
        <v>97.5</v>
      </c>
      <c r="I73" s="3193">
        <f t="shared" si="20"/>
        <v>97</v>
      </c>
      <c r="J73" s="3193">
        <f t="shared" si="20"/>
        <v>96.5</v>
      </c>
      <c r="K73" s="3193">
        <f t="shared" si="20"/>
        <v>96</v>
      </c>
      <c r="L73" s="3193">
        <f t="shared" si="20"/>
        <v>95.5</v>
      </c>
      <c r="M73" s="3193">
        <f t="shared" si="20"/>
        <v>95</v>
      </c>
      <c r="N73" s="3193">
        <f t="shared" si="20"/>
        <v>94.5</v>
      </c>
      <c r="O73" s="2162"/>
      <c r="P73" s="2158"/>
      <c r="Q73" s="1993"/>
      <c r="R73" s="1993"/>
      <c r="S73" s="1993"/>
      <c r="T73" s="1993"/>
      <c r="U73" s="1993"/>
      <c r="V73" s="1993"/>
      <c r="W73" s="1993"/>
      <c r="X73" s="1993"/>
      <c r="Y73" s="1993"/>
      <c r="Z73" s="1993"/>
      <c r="AA73" s="1993"/>
      <c r="AB73" s="1993"/>
      <c r="AC73" s="1993"/>
    </row>
    <row r="74" spans="1:29" s="1218" customFormat="1" ht="15" customHeight="1" thickBot="1">
      <c r="A74" s="2796" t="s">
        <v>2643</v>
      </c>
      <c r="B74" s="2805"/>
      <c r="C74" s="2790">
        <v>0.5</v>
      </c>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8" customFormat="1" ht="15">
      <c r="A75" s="658" t="s">
        <v>530</v>
      </c>
      <c r="B75" s="647"/>
      <c r="C75" s="659" t="s">
        <v>575</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576</v>
      </c>
      <c r="B77" s="664" t="s">
        <v>533</v>
      </c>
      <c r="C77" s="3206" t="s">
        <v>3896</v>
      </c>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536</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537</v>
      </c>
      <c r="C81" s="681" t="str">
        <f>C82&amp;"（含）"&amp;"-"&amp;D82</f>
        <v>2（含）-3</v>
      </c>
      <c r="D81" s="681" t="str">
        <f t="shared" ref="D81:L81" si="21">D82&amp;"（含）"&amp;"-"&amp;E82</f>
        <v>3（含）-4</v>
      </c>
      <c r="E81" s="681" t="str">
        <f t="shared" si="21"/>
        <v>4（含）-5</v>
      </c>
      <c r="F81" s="681" t="str">
        <f t="shared" si="21"/>
        <v>5（含）-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2</v>
      </c>
      <c r="D82" s="540">
        <v>3</v>
      </c>
      <c r="E82" s="540">
        <v>4</v>
      </c>
      <c r="F82" s="540">
        <v>5</v>
      </c>
      <c r="G82" s="540"/>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100</v>
      </c>
      <c r="E83" s="678">
        <f t="shared" ref="E83:M83" si="22">IF($B$48="单位面积地价",D83+$K13,D83-$K13)</f>
        <v>100</v>
      </c>
      <c r="F83" s="678">
        <f t="shared" si="22"/>
        <v>100</v>
      </c>
      <c r="G83" s="678">
        <f t="shared" si="22"/>
        <v>100</v>
      </c>
      <c r="H83" s="678">
        <f t="shared" si="22"/>
        <v>100</v>
      </c>
      <c r="I83" s="678">
        <f t="shared" si="22"/>
        <v>100</v>
      </c>
      <c r="J83" s="678">
        <f t="shared" si="22"/>
        <v>100</v>
      </c>
      <c r="K83" s="678">
        <f t="shared" si="22"/>
        <v>100</v>
      </c>
      <c r="L83" s="678">
        <f t="shared" si="22"/>
        <v>100</v>
      </c>
      <c r="M83" s="678">
        <f t="shared" si="22"/>
        <v>100</v>
      </c>
      <c r="N83" s="2166"/>
      <c r="O83" s="2166"/>
      <c r="P83" s="2165"/>
      <c r="Q83" s="2158"/>
      <c r="R83" s="2145"/>
      <c r="S83" s="2145"/>
      <c r="T83" s="2145"/>
      <c r="U83" s="2145"/>
      <c r="V83" s="2145"/>
      <c r="W83" s="2145"/>
      <c r="X83" s="2145"/>
      <c r="Y83" s="2145"/>
      <c r="Z83" s="2145"/>
      <c r="AA83" s="2145"/>
      <c r="AB83" s="2145"/>
      <c r="AC83" s="2145"/>
    </row>
    <row r="84" spans="1:29" s="1337" customFormat="1" ht="15.75" hidden="1" thickTop="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7" customFormat="1" ht="15.75" hidden="1"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7" customFormat="1" ht="15.75" hidden="1"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7" customFormat="1" ht="15.75" hidden="1"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7" customFormat="1" ht="15.75" hidden="1"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7" customFormat="1" ht="15.75" hidden="1"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ht="15" thickTop="1">
      <c r="A90" s="663" t="s">
        <v>538</v>
      </c>
      <c r="B90" s="664" t="s">
        <v>577</v>
      </c>
      <c r="C90" s="702" t="s">
        <v>578</v>
      </c>
      <c r="D90" s="702" t="s">
        <v>579</v>
      </c>
      <c r="E90" s="702" t="s">
        <v>580</v>
      </c>
      <c r="F90" s="702" t="s">
        <v>581</v>
      </c>
      <c r="G90" s="702" t="s">
        <v>582</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583</v>
      </c>
      <c r="C92" s="707" t="s">
        <v>578</v>
      </c>
      <c r="D92" s="707" t="s">
        <v>579</v>
      </c>
      <c r="E92" s="707" t="s">
        <v>580</v>
      </c>
      <c r="F92" s="707" t="s">
        <v>581</v>
      </c>
      <c r="G92" s="707" t="s">
        <v>582</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584</v>
      </c>
      <c r="C94" s="707" t="s">
        <v>578</v>
      </c>
      <c r="D94" s="707" t="s">
        <v>579</v>
      </c>
      <c r="E94" s="707" t="s">
        <v>580</v>
      </c>
      <c r="F94" s="707" t="s">
        <v>581</v>
      </c>
      <c r="G94" s="707" t="s">
        <v>582</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585</v>
      </c>
      <c r="C96" s="707" t="s">
        <v>578</v>
      </c>
      <c r="D96" s="707" t="s">
        <v>579</v>
      </c>
      <c r="E96" s="707" t="s">
        <v>580</v>
      </c>
      <c r="F96" s="707" t="s">
        <v>581</v>
      </c>
      <c r="G96" s="707" t="s">
        <v>582</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8"/>
      <c r="B98" s="672" t="s">
        <v>586</v>
      </c>
      <c r="C98" s="707" t="s">
        <v>578</v>
      </c>
      <c r="D98" s="707" t="s">
        <v>579</v>
      </c>
      <c r="E98" s="707" t="s">
        <v>580</v>
      </c>
      <c r="F98" s="707" t="s">
        <v>581</v>
      </c>
      <c r="G98" s="707" t="s">
        <v>582</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8"/>
      <c r="B99" s="677"/>
      <c r="C99" s="711">
        <v>100</v>
      </c>
      <c r="D99" s="678">
        <f>C99-$K25</f>
        <v>100</v>
      </c>
      <c r="E99" s="678">
        <f>D99-$K25</f>
        <v>100</v>
      </c>
      <c r="F99" s="678">
        <f>E99-$K25</f>
        <v>100</v>
      </c>
      <c r="G99" s="678">
        <f>F99-$K25</f>
        <v>100</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8"/>
      <c r="B100" s="672" t="s">
        <v>587</v>
      </c>
      <c r="C100" s="702" t="s">
        <v>578</v>
      </c>
      <c r="D100" s="702" t="s">
        <v>579</v>
      </c>
      <c r="E100" s="702" t="s">
        <v>580</v>
      </c>
      <c r="F100" s="702" t="s">
        <v>581</v>
      </c>
      <c r="G100" s="702" t="s">
        <v>582</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6"/>
      <c r="B102" s="1896" t="s">
        <v>2545</v>
      </c>
      <c r="C102" s="702" t="s">
        <v>578</v>
      </c>
      <c r="D102" s="702" t="s">
        <v>579</v>
      </c>
      <c r="E102" s="702" t="s">
        <v>580</v>
      </c>
      <c r="F102" s="702" t="s">
        <v>581</v>
      </c>
      <c r="G102" s="702" t="s">
        <v>582</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6"/>
      <c r="B104" s="2597" t="s">
        <v>2547</v>
      </c>
      <c r="C104" s="2598" t="s">
        <v>2548</v>
      </c>
      <c r="D104" s="2598" t="s">
        <v>2549</v>
      </c>
      <c r="E104" s="2598" t="s">
        <v>2550</v>
      </c>
      <c r="F104" s="2598" t="s">
        <v>2551</v>
      </c>
      <c r="G104" s="2598" t="s">
        <v>2552</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6"/>
      <c r="B105" s="680"/>
      <c r="C105" s="678">
        <v>100</v>
      </c>
      <c r="D105" s="678">
        <f>C105-$K31</f>
        <v>98</v>
      </c>
      <c r="E105" s="678">
        <f>D105-$K31</f>
        <v>96</v>
      </c>
      <c r="F105" s="678">
        <f>E105-$K31</f>
        <v>94</v>
      </c>
      <c r="G105" s="678">
        <f>F105-$K31</f>
        <v>92</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547</v>
      </c>
      <c r="C108" s="3191" t="s">
        <v>3030</v>
      </c>
      <c r="D108" s="3191" t="s">
        <v>3031</v>
      </c>
      <c r="E108" s="3191" t="s">
        <v>3032</v>
      </c>
      <c r="F108" s="3191" t="s">
        <v>3033</v>
      </c>
      <c r="G108" s="3191" t="s">
        <v>3035</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8"/>
      <c r="B110" s="672" t="s">
        <v>548</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8"/>
      <c r="B112" s="680">
        <f>B37</f>
        <v>0</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7" customFormat="1" ht="15" hidden="1" thickTop="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7" customFormat="1" ht="15.75" hidden="1"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15" thickTop="1">
      <c r="A118" s="663" t="s">
        <v>550</v>
      </c>
      <c r="B118" s="664" t="s">
        <v>592</v>
      </c>
      <c r="C118" s="703" t="str">
        <f t="shared" ref="C118:L118" si="26">C119&amp;"(含)"&amp;"-"&amp;D119</f>
        <v>0(含)-</v>
      </c>
      <c r="D118" s="703" t="str">
        <f t="shared" si="26"/>
        <v>(含)-</v>
      </c>
      <c r="E118" s="703" t="str">
        <f t="shared" si="26"/>
        <v>(含)-</v>
      </c>
      <c r="F118" s="703" t="str">
        <f t="shared" si="26"/>
        <v>(含)-</v>
      </c>
      <c r="G118" s="703" t="str">
        <f t="shared" si="26"/>
        <v>(含)-</v>
      </c>
      <c r="H118" s="703" t="str">
        <f t="shared" si="26"/>
        <v>(含)-</v>
      </c>
      <c r="I118" s="703" t="str">
        <f t="shared" si="26"/>
        <v>(含)-</v>
      </c>
      <c r="J118" s="3093" t="str">
        <f t="shared" si="26"/>
        <v>(含)-</v>
      </c>
      <c r="K118" s="3093" t="str">
        <f t="shared" si="26"/>
        <v>(含)-</v>
      </c>
      <c r="L118" s="3094" t="str">
        <f t="shared" si="26"/>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c r="E119" s="729"/>
      <c r="F119" s="729"/>
      <c r="G119" s="729"/>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c r="D120" s="725"/>
      <c r="E120" s="725"/>
      <c r="F120" s="725"/>
      <c r="G120" s="725"/>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593</v>
      </c>
      <c r="C121" s="3192" t="s">
        <v>3029</v>
      </c>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6"/>
      <c r="O122" s="2166"/>
      <c r="P122" s="2165"/>
      <c r="Q122" s="2158"/>
      <c r="R122" s="2145"/>
      <c r="S122" s="2145"/>
      <c r="T122" s="2145"/>
      <c r="U122" s="2145"/>
      <c r="V122" s="2145"/>
      <c r="W122" s="2145"/>
      <c r="X122" s="2145"/>
      <c r="Y122" s="2145"/>
      <c r="Z122" s="2145"/>
      <c r="AA122" s="2145"/>
      <c r="AB122" s="2145"/>
      <c r="AC122" s="2145"/>
    </row>
    <row r="123" spans="1:29" ht="15" hidden="1" thickTop="1">
      <c r="A123" s="734"/>
      <c r="B123" s="672" t="s">
        <v>594</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hidden="1"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7"/>
      <c r="B125" s="1896" t="s">
        <v>2423</v>
      </c>
      <c r="C125" s="1374" t="s">
        <v>3024</v>
      </c>
      <c r="D125" s="1374" t="s">
        <v>3025</v>
      </c>
      <c r="E125" s="1374" t="s">
        <v>3026</v>
      </c>
      <c r="F125" s="1374" t="s">
        <v>3027</v>
      </c>
      <c r="G125" s="1374"/>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595</v>
      </c>
      <c r="C127" s="3191" t="s">
        <v>3022</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6"/>
      <c r="O128" s="2166"/>
      <c r="P128" s="2165"/>
      <c r="Q128" s="2158"/>
      <c r="R128" s="2145"/>
      <c r="S128" s="2145"/>
      <c r="T128" s="2145"/>
      <c r="U128" s="2145"/>
      <c r="V128" s="2145"/>
      <c r="W128" s="2145"/>
      <c r="X128" s="2145"/>
      <c r="Y128" s="2145"/>
      <c r="Z128" s="2145"/>
      <c r="AA128" s="2145"/>
      <c r="AB128" s="2145"/>
      <c r="AC128" s="2145"/>
    </row>
    <row r="129" spans="1:29" ht="15" hidden="1"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hidden="1"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hidden="1"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7" customFormat="1" ht="15" hidden="1"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7" customFormat="1" ht="15.75" hidden="1"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9" sqref="A9:G28"/>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21" t="str">
        <f>项目基本情况!B1</f>
        <v>江苏省镇江市镇江新区丁岗三三八省道北321102092092GB01229W00000000号一宗住宅、商业用地出让国有建设用地使用权抵押价格预评估</v>
      </c>
      <c r="C37" s="3221"/>
      <c r="D37" s="3221"/>
      <c r="E37" s="3221"/>
      <c r="F37" s="3221"/>
      <c r="G37" s="3221"/>
      <c r="H37" s="3221"/>
      <c r="I37" s="3221"/>
    </row>
    <row r="38" spans="1:9">
      <c r="A38" s="1655"/>
      <c r="B38" s="1655"/>
    </row>
    <row r="39" spans="1:9">
      <c r="A39" s="1653" t="s">
        <v>1901</v>
      </c>
      <c r="B39" s="1653" t="s">
        <v>2046</v>
      </c>
    </row>
    <row r="40" spans="1:9">
      <c r="A40" s="1653"/>
      <c r="B40" s="1653" t="str">
        <f>项目基本情况!B5</f>
        <v>中信信托有限责任公司</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王鹏、郑燚</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tabSelected="1" view="pageBreakPreview" topLeftCell="A10" zoomScale="80" zoomScaleNormal="95" zoomScaleSheetLayoutView="80" workbookViewId="0">
      <selection activeCell="B17" sqref="B17"/>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515</v>
      </c>
      <c r="B1" s="502"/>
      <c r="C1" s="503" t="s">
        <v>516</v>
      </c>
      <c r="D1" s="504" t="s">
        <v>517</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466</v>
      </c>
      <c r="B2" s="507">
        <f>F68</f>
        <v>62558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1684</v>
      </c>
      <c r="B3" s="509">
        <f>ROUND(B2*10000/'数据-汇总表'!E3,0)</f>
        <v>1517</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4" customFormat="1" ht="28.5" customHeight="1">
      <c r="A4" s="510" t="s">
        <v>519</v>
      </c>
      <c r="B4" s="426">
        <f>IF(B48="单位面积地价",C50,ROUND(B2*10000/'数据-汇总表'!D3,0))</f>
        <v>5309</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354</v>
      </c>
      <c r="C5" s="430"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520</v>
      </c>
      <c r="B6" s="512"/>
      <c r="C6" s="3396" t="s">
        <v>521</v>
      </c>
      <c r="D6" s="3397"/>
      <c r="E6" s="3396" t="s">
        <v>522</v>
      </c>
      <c r="F6" s="3397"/>
      <c r="G6" s="3396" t="s">
        <v>523</v>
      </c>
      <c r="H6" s="3397"/>
      <c r="I6" s="3396" t="s">
        <v>524</v>
      </c>
      <c r="J6" s="3397"/>
      <c r="K6" s="513" t="s">
        <v>525</v>
      </c>
      <c r="L6" s="2133"/>
      <c r="M6" s="2132"/>
      <c r="N6" s="2132"/>
      <c r="O6" s="2134"/>
      <c r="P6" s="3398" t="s">
        <v>526</v>
      </c>
      <c r="Q6" s="3399"/>
      <c r="R6" s="3404" t="s">
        <v>522</v>
      </c>
      <c r="S6" s="3405"/>
      <c r="T6" s="3404" t="s">
        <v>523</v>
      </c>
      <c r="U6" s="3405"/>
      <c r="V6" s="3391" t="s">
        <v>524</v>
      </c>
      <c r="W6" s="3391"/>
      <c r="X6" s="3182"/>
      <c r="Y6" s="3404" t="s">
        <v>526</v>
      </c>
      <c r="Z6" s="3405"/>
      <c r="AA6" s="3393" t="s">
        <v>522</v>
      </c>
      <c r="AB6" s="3394" t="s">
        <v>523</v>
      </c>
      <c r="AC6" s="3393" t="s">
        <v>524</v>
      </c>
    </row>
    <row r="7" spans="1:30" ht="20.25">
      <c r="A7" s="514"/>
      <c r="B7" s="515"/>
      <c r="C7" s="3412" t="s">
        <v>2916</v>
      </c>
      <c r="D7" s="3413"/>
      <c r="E7" s="3412" t="str">
        <f>'土地案例（商业）'!A4</f>
        <v>润兴路以西,润旺路以南</v>
      </c>
      <c r="F7" s="3413"/>
      <c r="G7" s="3412" t="str">
        <f>'土地案例（商业）'!A40</f>
        <v>苗家湾路以东、丁卯桥路以南</v>
      </c>
      <c r="H7" s="3413"/>
      <c r="I7" s="3412" t="str">
        <f>'土地案例（商业）'!A46</f>
        <v>智慧大道西地块</v>
      </c>
      <c r="J7" s="3413"/>
      <c r="K7" s="513"/>
      <c r="L7" s="2133"/>
      <c r="M7" s="2132"/>
      <c r="N7" s="2132"/>
      <c r="O7" s="2134"/>
      <c r="P7" s="3400"/>
      <c r="Q7" s="3401"/>
      <c r="R7" s="3406"/>
      <c r="S7" s="3407"/>
      <c r="T7" s="3406"/>
      <c r="U7" s="3407"/>
      <c r="V7" s="3391"/>
      <c r="W7" s="3391"/>
      <c r="X7" s="3182"/>
      <c r="Y7" s="3406"/>
      <c r="Z7" s="3407"/>
      <c r="AA7" s="3394"/>
      <c r="AB7" s="3394"/>
      <c r="AC7" s="3394"/>
    </row>
    <row r="8" spans="1:30" ht="21" thickBot="1">
      <c r="A8" s="514"/>
      <c r="B8" s="515"/>
      <c r="C8" s="3414" t="s">
        <v>2920</v>
      </c>
      <c r="D8" s="3415"/>
      <c r="E8" s="3414" t="str">
        <f>'土地案例（商业）'!F4</f>
        <v>2018-1-3</v>
      </c>
      <c r="F8" s="3415"/>
      <c r="G8" s="3410" t="str">
        <f>'土地案例（商业）'!F40</f>
        <v>*6-9</v>
      </c>
      <c r="H8" s="3411"/>
      <c r="I8" s="3410" t="str">
        <f>'土地案例（商业）'!F46</f>
        <v>2--11</v>
      </c>
      <c r="J8" s="3411"/>
      <c r="K8" s="513" t="s">
        <v>527</v>
      </c>
      <c r="L8" s="2133"/>
      <c r="M8" s="2132"/>
      <c r="N8" s="2132"/>
      <c r="O8" s="2134"/>
      <c r="P8" s="3402"/>
      <c r="Q8" s="3403"/>
      <c r="R8" s="3406"/>
      <c r="S8" s="3407"/>
      <c r="T8" s="3408"/>
      <c r="U8" s="3409"/>
      <c r="V8" s="3391"/>
      <c r="W8" s="3391"/>
      <c r="X8" s="3182"/>
      <c r="Y8" s="3408"/>
      <c r="Z8" s="3409"/>
      <c r="AA8" s="3395"/>
      <c r="AB8" s="3395"/>
      <c r="AC8" s="3395"/>
    </row>
    <row r="9" spans="1:30" s="1218" customFormat="1" ht="21" thickBot="1">
      <c r="A9" s="2912"/>
      <c r="B9" s="2919" t="s">
        <v>528</v>
      </c>
      <c r="C9" s="2911">
        <f>'数据-取费表'!B2</f>
        <v>43445</v>
      </c>
      <c r="D9" s="519">
        <v>100</v>
      </c>
      <c r="E9" s="520" t="str">
        <f>'土地案例（商业）'!K4</f>
        <v>2018-02-12</v>
      </c>
      <c r="F9" s="521">
        <f>SUMIF(72:72,YEAR(E9)&amp;"-"&amp;INT((MONTH(E9)+2)/3),73:73)</f>
        <v>98.5</v>
      </c>
      <c r="G9" s="522" t="str">
        <f>'土地案例（商业）'!K40</f>
        <v>2015-01-30</v>
      </c>
      <c r="H9" s="519">
        <f>SUMIF(72:72,YEAR(G9)&amp;"-"&amp;INT((MONTH(G9)+2)/3),73:73)</f>
        <v>92.5</v>
      </c>
      <c r="I9" s="522" t="str">
        <f>'土地案例（商业）'!K46</f>
        <v>2014-05-30</v>
      </c>
      <c r="J9" s="519">
        <f>SUMIF(72:72,YEAR(I9)&amp;"-"&amp;INT((MONTH(I9)+2)/3),73:73)</f>
        <v>91</v>
      </c>
      <c r="K9" s="523"/>
      <c r="L9" s="2135"/>
      <c r="M9" s="2132"/>
      <c r="N9" s="2132"/>
      <c r="O9" s="2136"/>
      <c r="P9" s="3421" t="s">
        <v>529</v>
      </c>
      <c r="Q9" s="3423"/>
      <c r="R9" s="1567" t="s">
        <v>8</v>
      </c>
      <c r="S9" s="1568">
        <f t="shared" ref="S9:S17" si="0">F9</f>
        <v>98.5</v>
      </c>
      <c r="T9" s="1567" t="s">
        <v>8</v>
      </c>
      <c r="U9" s="1568">
        <f t="shared" ref="U9:U17" si="1">H9</f>
        <v>92.5</v>
      </c>
      <c r="V9" s="1567" t="s">
        <v>8</v>
      </c>
      <c r="W9" s="1568">
        <f t="shared" ref="W9:W17" si="2">J9</f>
        <v>91</v>
      </c>
      <c r="X9" s="1569"/>
      <c r="Y9" s="3421" t="s">
        <v>529</v>
      </c>
      <c r="Z9" s="3422"/>
      <c r="AA9" s="1570">
        <f>D9/F9</f>
        <v>1.015228426395939</v>
      </c>
      <c r="AB9" s="1570">
        <f>D9/H9</f>
        <v>1.0810810810810811</v>
      </c>
      <c r="AC9" s="1570">
        <f>D9/J9</f>
        <v>1.098901098901099</v>
      </c>
    </row>
    <row r="10" spans="1:30" s="1218" customFormat="1" ht="21" thickBot="1">
      <c r="A10" s="2913"/>
      <c r="B10" s="2920" t="s">
        <v>530</v>
      </c>
      <c r="C10" s="855" t="s">
        <v>531</v>
      </c>
      <c r="D10" s="519">
        <v>100</v>
      </c>
      <c r="E10" s="524" t="s">
        <v>3882</v>
      </c>
      <c r="F10" s="521">
        <f>SUMIF(75:75,E10,76:76)-SUMIF(75:75,C10,76:76)+100</f>
        <v>100</v>
      </c>
      <c r="G10" s="524" t="s">
        <v>3882</v>
      </c>
      <c r="H10" s="519">
        <f>SUMIF(75:75,G10,76:76)-SUMIF(75:75,C10,76:76)+100</f>
        <v>100</v>
      </c>
      <c r="I10" s="524" t="s">
        <v>3882</v>
      </c>
      <c r="J10" s="519">
        <f>SUMIF(75:75,I10,76:76)-SUMIF(75:75,C10,76:76)+100</f>
        <v>100</v>
      </c>
      <c r="K10" s="523"/>
      <c r="L10" s="2135"/>
      <c r="M10" s="2132"/>
      <c r="N10" s="2132"/>
      <c r="O10" s="2136"/>
      <c r="P10" s="3421" t="s">
        <v>532</v>
      </c>
      <c r="Q10" s="3422"/>
      <c r="R10" s="1567" t="s">
        <v>8</v>
      </c>
      <c r="S10" s="1568">
        <f t="shared" si="0"/>
        <v>100</v>
      </c>
      <c r="T10" s="1567" t="s">
        <v>8</v>
      </c>
      <c r="U10" s="1568">
        <f t="shared" si="1"/>
        <v>100</v>
      </c>
      <c r="V10" s="1567" t="s">
        <v>8</v>
      </c>
      <c r="W10" s="1568">
        <f t="shared" si="2"/>
        <v>100</v>
      </c>
      <c r="X10" s="1569"/>
      <c r="Y10" s="3421" t="s">
        <v>532</v>
      </c>
      <c r="Z10" s="3422"/>
      <c r="AA10" s="1570">
        <f t="shared" ref="AA10:AA47" si="3">D10/F10</f>
        <v>1</v>
      </c>
      <c r="AB10" s="1570">
        <f t="shared" ref="AB10:AB47" si="4">D10/H10</f>
        <v>1</v>
      </c>
      <c r="AC10" s="1570">
        <f t="shared" ref="AC10:AC47" si="5">D10/J10</f>
        <v>1</v>
      </c>
    </row>
    <row r="11" spans="1:30" s="1218" customFormat="1" ht="20.25">
      <c r="A11" s="2914"/>
      <c r="B11" s="2921" t="s">
        <v>2752</v>
      </c>
      <c r="C11" s="2908" t="s">
        <v>4149</v>
      </c>
      <c r="D11" s="253">
        <v>100</v>
      </c>
      <c r="E11" s="525" t="s">
        <v>3898</v>
      </c>
      <c r="F11" s="253">
        <f>SUMIF(77:77,E11,78:78)-SUMIF(77:77,C11,78:78)+100</f>
        <v>80</v>
      </c>
      <c r="G11" s="525" t="s">
        <v>4053</v>
      </c>
      <c r="H11" s="253">
        <f>SUMIF(77:77,G11,78:78)-SUMIF(77:77,C11,78:78)+100</f>
        <v>80</v>
      </c>
      <c r="I11" s="525" t="s">
        <v>4172</v>
      </c>
      <c r="J11" s="253">
        <f>SUMIF(77:77,I11,78:78)-SUMIF(77:77,C11,78:78)+100</f>
        <v>80</v>
      </c>
      <c r="K11" s="523"/>
      <c r="L11" s="2135"/>
      <c r="M11" s="2132"/>
      <c r="N11" s="2132"/>
      <c r="O11" s="2137"/>
      <c r="P11" s="3390" t="s">
        <v>534</v>
      </c>
      <c r="Q11" s="3180" t="str">
        <f t="shared" ref="Q11:Q17" si="6">B11</f>
        <v>用途</v>
      </c>
      <c r="R11" s="1567" t="s">
        <v>8</v>
      </c>
      <c r="S11" s="1568">
        <f t="shared" si="0"/>
        <v>80</v>
      </c>
      <c r="T11" s="1567" t="s">
        <v>8</v>
      </c>
      <c r="U11" s="1568">
        <f t="shared" si="1"/>
        <v>80</v>
      </c>
      <c r="V11" s="1567" t="s">
        <v>8</v>
      </c>
      <c r="W11" s="1568">
        <f t="shared" si="2"/>
        <v>80</v>
      </c>
      <c r="X11" s="1569"/>
      <c r="Y11" s="3336" t="s">
        <v>535</v>
      </c>
      <c r="Z11" s="3179" t="str">
        <f t="shared" ref="Z11:Z17" si="7">Q11</f>
        <v>用途</v>
      </c>
      <c r="AA11" s="1570">
        <f t="shared" si="3"/>
        <v>1.25</v>
      </c>
      <c r="AB11" s="1570">
        <f t="shared" si="4"/>
        <v>1.25</v>
      </c>
      <c r="AC11" s="1570">
        <f t="shared" si="5"/>
        <v>1.25</v>
      </c>
    </row>
    <row r="12" spans="1:30" s="1336" customFormat="1" ht="28.5">
      <c r="A12" s="2915"/>
      <c r="B12" s="2920" t="s">
        <v>2753</v>
      </c>
      <c r="C12" s="908" t="str">
        <f>项目基本情况!D20</f>
        <v>住宅61.9年、商业31.9年</v>
      </c>
      <c r="D12" s="254">
        <v>100</v>
      </c>
      <c r="E12" s="528"/>
      <c r="F12" s="254">
        <f>ROUND(100/'数据-取费表'!G16,0)</f>
        <v>105</v>
      </c>
      <c r="G12" s="529"/>
      <c r="H12" s="254">
        <f>ROUND(100/'数据-取费表'!G16,0)</f>
        <v>105</v>
      </c>
      <c r="I12" s="529"/>
      <c r="J12" s="254">
        <f>ROUND(100/'数据-取费表'!G16,0)</f>
        <v>105</v>
      </c>
      <c r="K12" s="530"/>
      <c r="L12" s="2138"/>
      <c r="M12" s="2132"/>
      <c r="N12" s="2132"/>
      <c r="O12" s="2139"/>
      <c r="P12" s="3390"/>
      <c r="Q12" s="3180" t="str">
        <f t="shared" si="6"/>
        <v>土地使用年限（年）</v>
      </c>
      <c r="R12" s="1567" t="s">
        <v>8</v>
      </c>
      <c r="S12" s="1568">
        <f t="shared" si="0"/>
        <v>105</v>
      </c>
      <c r="T12" s="1567" t="s">
        <v>8</v>
      </c>
      <c r="U12" s="1568">
        <f t="shared" si="1"/>
        <v>105</v>
      </c>
      <c r="V12" s="1567" t="s">
        <v>8</v>
      </c>
      <c r="W12" s="1568">
        <f t="shared" si="2"/>
        <v>105</v>
      </c>
      <c r="X12" s="1569"/>
      <c r="Y12" s="3336"/>
      <c r="Z12" s="3179" t="str">
        <f t="shared" si="7"/>
        <v>土地使用年限（年）</v>
      </c>
      <c r="AA12" s="1570">
        <f t="shared" si="3"/>
        <v>0.95238095238095233</v>
      </c>
      <c r="AB12" s="1570">
        <f t="shared" si="4"/>
        <v>0.95238095238095233</v>
      </c>
      <c r="AC12" s="1570">
        <f t="shared" si="5"/>
        <v>0.95238095238095233</v>
      </c>
    </row>
    <row r="13" spans="1:30" ht="21" thickBot="1">
      <c r="A13" s="2916"/>
      <c r="B13" s="2920" t="s">
        <v>2754</v>
      </c>
      <c r="C13" s="533">
        <f>'数据-汇总表'!I6</f>
        <v>3.5</v>
      </c>
      <c r="D13" s="254">
        <v>100</v>
      </c>
      <c r="E13" s="532">
        <v>3.5</v>
      </c>
      <c r="F13" s="254">
        <f>LOOKUP(E13,82:82,83:83)-LOOKUP(C13,82:82,83:83)+100</f>
        <v>100</v>
      </c>
      <c r="G13" s="533">
        <v>2.85</v>
      </c>
      <c r="H13" s="254">
        <f>LOOKUP(G13,82:82,83:83)-LOOKUP(C13,82:82,83:83)+100</f>
        <v>106</v>
      </c>
      <c r="I13" s="532">
        <v>3.5</v>
      </c>
      <c r="J13" s="254">
        <f>LOOKUP(I13,82:82,83:83)-LOOKUP(C13,82:82,83:83)+100</f>
        <v>100</v>
      </c>
      <c r="K13" s="534">
        <v>3</v>
      </c>
      <c r="L13" s="2140"/>
      <c r="M13" s="2132"/>
      <c r="N13" s="2132"/>
      <c r="O13" s="2141"/>
      <c r="P13" s="3390"/>
      <c r="Q13" s="3180" t="str">
        <f t="shared" si="6"/>
        <v>容积率</v>
      </c>
      <c r="R13" s="1567" t="s">
        <v>8</v>
      </c>
      <c r="S13" s="1568">
        <f t="shared" si="0"/>
        <v>100</v>
      </c>
      <c r="T13" s="1567" t="s">
        <v>8</v>
      </c>
      <c r="U13" s="1568">
        <f t="shared" si="1"/>
        <v>106</v>
      </c>
      <c r="V13" s="1567" t="s">
        <v>8</v>
      </c>
      <c r="W13" s="1568">
        <f t="shared" si="2"/>
        <v>100</v>
      </c>
      <c r="X13" s="1569"/>
      <c r="Y13" s="3336"/>
      <c r="Z13" s="3179" t="str">
        <f t="shared" si="7"/>
        <v>容积率</v>
      </c>
      <c r="AA13" s="1570">
        <f t="shared" si="3"/>
        <v>1</v>
      </c>
      <c r="AB13" s="1570">
        <f t="shared" si="4"/>
        <v>0.94339622641509435</v>
      </c>
      <c r="AC13" s="1570">
        <f t="shared" si="5"/>
        <v>1</v>
      </c>
    </row>
    <row r="14" spans="1:30" s="1218" customFormat="1" ht="21" hidden="1" thickBot="1">
      <c r="A14" s="2913"/>
      <c r="B14" s="2922" t="s">
        <v>2755</v>
      </c>
      <c r="C14" s="2909"/>
      <c r="D14" s="537">
        <v>100</v>
      </c>
      <c r="E14" s="1373"/>
      <c r="F14" s="254">
        <f>SUMIF(84:84,E14,85:85)-SUMIF(84:84,C14,85:85)+100</f>
        <v>100</v>
      </c>
      <c r="G14" s="529"/>
      <c r="H14" s="254">
        <f>SUMIF(84:84,G14,85:85)-SUMIF(84:84,C14,85:85)+100</f>
        <v>100</v>
      </c>
      <c r="I14" s="528"/>
      <c r="J14" s="254">
        <f>SUMIF(84:84,I14,85:85)-SUMIF(84:84,C14,85:85)+100</f>
        <v>100</v>
      </c>
      <c r="K14" s="530"/>
      <c r="L14" s="2135"/>
      <c r="M14" s="2132"/>
      <c r="N14" s="2132"/>
      <c r="O14" s="2137"/>
      <c r="P14" s="3390"/>
      <c r="Q14" s="3180" t="str">
        <f t="shared" si="6"/>
        <v>配建</v>
      </c>
      <c r="R14" s="1567" t="s">
        <v>8</v>
      </c>
      <c r="S14" s="1568">
        <f t="shared" si="0"/>
        <v>100</v>
      </c>
      <c r="T14" s="1567" t="s">
        <v>8</v>
      </c>
      <c r="U14" s="1568">
        <f t="shared" si="1"/>
        <v>100</v>
      </c>
      <c r="V14" s="1567" t="s">
        <v>8</v>
      </c>
      <c r="W14" s="1568">
        <f t="shared" si="2"/>
        <v>100</v>
      </c>
      <c r="X14" s="1569"/>
      <c r="Y14" s="3336"/>
      <c r="Z14" s="3179" t="str">
        <f t="shared" si="7"/>
        <v>配建</v>
      </c>
      <c r="AA14" s="1570">
        <f>D14/F14</f>
        <v>1</v>
      </c>
      <c r="AB14" s="1570">
        <f>D14/H14</f>
        <v>1</v>
      </c>
      <c r="AC14" s="1570">
        <f>D14/J14</f>
        <v>1</v>
      </c>
    </row>
    <row r="15" spans="1:30" ht="21" hidden="1" thickBot="1">
      <c r="A15" s="2917"/>
      <c r="B15" s="2923"/>
      <c r="C15" s="910"/>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90"/>
      <c r="Q15" s="3180">
        <f t="shared" si="6"/>
        <v>0</v>
      </c>
      <c r="R15" s="1567" t="s">
        <v>8</v>
      </c>
      <c r="S15" s="1568">
        <f t="shared" si="0"/>
        <v>100</v>
      </c>
      <c r="T15" s="1567" t="s">
        <v>8</v>
      </c>
      <c r="U15" s="1568">
        <f t="shared" si="1"/>
        <v>100</v>
      </c>
      <c r="V15" s="1567" t="s">
        <v>8</v>
      </c>
      <c r="W15" s="1568">
        <f t="shared" si="2"/>
        <v>100</v>
      </c>
      <c r="X15" s="1569"/>
      <c r="Y15" s="3336"/>
      <c r="Z15" s="3179">
        <f t="shared" si="7"/>
        <v>0</v>
      </c>
      <c r="AA15" s="1570">
        <f>D15/F15</f>
        <v>1</v>
      </c>
      <c r="AB15" s="1570">
        <f>D15/H15</f>
        <v>1</v>
      </c>
      <c r="AC15" s="1570">
        <f>D15/J15</f>
        <v>1</v>
      </c>
    </row>
    <row r="16" spans="1:30" ht="21" hidden="1" thickBot="1">
      <c r="A16" s="2918"/>
      <c r="B16" s="2924"/>
      <c r="C16" s="913"/>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90"/>
      <c r="Q16" s="3180">
        <f t="shared" si="6"/>
        <v>0</v>
      </c>
      <c r="R16" s="1567" t="s">
        <v>8</v>
      </c>
      <c r="S16" s="1568">
        <f t="shared" si="0"/>
        <v>100</v>
      </c>
      <c r="T16" s="1567" t="s">
        <v>8</v>
      </c>
      <c r="U16" s="1568">
        <f t="shared" si="1"/>
        <v>100</v>
      </c>
      <c r="V16" s="1567" t="s">
        <v>8</v>
      </c>
      <c r="W16" s="1568">
        <f t="shared" si="2"/>
        <v>100</v>
      </c>
      <c r="X16" s="1569"/>
      <c r="Y16" s="3336"/>
      <c r="Z16" s="3179">
        <f t="shared" si="7"/>
        <v>0</v>
      </c>
      <c r="AA16" s="1570">
        <f>D16/F16</f>
        <v>1</v>
      </c>
      <c r="AB16" s="1570">
        <f>D16/H16</f>
        <v>1</v>
      </c>
      <c r="AC16" s="1570">
        <f>D16/J16</f>
        <v>1</v>
      </c>
    </row>
    <row r="17" spans="1:29" ht="99.75">
      <c r="A17" s="2910" t="s">
        <v>2750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102</v>
      </c>
      <c r="G17" s="549"/>
      <c r="H17" s="548">
        <f>SUMIF(90:90,G18,91:91)-SUMIF(90:90,C18,91:91)+100</f>
        <v>104</v>
      </c>
      <c r="I17" s="551"/>
      <c r="J17" s="548">
        <f>SUMIF(90:90,I18,91:91)-SUMIF(90:90,C18,91:91)+100</f>
        <v>102</v>
      </c>
      <c r="K17" s="534">
        <v>2</v>
      </c>
      <c r="L17" s="2142"/>
      <c r="M17" s="2132"/>
      <c r="N17" s="2132"/>
      <c r="O17" s="2141"/>
      <c r="P17" s="3424" t="s">
        <v>539</v>
      </c>
      <c r="Q17" s="3183" t="str">
        <f t="shared" si="6"/>
        <v>居住社区成熟度</v>
      </c>
      <c r="R17" s="1572" t="s">
        <v>8</v>
      </c>
      <c r="S17" s="1573">
        <f t="shared" si="0"/>
        <v>102</v>
      </c>
      <c r="T17" s="1572" t="s">
        <v>8</v>
      </c>
      <c r="U17" s="1573">
        <f t="shared" si="1"/>
        <v>104</v>
      </c>
      <c r="V17" s="1572" t="s">
        <v>8</v>
      </c>
      <c r="W17" s="1573">
        <f t="shared" si="2"/>
        <v>102</v>
      </c>
      <c r="X17" s="3182"/>
      <c r="Y17" s="3424" t="s">
        <v>539</v>
      </c>
      <c r="Z17" s="3184" t="str">
        <f t="shared" si="7"/>
        <v>居住社区成熟度</v>
      </c>
      <c r="AA17" s="3185">
        <f t="shared" si="3"/>
        <v>0.98039215686274506</v>
      </c>
      <c r="AB17" s="3185">
        <f t="shared" si="4"/>
        <v>0.96153846153846156</v>
      </c>
      <c r="AC17" s="3185">
        <f t="shared" si="5"/>
        <v>0.98039215686274506</v>
      </c>
    </row>
    <row r="18" spans="1:29" ht="20.25">
      <c r="A18" s="531"/>
      <c r="B18" s="552"/>
      <c r="C18" s="553" t="s">
        <v>4148</v>
      </c>
      <c r="D18" s="556"/>
      <c r="E18" s="557" t="s">
        <v>3021</v>
      </c>
      <c r="F18" s="554"/>
      <c r="G18" s="555" t="s">
        <v>4170</v>
      </c>
      <c r="H18" s="558"/>
      <c r="I18" s="557" t="s">
        <v>3021</v>
      </c>
      <c r="J18" s="554"/>
      <c r="K18" s="530"/>
      <c r="L18" s="2142"/>
      <c r="M18" s="2132"/>
      <c r="N18" s="2132"/>
      <c r="O18" s="2141"/>
      <c r="P18" s="3425"/>
      <c r="Q18" s="3183"/>
      <c r="R18" s="1572"/>
      <c r="S18" s="1573"/>
      <c r="T18" s="1572"/>
      <c r="U18" s="1573"/>
      <c r="V18" s="1572"/>
      <c r="W18" s="1573"/>
      <c r="X18" s="3182"/>
      <c r="Y18" s="3425"/>
      <c r="Z18" s="3184"/>
      <c r="AA18" s="3185">
        <v>1</v>
      </c>
      <c r="AB18" s="3185">
        <v>1</v>
      </c>
      <c r="AC18" s="3185">
        <v>1</v>
      </c>
    </row>
    <row r="19" spans="1:29" ht="71.25">
      <c r="A19" s="531"/>
      <c r="B19" s="559" t="s">
        <v>540</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102</v>
      </c>
      <c r="I19" s="563"/>
      <c r="J19" s="564">
        <f>SUMIF(92:92,I20,93:93)-SUMIF(92:92,C20,93:93)+100</f>
        <v>100</v>
      </c>
      <c r="K19" s="534">
        <v>2</v>
      </c>
      <c r="L19" s="2142"/>
      <c r="M19" s="2132"/>
      <c r="N19" s="2132"/>
      <c r="O19" s="2141"/>
      <c r="P19" s="3425"/>
      <c r="Q19" s="3183" t="str">
        <f>B19</f>
        <v>商业繁华度</v>
      </c>
      <c r="R19" s="1572" t="s">
        <v>8</v>
      </c>
      <c r="S19" s="1573">
        <f>F19</f>
        <v>100</v>
      </c>
      <c r="T19" s="1572" t="s">
        <v>8</v>
      </c>
      <c r="U19" s="1573">
        <f>H19</f>
        <v>102</v>
      </c>
      <c r="V19" s="1572" t="s">
        <v>8</v>
      </c>
      <c r="W19" s="1573">
        <f>J19</f>
        <v>100</v>
      </c>
      <c r="X19" s="3182"/>
      <c r="Y19" s="3425"/>
      <c r="Z19" s="3184" t="str">
        <f>Q19</f>
        <v>商业繁华度</v>
      </c>
      <c r="AA19" s="3185">
        <f t="shared" si="3"/>
        <v>1</v>
      </c>
      <c r="AB19" s="3185">
        <f t="shared" si="4"/>
        <v>0.98039215686274506</v>
      </c>
      <c r="AC19" s="3185">
        <f t="shared" si="5"/>
        <v>1</v>
      </c>
    </row>
    <row r="20" spans="1:29" ht="20.25">
      <c r="A20" s="531"/>
      <c r="B20" s="565"/>
      <c r="C20" s="566" t="s">
        <v>4148</v>
      </c>
      <c r="D20" s="562"/>
      <c r="E20" s="557" t="s">
        <v>4148</v>
      </c>
      <c r="F20" s="558"/>
      <c r="G20" s="555" t="s">
        <v>3021</v>
      </c>
      <c r="H20" s="554"/>
      <c r="I20" s="555" t="s">
        <v>4148</v>
      </c>
      <c r="J20" s="554"/>
      <c r="K20" s="530"/>
      <c r="L20" s="2142"/>
      <c r="M20" s="2132"/>
      <c r="N20" s="2132"/>
      <c r="O20" s="2141"/>
      <c r="P20" s="3425"/>
      <c r="Q20" s="3183"/>
      <c r="R20" s="1572"/>
      <c r="S20" s="1573"/>
      <c r="T20" s="1572"/>
      <c r="U20" s="1573"/>
      <c r="V20" s="1572"/>
      <c r="W20" s="1573"/>
      <c r="X20" s="3182"/>
      <c r="Y20" s="3425"/>
      <c r="Z20" s="3184"/>
      <c r="AA20" s="3185">
        <v>1</v>
      </c>
      <c r="AB20" s="3185">
        <v>1</v>
      </c>
      <c r="AC20" s="3185">
        <v>1</v>
      </c>
    </row>
    <row r="21" spans="1:29" ht="20.25">
      <c r="A21" s="531"/>
      <c r="B21" s="559" t="s">
        <v>541</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v>2</v>
      </c>
      <c r="L21" s="2142"/>
      <c r="M21" s="2132"/>
      <c r="N21" s="2132"/>
      <c r="O21" s="2141"/>
      <c r="P21" s="3425"/>
      <c r="Q21" s="3183" t="str">
        <f>B21</f>
        <v>办公集聚程度</v>
      </c>
      <c r="R21" s="1572" t="s">
        <v>8</v>
      </c>
      <c r="S21" s="1573">
        <f>F21</f>
        <v>100</v>
      </c>
      <c r="T21" s="1572" t="s">
        <v>8</v>
      </c>
      <c r="U21" s="1573">
        <f>H21</f>
        <v>100</v>
      </c>
      <c r="V21" s="1572" t="s">
        <v>8</v>
      </c>
      <c r="W21" s="1573">
        <f>J21</f>
        <v>100</v>
      </c>
      <c r="X21" s="3182"/>
      <c r="Y21" s="3425"/>
      <c r="Z21" s="3184" t="str">
        <f>Q21</f>
        <v>办公集聚程度</v>
      </c>
      <c r="AA21" s="3185">
        <f t="shared" si="3"/>
        <v>1</v>
      </c>
      <c r="AB21" s="3185">
        <f t="shared" si="4"/>
        <v>1</v>
      </c>
      <c r="AC21" s="3185">
        <f t="shared" si="5"/>
        <v>1</v>
      </c>
    </row>
    <row r="22" spans="1:29" ht="20.25">
      <c r="A22" s="531"/>
      <c r="B22" s="565"/>
      <c r="C22" s="553" t="s">
        <v>4148</v>
      </c>
      <c r="D22" s="556"/>
      <c r="E22" s="557" t="s">
        <v>4148</v>
      </c>
      <c r="F22" s="554"/>
      <c r="G22" s="557" t="s">
        <v>4148</v>
      </c>
      <c r="H22" s="554"/>
      <c r="I22" s="557" t="s">
        <v>4148</v>
      </c>
      <c r="J22" s="554"/>
      <c r="K22" s="530"/>
      <c r="L22" s="2142"/>
      <c r="M22" s="2132"/>
      <c r="N22" s="2132"/>
      <c r="O22" s="2141"/>
      <c r="P22" s="3425"/>
      <c r="Q22" s="3183"/>
      <c r="R22" s="1572"/>
      <c r="S22" s="1573"/>
      <c r="T22" s="1572"/>
      <c r="U22" s="1573"/>
      <c r="V22" s="1572"/>
      <c r="W22" s="1573"/>
      <c r="X22" s="3182"/>
      <c r="Y22" s="3425"/>
      <c r="Z22" s="3184"/>
      <c r="AA22" s="3185">
        <v>1</v>
      </c>
      <c r="AB22" s="3185">
        <v>1</v>
      </c>
      <c r="AC22" s="3185">
        <v>1</v>
      </c>
    </row>
    <row r="23" spans="1:29" ht="85.5">
      <c r="A23" s="531"/>
      <c r="B23" s="559" t="s">
        <v>542</v>
      </c>
      <c r="C23" s="572" t="str">
        <f>估价对象房地状况!C18</f>
        <v>估价对象周边道路状况、公共交通通达情况、停车便捷程度，综合评价交通便捷度较好</v>
      </c>
      <c r="D23" s="562">
        <v>100</v>
      </c>
      <c r="E23" s="563"/>
      <c r="F23" s="564">
        <f>SUMIF(96:96,E24,97:97)-SUMIF(96:96,C24,97:97)+100</f>
        <v>102</v>
      </c>
      <c r="G23" s="561"/>
      <c r="H23" s="558">
        <f>SUMIF(96:96,G24,97:97)-SUMIF(96:96,C24,97:97)+100</f>
        <v>102</v>
      </c>
      <c r="I23" s="563"/>
      <c r="J23" s="558">
        <f>SUMIF(96:96,I24,97:97)-SUMIF(96:96,C24,97:97)+100</f>
        <v>102</v>
      </c>
      <c r="K23" s="534">
        <v>2</v>
      </c>
      <c r="L23" s="2142"/>
      <c r="M23" s="2132"/>
      <c r="N23" s="2132"/>
      <c r="O23" s="2141"/>
      <c r="P23" s="3425"/>
      <c r="Q23" s="3183" t="str">
        <f>B23</f>
        <v>交通便捷度</v>
      </c>
      <c r="R23" s="1572" t="s">
        <v>8</v>
      </c>
      <c r="S23" s="1573">
        <f>F23</f>
        <v>102</v>
      </c>
      <c r="T23" s="1572" t="s">
        <v>8</v>
      </c>
      <c r="U23" s="1573">
        <f>H23</f>
        <v>102</v>
      </c>
      <c r="V23" s="1572" t="s">
        <v>8</v>
      </c>
      <c r="W23" s="1573">
        <f>J23</f>
        <v>102</v>
      </c>
      <c r="X23" s="3182"/>
      <c r="Y23" s="3425"/>
      <c r="Z23" s="3184" t="str">
        <f>Q23</f>
        <v>交通便捷度</v>
      </c>
      <c r="AA23" s="3185">
        <f t="shared" si="3"/>
        <v>0.98039215686274506</v>
      </c>
      <c r="AB23" s="3185">
        <f t="shared" si="4"/>
        <v>0.98039215686274506</v>
      </c>
      <c r="AC23" s="3185">
        <f t="shared" si="5"/>
        <v>0.98039215686274506</v>
      </c>
    </row>
    <row r="24" spans="1:29" ht="20.25">
      <c r="A24" s="531"/>
      <c r="B24" s="577"/>
      <c r="C24" s="553" t="s">
        <v>4148</v>
      </c>
      <c r="D24" s="556"/>
      <c r="E24" s="575" t="s">
        <v>3021</v>
      </c>
      <c r="F24" s="554"/>
      <c r="G24" s="553" t="s">
        <v>3021</v>
      </c>
      <c r="H24" s="554"/>
      <c r="I24" s="553" t="s">
        <v>3021</v>
      </c>
      <c r="J24" s="554"/>
      <c r="K24" s="530"/>
      <c r="L24" s="2142"/>
      <c r="M24" s="2132"/>
      <c r="N24" s="2132"/>
      <c r="O24" s="2141"/>
      <c r="P24" s="3425"/>
      <c r="Q24" s="3183"/>
      <c r="R24" s="1572"/>
      <c r="S24" s="1573"/>
      <c r="T24" s="1572"/>
      <c r="U24" s="1573"/>
      <c r="V24" s="1572"/>
      <c r="W24" s="1573"/>
      <c r="X24" s="3182"/>
      <c r="Y24" s="3425"/>
      <c r="Z24" s="3184"/>
      <c r="AA24" s="3185">
        <v>1</v>
      </c>
      <c r="AB24" s="3185">
        <v>1</v>
      </c>
      <c r="AC24" s="3185">
        <v>1</v>
      </c>
    </row>
    <row r="25" spans="1:29" ht="27">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42"/>
      <c r="M25" s="2132"/>
      <c r="N25" s="2132"/>
      <c r="O25" s="2141"/>
      <c r="P25" s="3425"/>
      <c r="Q25" s="3183" t="str">
        <f t="shared" ref="Q25:Q39" si="8">B25</f>
        <v>区域土地利用方向</v>
      </c>
      <c r="R25" s="1572" t="s">
        <v>8</v>
      </c>
      <c r="S25" s="1573">
        <f>F25</f>
        <v>100</v>
      </c>
      <c r="T25" s="1572" t="s">
        <v>8</v>
      </c>
      <c r="U25" s="1573">
        <f>H25</f>
        <v>100</v>
      </c>
      <c r="V25" s="1572" t="s">
        <v>8</v>
      </c>
      <c r="W25" s="1573">
        <f>J25</f>
        <v>100</v>
      </c>
      <c r="X25" s="3182"/>
      <c r="Y25" s="3425"/>
      <c r="Z25" s="3184" t="str">
        <f>Q25</f>
        <v>区域土地利用方向</v>
      </c>
      <c r="AA25" s="3185">
        <f t="shared" si="3"/>
        <v>1</v>
      </c>
      <c r="AB25" s="3185">
        <f t="shared" si="4"/>
        <v>1</v>
      </c>
      <c r="AC25" s="3185">
        <f t="shared" si="5"/>
        <v>1</v>
      </c>
    </row>
    <row r="26" spans="1:29" ht="20.25">
      <c r="A26" s="514"/>
      <c r="B26" s="1005"/>
      <c r="C26" s="553" t="s">
        <v>4148</v>
      </c>
      <c r="D26" s="556"/>
      <c r="E26" s="575" t="s">
        <v>4148</v>
      </c>
      <c r="F26" s="554"/>
      <c r="G26" s="553" t="s">
        <v>4148</v>
      </c>
      <c r="H26" s="554"/>
      <c r="I26" s="553" t="s">
        <v>4148</v>
      </c>
      <c r="J26" s="554"/>
      <c r="K26" s="530"/>
      <c r="L26" s="2142"/>
      <c r="M26" s="2132"/>
      <c r="N26" s="2132"/>
      <c r="O26" s="2141"/>
      <c r="P26" s="3425"/>
      <c r="Q26" s="3183"/>
      <c r="R26" s="1572"/>
      <c r="S26" s="1573"/>
      <c r="T26" s="1572"/>
      <c r="U26" s="1573"/>
      <c r="V26" s="1572"/>
      <c r="W26" s="1573"/>
      <c r="X26" s="3182"/>
      <c r="Y26" s="3425"/>
      <c r="Z26" s="3184"/>
      <c r="AA26" s="3185"/>
      <c r="AB26" s="3185"/>
      <c r="AC26" s="3185"/>
    </row>
    <row r="27" spans="1:29" ht="27">
      <c r="A27" s="514"/>
      <c r="B27" s="577" t="s">
        <v>544</v>
      </c>
      <c r="C27" s="560">
        <f>估价对象房地状况!C20</f>
        <v>0</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2"/>
      <c r="M27" s="2132"/>
      <c r="N27" s="2132"/>
      <c r="O27" s="2141"/>
      <c r="P27" s="3425"/>
      <c r="Q27" s="3183" t="str">
        <f t="shared" si="8"/>
        <v>自然及人文环境状况</v>
      </c>
      <c r="R27" s="1572" t="s">
        <v>8</v>
      </c>
      <c r="S27" s="1573">
        <f>F27</f>
        <v>100</v>
      </c>
      <c r="T27" s="1572" t="s">
        <v>8</v>
      </c>
      <c r="U27" s="1573">
        <f>H27</f>
        <v>100</v>
      </c>
      <c r="V27" s="1572" t="s">
        <v>8</v>
      </c>
      <c r="W27" s="1573">
        <f>J27</f>
        <v>100</v>
      </c>
      <c r="X27" s="3182"/>
      <c r="Y27" s="3425"/>
      <c r="Z27" s="3184" t="str">
        <f>Q27</f>
        <v>自然及人文环境状况</v>
      </c>
      <c r="AA27" s="3185">
        <f t="shared" si="3"/>
        <v>1</v>
      </c>
      <c r="AB27" s="3185">
        <f t="shared" si="4"/>
        <v>1</v>
      </c>
      <c r="AC27" s="3185">
        <f t="shared" si="5"/>
        <v>1</v>
      </c>
    </row>
    <row r="28" spans="1:29" ht="20.25">
      <c r="A28" s="514"/>
      <c r="B28" s="565"/>
      <c r="C28" s="575" t="s">
        <v>3021</v>
      </c>
      <c r="D28" s="556"/>
      <c r="E28" s="575" t="s">
        <v>3021</v>
      </c>
      <c r="F28" s="554"/>
      <c r="G28" s="575" t="s">
        <v>3021</v>
      </c>
      <c r="H28" s="554"/>
      <c r="I28" s="575" t="s">
        <v>3021</v>
      </c>
      <c r="J28" s="554"/>
      <c r="K28" s="530"/>
      <c r="L28" s="2142"/>
      <c r="M28" s="2132"/>
      <c r="N28" s="2132"/>
      <c r="O28" s="2141"/>
      <c r="P28" s="3425"/>
      <c r="Q28" s="3183"/>
      <c r="R28" s="1572"/>
      <c r="S28" s="1573"/>
      <c r="T28" s="1572"/>
      <c r="U28" s="1573"/>
      <c r="V28" s="1572"/>
      <c r="W28" s="1573"/>
      <c r="X28" s="3182"/>
      <c r="Y28" s="3425"/>
      <c r="Z28" s="3184"/>
      <c r="AA28" s="3185">
        <v>1</v>
      </c>
      <c r="AB28" s="3185">
        <v>1</v>
      </c>
      <c r="AC28" s="3185">
        <v>1</v>
      </c>
    </row>
    <row r="29" spans="1:29" s="1218" customFormat="1" ht="20.25">
      <c r="A29" s="576"/>
      <c r="B29" s="2591" t="s">
        <v>2545</v>
      </c>
      <c r="C29" s="572">
        <f>估价对象房地状况!C21</f>
        <v>0</v>
      </c>
      <c r="D29" s="562">
        <v>100</v>
      </c>
      <c r="E29" s="563"/>
      <c r="F29" s="558">
        <f>SUMIF(102:102,E30,103:103)-SUMIF(102:102,C30,103:103)+100</f>
        <v>100</v>
      </c>
      <c r="G29" s="561"/>
      <c r="H29" s="558">
        <f>SUMIF(102:102,G30,103:103)-SUMIF(102:102,C30,103:103)+100</f>
        <v>102</v>
      </c>
      <c r="I29" s="563"/>
      <c r="J29" s="558">
        <f>SUMIF(102:102,I30,103:103)-SUMIF(102:102,C30,103:103)+100</f>
        <v>100</v>
      </c>
      <c r="K29" s="534">
        <v>2</v>
      </c>
      <c r="L29" s="2135"/>
      <c r="M29" s="2132"/>
      <c r="N29" s="2132"/>
      <c r="O29" s="2137"/>
      <c r="P29" s="3425"/>
      <c r="Q29" s="3180" t="str">
        <f t="shared" si="8"/>
        <v>公共配套设施</v>
      </c>
      <c r="R29" s="1567" t="s">
        <v>8</v>
      </c>
      <c r="S29" s="1568">
        <f>F29</f>
        <v>100</v>
      </c>
      <c r="T29" s="1567" t="s">
        <v>8</v>
      </c>
      <c r="U29" s="1568">
        <f>H29</f>
        <v>102</v>
      </c>
      <c r="V29" s="1567" t="s">
        <v>8</v>
      </c>
      <c r="W29" s="1568">
        <f>J29</f>
        <v>100</v>
      </c>
      <c r="X29" s="1569"/>
      <c r="Y29" s="3425"/>
      <c r="Z29" s="3179" t="str">
        <f>Q29</f>
        <v>公共配套设施</v>
      </c>
      <c r="AA29" s="3185">
        <f>D29/F29</f>
        <v>1</v>
      </c>
      <c r="AB29" s="3185">
        <f>D29/H29</f>
        <v>0.98039215686274506</v>
      </c>
      <c r="AC29" s="3185">
        <f>D29/J29</f>
        <v>1</v>
      </c>
    </row>
    <row r="30" spans="1:29" s="1218" customFormat="1" ht="20.25">
      <c r="A30" s="576"/>
      <c r="B30" s="565"/>
      <c r="C30" s="578" t="s">
        <v>4148</v>
      </c>
      <c r="D30" s="556"/>
      <c r="E30" s="575" t="s">
        <v>4148</v>
      </c>
      <c r="F30" s="554"/>
      <c r="G30" s="553" t="s">
        <v>3021</v>
      </c>
      <c r="H30" s="554"/>
      <c r="I30" s="575" t="s">
        <v>4148</v>
      </c>
      <c r="J30" s="554"/>
      <c r="K30" s="530"/>
      <c r="L30" s="2135"/>
      <c r="M30" s="2132"/>
      <c r="N30" s="2132"/>
      <c r="O30" s="2137"/>
      <c r="P30" s="3425"/>
      <c r="Q30" s="3180"/>
      <c r="R30" s="1567"/>
      <c r="S30" s="1568"/>
      <c r="T30" s="1567"/>
      <c r="U30" s="1568"/>
      <c r="V30" s="1567"/>
      <c r="W30" s="1568"/>
      <c r="X30" s="1569"/>
      <c r="Y30" s="3425"/>
      <c r="Z30" s="3179"/>
      <c r="AA30" s="3185">
        <v>1</v>
      </c>
      <c r="AB30" s="3185">
        <v>1</v>
      </c>
      <c r="AC30" s="3185">
        <v>1</v>
      </c>
    </row>
    <row r="31" spans="1:29" s="1218" customFormat="1" ht="20.25">
      <c r="A31" s="576"/>
      <c r="B31" s="2591" t="s">
        <v>2546</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5"/>
      <c r="M31" s="2132"/>
      <c r="N31" s="2132"/>
      <c r="O31" s="2137"/>
      <c r="P31" s="3425"/>
      <c r="Q31" s="3180" t="str">
        <f t="shared" ref="Q31" si="9">B31</f>
        <v>基础设施水平</v>
      </c>
      <c r="R31" s="1567" t="s">
        <v>8</v>
      </c>
      <c r="S31" s="1568">
        <f>F31</f>
        <v>100</v>
      </c>
      <c r="T31" s="1567" t="s">
        <v>8</v>
      </c>
      <c r="U31" s="1568">
        <f>H31</f>
        <v>100</v>
      </c>
      <c r="V31" s="1567" t="s">
        <v>8</v>
      </c>
      <c r="W31" s="1568">
        <f>J31</f>
        <v>100</v>
      </c>
      <c r="X31" s="1569"/>
      <c r="Y31" s="3425"/>
      <c r="Z31" s="3179" t="str">
        <f>Q31</f>
        <v>基础设施水平</v>
      </c>
      <c r="AA31" s="3185">
        <f>D31/F31</f>
        <v>1</v>
      </c>
      <c r="AB31" s="3185">
        <f>D31/H31</f>
        <v>1</v>
      </c>
      <c r="AC31" s="3185">
        <f>D31/J31</f>
        <v>1</v>
      </c>
    </row>
    <row r="32" spans="1:29" s="1218" customFormat="1" ht="20.25">
      <c r="A32" s="576"/>
      <c r="B32" s="565"/>
      <c r="C32" s="578" t="s">
        <v>3883</v>
      </c>
      <c r="D32" s="556"/>
      <c r="E32" s="2592" t="s">
        <v>3883</v>
      </c>
      <c r="F32" s="554"/>
      <c r="G32" s="578" t="s">
        <v>3883</v>
      </c>
      <c r="H32" s="554"/>
      <c r="I32" s="578" t="s">
        <v>3883</v>
      </c>
      <c r="J32" s="554"/>
      <c r="K32" s="530"/>
      <c r="L32" s="2135"/>
      <c r="M32" s="2132"/>
      <c r="N32" s="2132"/>
      <c r="O32" s="2137"/>
      <c r="P32" s="3425"/>
      <c r="Q32" s="3180"/>
      <c r="R32" s="1567"/>
      <c r="S32" s="1568"/>
      <c r="T32" s="1567"/>
      <c r="U32" s="1568"/>
      <c r="V32" s="1567"/>
      <c r="W32" s="1568"/>
      <c r="X32" s="1569"/>
      <c r="Y32" s="3425"/>
      <c r="Z32" s="3179"/>
      <c r="AA32" s="3185">
        <v>1</v>
      </c>
      <c r="AB32" s="3185">
        <v>1</v>
      </c>
      <c r="AC32" s="3185">
        <v>1</v>
      </c>
    </row>
    <row r="33" spans="1:29" ht="20.25" hidden="1">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2"/>
      <c r="M33" s="2132"/>
      <c r="N33" s="2132"/>
      <c r="O33" s="2141"/>
      <c r="P33" s="3425"/>
      <c r="Q33" s="3183" t="str">
        <f t="shared" si="8"/>
        <v>临街状况</v>
      </c>
      <c r="R33" s="1572" t="s">
        <v>8</v>
      </c>
      <c r="S33" s="1573">
        <f t="shared" ref="S33:S47" si="10">F33</f>
        <v>100</v>
      </c>
      <c r="T33" s="1572" t="s">
        <v>8</v>
      </c>
      <c r="U33" s="1573">
        <f t="shared" ref="U33:U47" si="11">H33</f>
        <v>100</v>
      </c>
      <c r="V33" s="1572" t="s">
        <v>8</v>
      </c>
      <c r="W33" s="1573">
        <f t="shared" ref="W33:W47" si="12">J33</f>
        <v>100</v>
      </c>
      <c r="X33" s="3182"/>
      <c r="Y33" s="3425"/>
      <c r="Z33" s="3184" t="str">
        <f t="shared" ref="Z33:Z47" si="13">Q33</f>
        <v>临街状况</v>
      </c>
      <c r="AA33" s="3185">
        <f t="shared" si="3"/>
        <v>1</v>
      </c>
      <c r="AB33" s="3185">
        <f t="shared" si="4"/>
        <v>1</v>
      </c>
      <c r="AC33" s="3185">
        <f t="shared" si="5"/>
        <v>1</v>
      </c>
    </row>
    <row r="34" spans="1:29" ht="27">
      <c r="A34" s="531"/>
      <c r="B34" s="577" t="s">
        <v>547</v>
      </c>
      <c r="C34" s="561"/>
      <c r="D34" s="562">
        <v>100</v>
      </c>
      <c r="E34" s="3209" t="s">
        <v>4153</v>
      </c>
      <c r="F34" s="558">
        <f>SUMIF(108:108,E35,109:109)-SUMIF(108:108,C35,109:109)+100</f>
        <v>100</v>
      </c>
      <c r="G34" s="3210" t="s">
        <v>4174</v>
      </c>
      <c r="H34" s="558">
        <f>SUMIF(108:108,G35,109:109)-SUMIF(108:108,C35,109:109)+100</f>
        <v>100</v>
      </c>
      <c r="I34" s="3209" t="s">
        <v>4152</v>
      </c>
      <c r="J34" s="558">
        <f>SUMIF(108:108,I35,109:109)-SUMIF(108:108,C35,109:109)+100</f>
        <v>100</v>
      </c>
      <c r="K34" s="534">
        <v>1</v>
      </c>
      <c r="L34" s="2142"/>
      <c r="M34" s="2132"/>
      <c r="N34" s="2132"/>
      <c r="O34" s="2141"/>
      <c r="P34" s="3425"/>
      <c r="Q34" s="3183" t="str">
        <f t="shared" si="8"/>
        <v>毗邻道路的类型与等级</v>
      </c>
      <c r="R34" s="1572" t="s">
        <v>8</v>
      </c>
      <c r="S34" s="1573">
        <f t="shared" si="10"/>
        <v>100</v>
      </c>
      <c r="T34" s="1572" t="s">
        <v>8</v>
      </c>
      <c r="U34" s="1573">
        <f t="shared" si="11"/>
        <v>100</v>
      </c>
      <c r="V34" s="1572" t="s">
        <v>8</v>
      </c>
      <c r="W34" s="1573">
        <f t="shared" si="12"/>
        <v>100</v>
      </c>
      <c r="X34" s="3182"/>
      <c r="Y34" s="3425"/>
      <c r="Z34" s="3184" t="str">
        <f t="shared" si="13"/>
        <v>毗邻道路的类型与等级</v>
      </c>
      <c r="AA34" s="3185">
        <f t="shared" si="3"/>
        <v>1</v>
      </c>
      <c r="AB34" s="3185">
        <f t="shared" si="4"/>
        <v>1</v>
      </c>
      <c r="AC34" s="3185">
        <f t="shared" si="5"/>
        <v>1</v>
      </c>
    </row>
    <row r="35" spans="1:29" ht="21" thickBot="1">
      <c r="A35" s="531"/>
      <c r="B35" s="565"/>
      <c r="C35" s="553" t="s">
        <v>3034</v>
      </c>
      <c r="D35" s="556"/>
      <c r="E35" s="3216" t="s">
        <v>3034</v>
      </c>
      <c r="F35" s="3217"/>
      <c r="G35" s="553" t="s">
        <v>3034</v>
      </c>
      <c r="H35" s="554"/>
      <c r="I35" s="553" t="s">
        <v>3034</v>
      </c>
      <c r="J35" s="554"/>
      <c r="K35" s="580"/>
      <c r="L35" s="2142"/>
      <c r="M35" s="2132"/>
      <c r="N35" s="2132"/>
      <c r="O35" s="2141"/>
      <c r="P35" s="3425"/>
      <c r="Q35" s="3183"/>
      <c r="R35" s="1572"/>
      <c r="S35" s="1573"/>
      <c r="T35" s="1572"/>
      <c r="U35" s="1573"/>
      <c r="V35" s="1572"/>
      <c r="W35" s="1573"/>
      <c r="X35" s="3182"/>
      <c r="Y35" s="3425"/>
      <c r="Z35" s="3184"/>
      <c r="AA35" s="3185">
        <v>1</v>
      </c>
      <c r="AB35" s="3185">
        <v>1</v>
      </c>
      <c r="AC35" s="3185">
        <v>1</v>
      </c>
    </row>
    <row r="36" spans="1:29" ht="21" hidden="1" thickBot="1">
      <c r="A36" s="531"/>
      <c r="B36" s="581" t="s">
        <v>548</v>
      </c>
      <c r="C36" s="579"/>
      <c r="D36" s="574">
        <v>100</v>
      </c>
      <c r="E36" s="3215"/>
      <c r="F36" s="554">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25"/>
      <c r="Q36" s="3183" t="str">
        <f t="shared" si="8"/>
        <v>土地级别</v>
      </c>
      <c r="R36" s="1572" t="s">
        <v>8</v>
      </c>
      <c r="S36" s="1573">
        <f t="shared" si="10"/>
        <v>100</v>
      </c>
      <c r="T36" s="1572" t="s">
        <v>8</v>
      </c>
      <c r="U36" s="1573">
        <f t="shared" si="11"/>
        <v>100</v>
      </c>
      <c r="V36" s="1572" t="s">
        <v>8</v>
      </c>
      <c r="W36" s="1573">
        <f t="shared" si="12"/>
        <v>100</v>
      </c>
      <c r="X36" s="3182"/>
      <c r="Y36" s="3425"/>
      <c r="Z36" s="3184" t="str">
        <f t="shared" si="13"/>
        <v>土地级别</v>
      </c>
      <c r="AA36" s="3185">
        <f t="shared" si="3"/>
        <v>1</v>
      </c>
      <c r="AB36" s="3185">
        <f t="shared" si="4"/>
        <v>1</v>
      </c>
      <c r="AC36" s="3185">
        <f t="shared" si="5"/>
        <v>1</v>
      </c>
    </row>
    <row r="37" spans="1:29" ht="21" hidden="1" thickBot="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25"/>
      <c r="Q37" s="3183">
        <f t="shared" si="8"/>
        <v>0</v>
      </c>
      <c r="R37" s="1572" t="s">
        <v>8</v>
      </c>
      <c r="S37" s="1573">
        <f t="shared" si="10"/>
        <v>100</v>
      </c>
      <c r="T37" s="1572" t="s">
        <v>8</v>
      </c>
      <c r="U37" s="1573">
        <f t="shared" si="11"/>
        <v>100</v>
      </c>
      <c r="V37" s="1572" t="s">
        <v>8</v>
      </c>
      <c r="W37" s="1573">
        <f t="shared" si="12"/>
        <v>100</v>
      </c>
      <c r="X37" s="3182"/>
      <c r="Y37" s="3425"/>
      <c r="Z37" s="3184">
        <f t="shared" si="13"/>
        <v>0</v>
      </c>
      <c r="AA37" s="3185">
        <f t="shared" si="3"/>
        <v>1</v>
      </c>
      <c r="AB37" s="3185">
        <f t="shared" si="4"/>
        <v>1</v>
      </c>
      <c r="AC37" s="3185">
        <f t="shared" si="5"/>
        <v>1</v>
      </c>
    </row>
    <row r="38" spans="1:29" ht="21" hidden="1" thickBot="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26" t="s">
        <v>549</v>
      </c>
      <c r="Q38" s="3183">
        <f t="shared" si="8"/>
        <v>0</v>
      </c>
      <c r="R38" s="1572" t="s">
        <v>8</v>
      </c>
      <c r="S38" s="1573">
        <f t="shared" si="10"/>
        <v>100</v>
      </c>
      <c r="T38" s="1572" t="s">
        <v>8</v>
      </c>
      <c r="U38" s="1573">
        <f t="shared" si="11"/>
        <v>100</v>
      </c>
      <c r="V38" s="1572" t="s">
        <v>8</v>
      </c>
      <c r="W38" s="1573">
        <f t="shared" si="12"/>
        <v>100</v>
      </c>
      <c r="X38" s="3182"/>
      <c r="Y38" s="3427" t="s">
        <v>549</v>
      </c>
      <c r="Z38" s="3184">
        <f t="shared" si="13"/>
        <v>0</v>
      </c>
      <c r="AA38" s="3185">
        <f t="shared" si="3"/>
        <v>1</v>
      </c>
      <c r="AB38" s="3185">
        <f t="shared" si="4"/>
        <v>1</v>
      </c>
      <c r="AC38" s="3185">
        <f t="shared" si="5"/>
        <v>1</v>
      </c>
    </row>
    <row r="39" spans="1:29" s="1337"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27"/>
      <c r="Q39" s="3183">
        <f t="shared" si="8"/>
        <v>0</v>
      </c>
      <c r="R39" s="1576" t="s">
        <v>8</v>
      </c>
      <c r="S39" s="1577">
        <f t="shared" si="10"/>
        <v>100</v>
      </c>
      <c r="T39" s="1576" t="s">
        <v>8</v>
      </c>
      <c r="U39" s="1577">
        <f t="shared" si="11"/>
        <v>100</v>
      </c>
      <c r="V39" s="1576" t="s">
        <v>8</v>
      </c>
      <c r="W39" s="1577">
        <f t="shared" si="12"/>
        <v>100</v>
      </c>
      <c r="X39" s="1578"/>
      <c r="Y39" s="3427"/>
      <c r="Z39" s="1579">
        <f t="shared" si="13"/>
        <v>0</v>
      </c>
      <c r="AA39" s="3185">
        <f t="shared" si="3"/>
        <v>1</v>
      </c>
      <c r="AB39" s="3185">
        <f t="shared" si="4"/>
        <v>1</v>
      </c>
      <c r="AC39" s="3185">
        <f t="shared" si="5"/>
        <v>1</v>
      </c>
    </row>
    <row r="40" spans="1:29" ht="20.25">
      <c r="A40" s="2907" t="s">
        <v>2751</v>
      </c>
      <c r="B40" s="594" t="s">
        <v>551</v>
      </c>
      <c r="C40" s="595">
        <f>'数据-汇总表'!D3</f>
        <v>117823.1</v>
      </c>
      <c r="D40" s="596">
        <v>100</v>
      </c>
      <c r="E40" s="595">
        <f>'土地案例（商业）'!H4</f>
        <v>19615</v>
      </c>
      <c r="F40" s="596">
        <f>LOOKUP(E40,119:119,120:120)-LOOKUP(C40,119:119,120:120)+100</f>
        <v>100</v>
      </c>
      <c r="G40" s="595">
        <f>'土地案例（商业）'!H40</f>
        <v>10121</v>
      </c>
      <c r="H40" s="596">
        <f>LOOKUP(G40,119:119,120:120)-LOOKUP(C40,119:119,120:120)+100</f>
        <v>100</v>
      </c>
      <c r="I40" s="597">
        <f>'土地案例（商业）'!H46</f>
        <v>6667</v>
      </c>
      <c r="J40" s="596">
        <f>LOOKUP(I40,119:119,120:120)-LOOKUP(C40,119:119,120:120)+100</f>
        <v>100</v>
      </c>
      <c r="K40" s="580"/>
      <c r="L40" s="2142"/>
      <c r="M40" s="2132"/>
      <c r="N40" s="2132"/>
      <c r="O40" s="2141"/>
      <c r="P40" s="3427"/>
      <c r="Q40" s="3183" t="str">
        <f>B40</f>
        <v>宗地面积</v>
      </c>
      <c r="R40" s="1572" t="s">
        <v>8</v>
      </c>
      <c r="S40" s="1573">
        <f t="shared" si="10"/>
        <v>100</v>
      </c>
      <c r="T40" s="1572" t="s">
        <v>8</v>
      </c>
      <c r="U40" s="1573">
        <f t="shared" si="11"/>
        <v>100</v>
      </c>
      <c r="V40" s="1572" t="s">
        <v>8</v>
      </c>
      <c r="W40" s="1573">
        <f t="shared" si="12"/>
        <v>100</v>
      </c>
      <c r="X40" s="3182"/>
      <c r="Y40" s="3427"/>
      <c r="Z40" s="3184" t="str">
        <f t="shared" si="13"/>
        <v>宗地面积</v>
      </c>
      <c r="AA40" s="3185">
        <f t="shared" si="3"/>
        <v>1</v>
      </c>
      <c r="AB40" s="3185">
        <f t="shared" si="4"/>
        <v>1</v>
      </c>
      <c r="AC40" s="3185">
        <f t="shared" si="5"/>
        <v>1</v>
      </c>
    </row>
    <row r="41" spans="1:29" ht="20.25">
      <c r="A41" s="593"/>
      <c r="B41" s="526" t="s">
        <v>552</v>
      </c>
      <c r="C41" s="598" t="s">
        <v>3028</v>
      </c>
      <c r="D41" s="539">
        <v>100</v>
      </c>
      <c r="E41" s="598" t="s">
        <v>3028</v>
      </c>
      <c r="F41" s="539">
        <f>SUMIF(121:121,E41,122:122)-SUMIF(121:121,C41,122:122)+100</f>
        <v>100</v>
      </c>
      <c r="G41" s="598" t="s">
        <v>3028</v>
      </c>
      <c r="H41" s="539">
        <f>SUMIF(121:121,G41,122:122)-SUMIF(121:121,C41,122:122)+100</f>
        <v>100</v>
      </c>
      <c r="I41" s="598" t="s">
        <v>3028</v>
      </c>
      <c r="J41" s="539">
        <f>SUMIF(121:121,I41,122:122)-SUMIF(121:121,C41,122:122)+100</f>
        <v>100</v>
      </c>
      <c r="K41" s="583">
        <v>2</v>
      </c>
      <c r="L41" s="2142"/>
      <c r="M41" s="2132"/>
      <c r="N41" s="2132"/>
      <c r="O41" s="2141"/>
      <c r="P41" s="3427"/>
      <c r="Q41" s="3183" t="str">
        <f t="shared" ref="Q41:Q47" si="14">B41</f>
        <v>宗地形状</v>
      </c>
      <c r="R41" s="1572" t="s">
        <v>8</v>
      </c>
      <c r="S41" s="1573">
        <f t="shared" si="10"/>
        <v>100</v>
      </c>
      <c r="T41" s="1572" t="s">
        <v>8</v>
      </c>
      <c r="U41" s="1573">
        <f t="shared" si="11"/>
        <v>100</v>
      </c>
      <c r="V41" s="1572" t="s">
        <v>8</v>
      </c>
      <c r="W41" s="1573">
        <f t="shared" si="12"/>
        <v>100</v>
      </c>
      <c r="X41" s="3182"/>
      <c r="Y41" s="3427"/>
      <c r="Z41" s="3184" t="str">
        <f t="shared" si="13"/>
        <v>宗地形状</v>
      </c>
      <c r="AA41" s="3185">
        <f t="shared" si="3"/>
        <v>1</v>
      </c>
      <c r="AB41" s="3185">
        <f t="shared" si="4"/>
        <v>1</v>
      </c>
      <c r="AC41" s="3185">
        <f t="shared" si="5"/>
        <v>1</v>
      </c>
    </row>
    <row r="42" spans="1:29" ht="20.25" hidden="1">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2"/>
      <c r="M42" s="2132"/>
      <c r="N42" s="2132"/>
      <c r="O42" s="2141"/>
      <c r="P42" s="3427"/>
      <c r="Q42" s="3183" t="str">
        <f t="shared" si="14"/>
        <v>临街宽度及深度</v>
      </c>
      <c r="R42" s="1572" t="s">
        <v>8</v>
      </c>
      <c r="S42" s="1573">
        <f t="shared" si="10"/>
        <v>100</v>
      </c>
      <c r="T42" s="1572" t="s">
        <v>8</v>
      </c>
      <c r="U42" s="1573">
        <f t="shared" si="11"/>
        <v>100</v>
      </c>
      <c r="V42" s="1572" t="s">
        <v>8</v>
      </c>
      <c r="W42" s="1573">
        <f t="shared" si="12"/>
        <v>100</v>
      </c>
      <c r="X42" s="3182"/>
      <c r="Y42" s="3427"/>
      <c r="Z42" s="3184" t="str">
        <f t="shared" si="13"/>
        <v>临街宽度及深度</v>
      </c>
      <c r="AA42" s="3185">
        <f t="shared" si="3"/>
        <v>1</v>
      </c>
      <c r="AB42" s="3185">
        <f t="shared" si="4"/>
        <v>1</v>
      </c>
      <c r="AC42" s="3185">
        <f t="shared" si="5"/>
        <v>1</v>
      </c>
    </row>
    <row r="43" spans="1:29" s="1218" customFormat="1" ht="20.25">
      <c r="A43" s="599"/>
      <c r="B43" s="1895" t="s">
        <v>2422</v>
      </c>
      <c r="C43" s="600" t="s">
        <v>3023</v>
      </c>
      <c r="D43" s="254">
        <v>100</v>
      </c>
      <c r="E43" s="600" t="s">
        <v>3023</v>
      </c>
      <c r="F43" s="539">
        <f>SUMIF(125:125,E43,126:126)-SUMIF(125:125,C43,126:126)+100</f>
        <v>100</v>
      </c>
      <c r="G43" s="600" t="s">
        <v>3023</v>
      </c>
      <c r="H43" s="539">
        <f>SUMIF(125:125,G43,126:126)-SUMIF(125:125,C43,126:126)+100</f>
        <v>100</v>
      </c>
      <c r="I43" s="600" t="s">
        <v>3023</v>
      </c>
      <c r="J43" s="539">
        <f>SUMIF(125:125,I43,126:126)-SUMIF(125:125,C43,126:126)+100</f>
        <v>100</v>
      </c>
      <c r="K43" s="583">
        <v>2</v>
      </c>
      <c r="L43" s="2135"/>
      <c r="M43" s="2132"/>
      <c r="N43" s="2132"/>
      <c r="O43" s="2137"/>
      <c r="P43" s="3427"/>
      <c r="Q43" s="3183" t="str">
        <f t="shared" si="14"/>
        <v>宗地开发程度</v>
      </c>
      <c r="R43" s="1567" t="s">
        <v>8</v>
      </c>
      <c r="S43" s="1568">
        <f t="shared" si="10"/>
        <v>100</v>
      </c>
      <c r="T43" s="1567" t="s">
        <v>8</v>
      </c>
      <c r="U43" s="1568">
        <f t="shared" si="11"/>
        <v>100</v>
      </c>
      <c r="V43" s="1567" t="s">
        <v>8</v>
      </c>
      <c r="W43" s="1568">
        <f t="shared" si="12"/>
        <v>100</v>
      </c>
      <c r="X43" s="1569"/>
      <c r="Y43" s="3427"/>
      <c r="Z43" s="3179" t="str">
        <f t="shared" si="13"/>
        <v>宗地开发程度</v>
      </c>
      <c r="AA43" s="1570">
        <f t="shared" si="3"/>
        <v>1</v>
      </c>
      <c r="AB43" s="1570">
        <f t="shared" si="4"/>
        <v>1</v>
      </c>
      <c r="AC43" s="1570">
        <f t="shared" si="5"/>
        <v>1</v>
      </c>
    </row>
    <row r="44" spans="1:29" ht="21" thickBot="1">
      <c r="A44" s="593"/>
      <c r="B44" s="526" t="s">
        <v>554</v>
      </c>
      <c r="C44" s="598" t="s">
        <v>3021</v>
      </c>
      <c r="D44" s="539">
        <v>100</v>
      </c>
      <c r="E44" s="598" t="s">
        <v>3021</v>
      </c>
      <c r="F44" s="539">
        <f>SUMIF(127:127,E44,128:128)-SUMIF(127:127,C44,128:128)+100</f>
        <v>100</v>
      </c>
      <c r="G44" s="598" t="s">
        <v>3021</v>
      </c>
      <c r="H44" s="539">
        <f>SUMIF(127:127,G44,128:128)-SUMIF(127:127,C44,128:128)+100</f>
        <v>100</v>
      </c>
      <c r="I44" s="598" t="s">
        <v>3021</v>
      </c>
      <c r="J44" s="539">
        <f>SUMIF(127:127,I44,128:128)-SUMIF(127:127,C44,128:128)+100</f>
        <v>100</v>
      </c>
      <c r="K44" s="583">
        <v>2</v>
      </c>
      <c r="L44" s="2142"/>
      <c r="M44" s="2132"/>
      <c r="N44" s="2132"/>
      <c r="O44" s="2141"/>
      <c r="P44" s="3427" t="s">
        <v>549</v>
      </c>
      <c r="Q44" s="3183" t="str">
        <f t="shared" si="14"/>
        <v>工程地质条件</v>
      </c>
      <c r="R44" s="1572" t="s">
        <v>8</v>
      </c>
      <c r="S44" s="1573">
        <f t="shared" si="10"/>
        <v>100</v>
      </c>
      <c r="T44" s="1572" t="s">
        <v>8</v>
      </c>
      <c r="U44" s="1573">
        <f t="shared" si="11"/>
        <v>100</v>
      </c>
      <c r="V44" s="1572" t="s">
        <v>8</v>
      </c>
      <c r="W44" s="1573">
        <f t="shared" si="12"/>
        <v>100</v>
      </c>
      <c r="X44" s="3182"/>
      <c r="Y44" s="3427" t="s">
        <v>549</v>
      </c>
      <c r="Z44" s="3184" t="str">
        <f t="shared" si="13"/>
        <v>工程地质条件</v>
      </c>
      <c r="AA44" s="3185">
        <f t="shared" si="3"/>
        <v>1</v>
      </c>
      <c r="AB44" s="3185">
        <f t="shared" si="4"/>
        <v>1</v>
      </c>
      <c r="AC44" s="3185">
        <f t="shared" si="5"/>
        <v>1</v>
      </c>
    </row>
    <row r="45" spans="1:29" ht="21" hidden="1" thickBot="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27"/>
      <c r="Q45" s="3183">
        <f t="shared" si="14"/>
        <v>0</v>
      </c>
      <c r="R45" s="1572" t="s">
        <v>8</v>
      </c>
      <c r="S45" s="1573">
        <f t="shared" si="10"/>
        <v>100</v>
      </c>
      <c r="T45" s="1572" t="s">
        <v>8</v>
      </c>
      <c r="U45" s="1573">
        <f t="shared" si="11"/>
        <v>100</v>
      </c>
      <c r="V45" s="1572" t="s">
        <v>8</v>
      </c>
      <c r="W45" s="1573">
        <f t="shared" si="12"/>
        <v>100</v>
      </c>
      <c r="X45" s="3182"/>
      <c r="Y45" s="3427"/>
      <c r="Z45" s="3184">
        <f t="shared" si="13"/>
        <v>0</v>
      </c>
      <c r="AA45" s="3185">
        <f t="shared" si="3"/>
        <v>1</v>
      </c>
      <c r="AB45" s="3185">
        <f t="shared" si="4"/>
        <v>1</v>
      </c>
      <c r="AC45" s="3185">
        <f t="shared" si="5"/>
        <v>1</v>
      </c>
    </row>
    <row r="46" spans="1:29" ht="21" hidden="1" thickBot="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27"/>
      <c r="Q46" s="3183">
        <f t="shared" si="14"/>
        <v>0</v>
      </c>
      <c r="R46" s="1572" t="s">
        <v>8</v>
      </c>
      <c r="S46" s="1573">
        <f t="shared" si="10"/>
        <v>100</v>
      </c>
      <c r="T46" s="1572" t="s">
        <v>8</v>
      </c>
      <c r="U46" s="1573">
        <f t="shared" si="11"/>
        <v>100</v>
      </c>
      <c r="V46" s="1572" t="s">
        <v>8</v>
      </c>
      <c r="W46" s="1573">
        <f t="shared" si="12"/>
        <v>100</v>
      </c>
      <c r="X46" s="3182"/>
      <c r="Y46" s="3427"/>
      <c r="Z46" s="3184">
        <f t="shared" si="13"/>
        <v>0</v>
      </c>
      <c r="AA46" s="3185">
        <f t="shared" si="3"/>
        <v>1</v>
      </c>
      <c r="AB46" s="3185">
        <f t="shared" si="4"/>
        <v>1</v>
      </c>
      <c r="AC46" s="3185">
        <f t="shared" si="5"/>
        <v>1</v>
      </c>
    </row>
    <row r="47" spans="1:29" s="1337"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27"/>
      <c r="Q47" s="3183">
        <f t="shared" si="14"/>
        <v>0</v>
      </c>
      <c r="R47" s="1576" t="s">
        <v>8</v>
      </c>
      <c r="S47" s="1577">
        <f t="shared" si="10"/>
        <v>100</v>
      </c>
      <c r="T47" s="1576" t="s">
        <v>8</v>
      </c>
      <c r="U47" s="1577">
        <f t="shared" si="11"/>
        <v>100</v>
      </c>
      <c r="V47" s="1576" t="s">
        <v>8</v>
      </c>
      <c r="W47" s="1577">
        <f t="shared" si="12"/>
        <v>100</v>
      </c>
      <c r="X47" s="1578"/>
      <c r="Y47" s="3427"/>
      <c r="Z47" s="1579">
        <f t="shared" si="13"/>
        <v>0</v>
      </c>
      <c r="AA47" s="3185">
        <f t="shared" si="3"/>
        <v>1</v>
      </c>
      <c r="AB47" s="3185">
        <f t="shared" si="4"/>
        <v>1</v>
      </c>
      <c r="AC47" s="3185">
        <f t="shared" si="5"/>
        <v>1</v>
      </c>
    </row>
    <row r="48" spans="1:29" ht="20.25">
      <c r="A48" s="606" t="s">
        <v>555</v>
      </c>
      <c r="B48" s="607" t="s">
        <v>3020</v>
      </c>
      <c r="C48" s="608" t="s">
        <v>1</v>
      </c>
      <c r="D48" s="609"/>
      <c r="E48" s="610">
        <f>'土地案例（商业）'!P4</f>
        <v>1026.9100000000001</v>
      </c>
      <c r="F48" s="611"/>
      <c r="G48" s="612">
        <f>'土地案例（商业）'!P40</f>
        <v>1837.42</v>
      </c>
      <c r="H48" s="613"/>
      <c r="I48" s="610">
        <f>'土地案例（商业）'!P46</f>
        <v>1062.79</v>
      </c>
      <c r="J48" s="613"/>
      <c r="K48" s="1338"/>
      <c r="L48" s="2144"/>
      <c r="M48" s="2132"/>
      <c r="N48" s="2132"/>
      <c r="O48" s="2145"/>
      <c r="P48" s="3390" t="str">
        <f>A48</f>
        <v>成交单价</v>
      </c>
      <c r="Q48" s="3390"/>
      <c r="R48" s="3391">
        <f>E48</f>
        <v>1026.9100000000001</v>
      </c>
      <c r="S48" s="3391"/>
      <c r="T48" s="3391">
        <f>G48</f>
        <v>1837.42</v>
      </c>
      <c r="U48" s="3391"/>
      <c r="V48" s="3391">
        <f>I48</f>
        <v>1062.79</v>
      </c>
      <c r="W48" s="3391"/>
      <c r="X48" s="1558"/>
      <c r="Y48" s="1580"/>
      <c r="Z48" s="1558"/>
      <c r="AA48" s="1558"/>
      <c r="AB48" s="1558"/>
      <c r="AC48" s="1558"/>
    </row>
    <row r="49" spans="1:29" ht="21" thickBot="1">
      <c r="A49" s="614" t="s">
        <v>2689</v>
      </c>
      <c r="B49" s="615"/>
      <c r="C49" s="616">
        <f>R50</f>
        <v>1517</v>
      </c>
      <c r="D49" s="617"/>
      <c r="E49" s="616">
        <f>R49</f>
        <v>1193</v>
      </c>
      <c r="F49" s="618"/>
      <c r="G49" s="619">
        <f>T49</f>
        <v>2021</v>
      </c>
      <c r="H49" s="617"/>
      <c r="I49" s="616">
        <f>V49</f>
        <v>1336</v>
      </c>
      <c r="J49" s="617"/>
      <c r="K49" s="1339"/>
      <c r="L49" s="2144"/>
      <c r="M49" s="2132"/>
      <c r="N49" s="2132"/>
      <c r="O49" s="2145"/>
      <c r="P49" s="3390" t="str">
        <f>A49</f>
        <v>比较价格（元/平方米）</v>
      </c>
      <c r="Q49" s="3390"/>
      <c r="R49" s="3392">
        <f>ROUND(PRODUCT(R48,AA9:AA47),0)</f>
        <v>1193</v>
      </c>
      <c r="S49" s="3392"/>
      <c r="T49" s="3392">
        <f>ROUND(PRODUCT(T48,AB9:AB47),0)</f>
        <v>2021</v>
      </c>
      <c r="U49" s="3392"/>
      <c r="V49" s="3392">
        <f>ROUND(PRODUCT(V48,AC9:AC47),0)</f>
        <v>1336</v>
      </c>
      <c r="W49" s="3392"/>
      <c r="X49" s="1558"/>
      <c r="Y49" s="1558"/>
      <c r="Z49" s="1558"/>
      <c r="AA49" s="1558"/>
      <c r="AB49" s="1558"/>
      <c r="AC49" s="1558"/>
    </row>
    <row r="50" spans="1:29" ht="21" thickBot="1">
      <c r="A50" s="620" t="s">
        <v>2922</v>
      </c>
      <c r="B50" s="621"/>
      <c r="C50" s="622">
        <f>R50</f>
        <v>1517</v>
      </c>
      <c r="D50" s="622"/>
      <c r="E50" s="622"/>
      <c r="F50" s="622"/>
      <c r="G50" s="622"/>
      <c r="H50" s="622"/>
      <c r="I50" s="622"/>
      <c r="J50" s="622"/>
      <c r="K50" s="1340"/>
      <c r="L50" s="2144"/>
      <c r="M50" s="2132"/>
      <c r="N50" s="2132"/>
      <c r="O50" s="2145"/>
      <c r="P50" s="3387" t="str">
        <f>A50</f>
        <v>估价对象XX用房的比较价格（楼面单价，元/平方米）</v>
      </c>
      <c r="Q50" s="3388"/>
      <c r="R50" s="3389">
        <f>ROUND(AVERAGE(R49:V49),0)</f>
        <v>1517</v>
      </c>
      <c r="S50" s="3389"/>
      <c r="T50" s="3389"/>
      <c r="U50" s="3389"/>
      <c r="V50" s="3389"/>
      <c r="W50" s="3389"/>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556</v>
      </c>
      <c r="D53" s="624"/>
      <c r="E53" s="625">
        <f>IF(E48&lt;E49,E49/E48-1,E48/E49-1)</f>
        <v>0.16173764010478031</v>
      </c>
      <c r="F53" s="626" t="str">
        <f>IF(OR(E53&gt;=0.3,E53&lt;=-0.3),"超过30%","")</f>
        <v/>
      </c>
      <c r="G53" s="625">
        <f>IF(G48&lt;G49,G49/G48-1,G48/G49-1)</f>
        <v>9.9911832896126151E-2</v>
      </c>
      <c r="H53" s="626" t="str">
        <f>IF(OR(G53&gt;=0.3,G53&lt;=-0.3),"超过30%","")</f>
        <v/>
      </c>
      <c r="I53" s="625">
        <f>IF(I48&lt;I49,I49/I48-1,I48/I49-1)</f>
        <v>0.25706865890721597</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557</v>
      </c>
      <c r="D54" s="627"/>
      <c r="E54" s="625">
        <f>IF(E49&lt;G49,G49/E49-1,E49/G49-1)</f>
        <v>0.69404861693210385</v>
      </c>
      <c r="F54" s="626" t="str">
        <f>IF(OR(E54&gt;=0.2,E54&lt;=-0.2),"超过20%","")</f>
        <v>超过20%</v>
      </c>
      <c r="G54" s="625">
        <f>IF(G49&lt;I49,I49/G49-1,G49/I49-1)</f>
        <v>0.51272455089820368</v>
      </c>
      <c r="H54" s="626" t="str">
        <f>IF(OR(G54&gt;=0.2,G54&lt;=-0.2),"超过20%","")</f>
        <v>超过20%</v>
      </c>
      <c r="I54" s="625">
        <f>IF(I49&lt;E49,E49/I49-1,I49/E49-1)</f>
        <v>0.11986588432523049</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3" t="s">
        <v>558</v>
      </c>
      <c r="D55" s="627"/>
      <c r="E55" s="625">
        <f>IF(E48&lt;G48,G48/E48-1,E48/G48-1)</f>
        <v>0.78927072479574645</v>
      </c>
      <c r="F55" s="626" t="str">
        <f>IF(OR(E55&gt;=0.3,E55&lt;=-0.3),"超过30%","")</f>
        <v>超过30%</v>
      </c>
      <c r="G55" s="625">
        <f>IF(G48&lt;I48,I48/G48-1,G48/I48-1)</f>
        <v>0.72886459225246769</v>
      </c>
      <c r="H55" s="626" t="str">
        <f>IF(OR(G55&gt;=0.3,G55&lt;=-0.3),"超过30%","")</f>
        <v>超过30%</v>
      </c>
      <c r="I55" s="625">
        <f>IF(I48&lt;E48,E48/I48-1,I48/E48-1)</f>
        <v>3.4939770768616318E-2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559</v>
      </c>
      <c r="B57" s="629" t="s">
        <v>560</v>
      </c>
      <c r="C57" s="1559" t="s">
        <v>1724</v>
      </c>
      <c r="D57" s="2227" t="s">
        <v>2293</v>
      </c>
      <c r="E57" s="630" t="s">
        <v>561</v>
      </c>
      <c r="F57" s="631" t="s">
        <v>562</v>
      </c>
      <c r="G57" s="3416" t="s">
        <v>2281</v>
      </c>
      <c r="H57" s="3417"/>
      <c r="I57" s="1554" t="s">
        <v>1722</v>
      </c>
      <c r="J57" s="1554" t="str">
        <f>项目基本情况!F41</f>
        <v>江苏省镇江市</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2" t="s">
        <v>563</v>
      </c>
      <c r="B58" s="633">
        <f>C50</f>
        <v>1517</v>
      </c>
      <c r="C58" s="634">
        <v>1</v>
      </c>
      <c r="D58" s="2228">
        <v>1</v>
      </c>
      <c r="E58" s="634">
        <f>'数据-汇总表'!E8+'数据-汇总表'!E9</f>
        <v>412380.85000000003</v>
      </c>
      <c r="F58" s="635">
        <f t="shared" ref="F58:F67" si="15">ROUND(B58*E58/10000,0)</f>
        <v>62558</v>
      </c>
      <c r="G58" s="3418"/>
      <c r="H58" s="3419"/>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564</v>
      </c>
      <c r="B59" s="637">
        <f>ROUND($C$50*C59*D59,0)</f>
        <v>0</v>
      </c>
      <c r="C59" s="377">
        <f t="shared" ref="C59:C67" si="16">IF($C$57="北京市系数",I59,J59)</f>
        <v>0</v>
      </c>
      <c r="D59" s="2229">
        <v>0.25</v>
      </c>
      <c r="E59" s="638">
        <v>0</v>
      </c>
      <c r="F59" s="635">
        <f t="shared" si="15"/>
        <v>0</v>
      </c>
      <c r="G59" s="3420"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565</v>
      </c>
      <c r="B60" s="637">
        <f t="shared" ref="B60:B67" si="17">ROUND($C$50*C60*D60,0)</f>
        <v>0</v>
      </c>
      <c r="C60" s="377">
        <f t="shared" si="16"/>
        <v>0</v>
      </c>
      <c r="D60" s="2229">
        <v>0.25</v>
      </c>
      <c r="E60" s="638">
        <v>0</v>
      </c>
      <c r="F60" s="635">
        <f t="shared" si="15"/>
        <v>0</v>
      </c>
      <c r="G60" s="3420"/>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566</v>
      </c>
      <c r="B61" s="637">
        <f t="shared" si="17"/>
        <v>0</v>
      </c>
      <c r="C61" s="377">
        <f t="shared" si="16"/>
        <v>0</v>
      </c>
      <c r="D61" s="2229">
        <v>0.25</v>
      </c>
      <c r="E61" s="638">
        <v>0</v>
      </c>
      <c r="F61" s="635">
        <f t="shared" si="15"/>
        <v>0</v>
      </c>
      <c r="G61" s="3420"/>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6" t="s">
        <v>567</v>
      </c>
      <c r="B62" s="637">
        <f t="shared" si="17"/>
        <v>0</v>
      </c>
      <c r="C62" s="377">
        <f t="shared" si="16"/>
        <v>0</v>
      </c>
      <c r="D62" s="2229">
        <v>0.25</v>
      </c>
      <c r="E62" s="638">
        <v>0</v>
      </c>
      <c r="F62" s="635">
        <f t="shared" si="15"/>
        <v>0</v>
      </c>
      <c r="G62" s="3420"/>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2327</v>
      </c>
      <c r="B63" s="637">
        <f t="shared" si="17"/>
        <v>0</v>
      </c>
      <c r="C63" s="377">
        <f t="shared" si="16"/>
        <v>0</v>
      </c>
      <c r="D63" s="2229">
        <v>0.25</v>
      </c>
      <c r="E63" s="640">
        <f>'数据-汇总表'!E11</f>
        <v>0</v>
      </c>
      <c r="F63" s="635">
        <f t="shared" si="15"/>
        <v>0</v>
      </c>
      <c r="G63" s="3181"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6" t="s">
        <v>568</v>
      </c>
      <c r="B64" s="637">
        <f t="shared" si="17"/>
        <v>0</v>
      </c>
      <c r="C64" s="377">
        <f t="shared" si="16"/>
        <v>0</v>
      </c>
      <c r="D64" s="2229">
        <v>0.25</v>
      </c>
      <c r="E64" s="640">
        <f>'数据-汇总表'!E12</f>
        <v>0</v>
      </c>
      <c r="F64" s="635">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6" t="s">
        <v>569</v>
      </c>
      <c r="B65" s="637">
        <f t="shared" si="17"/>
        <v>0</v>
      </c>
      <c r="C65" s="377">
        <f t="shared" si="16"/>
        <v>0</v>
      </c>
      <c r="D65" s="2229">
        <v>0.25</v>
      </c>
      <c r="E65" s="640">
        <f>'数据-汇总表'!E13</f>
        <v>0</v>
      </c>
      <c r="F65" s="635">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6" t="s">
        <v>570</v>
      </c>
      <c r="B66" s="637">
        <f t="shared" si="17"/>
        <v>0</v>
      </c>
      <c r="C66" s="377">
        <f t="shared" si="16"/>
        <v>0</v>
      </c>
      <c r="D66" s="2229">
        <v>0.25</v>
      </c>
      <c r="E66" s="640">
        <f>'数据-汇总表'!E14</f>
        <v>0</v>
      </c>
      <c r="F66" s="635">
        <f t="shared" si="15"/>
        <v>0</v>
      </c>
      <c r="G66" s="3181"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6" t="s">
        <v>571</v>
      </c>
      <c r="B67" s="637">
        <f t="shared" si="17"/>
        <v>0</v>
      </c>
      <c r="C67" s="377">
        <f t="shared" si="16"/>
        <v>0</v>
      </c>
      <c r="D67" s="2229">
        <v>0.25</v>
      </c>
      <c r="E67" s="640">
        <f>'数据-汇总表'!E15</f>
        <v>0</v>
      </c>
      <c r="F67" s="635">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1" t="s">
        <v>572</v>
      </c>
      <c r="B68" s="642" t="s">
        <v>17</v>
      </c>
      <c r="C68" s="642" t="s">
        <v>18</v>
      </c>
      <c r="D68" s="642" t="s">
        <v>2294</v>
      </c>
      <c r="E68" s="642">
        <f>IF(B48="楼面地价",SUM(E58:E67),'数据-汇总表'!D3)</f>
        <v>412380.85000000003</v>
      </c>
      <c r="F68" s="643">
        <f>IF(B48="楼面地价",SUM(F58:F67),ROUND(C50*E68/10000,0))</f>
        <v>62558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2018-12-1</v>
      </c>
      <c r="D70" s="2799">
        <f>EDATE(C70,-3)</f>
        <v>43344</v>
      </c>
      <c r="E70" s="2799">
        <f t="shared" ref="E70:N70" si="18">EDATE(D70,-3)</f>
        <v>43252</v>
      </c>
      <c r="F70" s="2799">
        <f t="shared" si="18"/>
        <v>43160</v>
      </c>
      <c r="G70" s="2799">
        <f t="shared" si="18"/>
        <v>43070</v>
      </c>
      <c r="H70" s="2799">
        <f t="shared" si="18"/>
        <v>42979</v>
      </c>
      <c r="I70" s="2799">
        <f t="shared" si="18"/>
        <v>42887</v>
      </c>
      <c r="J70" s="2799">
        <f t="shared" si="18"/>
        <v>42795</v>
      </c>
      <c r="K70" s="2799">
        <f t="shared" si="18"/>
        <v>42705</v>
      </c>
      <c r="L70" s="2799">
        <f t="shared" si="18"/>
        <v>42614</v>
      </c>
      <c r="M70" s="2799">
        <f t="shared" si="18"/>
        <v>42522</v>
      </c>
      <c r="N70" s="2799">
        <f t="shared" si="18"/>
        <v>42430</v>
      </c>
      <c r="O70" s="2147">
        <v>42339</v>
      </c>
      <c r="P70" s="2147">
        <v>42248</v>
      </c>
      <c r="Q70" s="2147">
        <v>42156</v>
      </c>
      <c r="R70" s="2147">
        <v>42064</v>
      </c>
      <c r="S70" s="2147">
        <v>41974</v>
      </c>
      <c r="T70" s="2147">
        <v>41883</v>
      </c>
      <c r="U70" s="2147">
        <v>41791</v>
      </c>
      <c r="V70" s="2147">
        <v>41699</v>
      </c>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28.5">
      <c r="A72" s="2568" t="s">
        <v>2529</v>
      </c>
      <c r="B72" s="2569"/>
      <c r="C72" s="2801" t="str">
        <f>YEAR(C70)&amp;"-"&amp;ROUNDUP(MONTH(C70)/3,0)</f>
        <v>2018-4</v>
      </c>
      <c r="D72" s="2801" t="str">
        <f>YEAR(D70)&amp;"-"&amp;ROUNDUP(MONTH(D70)/3,0)</f>
        <v>2018-3</v>
      </c>
      <c r="E72" s="2801" t="str">
        <f t="shared" ref="E72:V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3208" t="str">
        <f t="shared" si="19"/>
        <v>2015-4</v>
      </c>
      <c r="P72" s="3208" t="str">
        <f t="shared" si="19"/>
        <v>2015-3</v>
      </c>
      <c r="Q72" s="3208" t="str">
        <f t="shared" si="19"/>
        <v>2015-2</v>
      </c>
      <c r="R72" s="3208" t="str">
        <f t="shared" si="19"/>
        <v>2015-1</v>
      </c>
      <c r="S72" s="3208" t="str">
        <f t="shared" si="19"/>
        <v>2014-4</v>
      </c>
      <c r="T72" s="3208" t="str">
        <f t="shared" si="19"/>
        <v>2014-3</v>
      </c>
      <c r="U72" s="3208" t="str">
        <f t="shared" si="19"/>
        <v>2014-2</v>
      </c>
      <c r="V72" s="3208" t="str">
        <f t="shared" si="19"/>
        <v>2014-1</v>
      </c>
      <c r="W72" s="2161"/>
      <c r="X72" s="2161"/>
      <c r="Y72" s="2161"/>
      <c r="Z72" s="2161"/>
      <c r="AA72" s="2161"/>
      <c r="AB72" s="2161"/>
      <c r="AC72" s="2161"/>
    </row>
    <row r="73" spans="1:29" s="1218" customFormat="1" ht="27" customHeight="1">
      <c r="A73" s="2806" t="s">
        <v>922</v>
      </c>
      <c r="B73" s="478" t="str">
        <f>"北京市平均增长率"&amp;TEXT(SUMIF(基准地价!N21:N25,A73,基准地价!P21:P25),"0.00%")</f>
        <v>北京市平均增长率2.41%</v>
      </c>
      <c r="C73" s="892">
        <v>100</v>
      </c>
      <c r="D73" s="3193">
        <f>C73-$C$74</f>
        <v>99.5</v>
      </c>
      <c r="E73" s="3193">
        <f t="shared" ref="E73:V73" si="20">D73-$C$74</f>
        <v>99</v>
      </c>
      <c r="F73" s="3193">
        <f t="shared" si="20"/>
        <v>98.5</v>
      </c>
      <c r="G73" s="3193">
        <f t="shared" si="20"/>
        <v>98</v>
      </c>
      <c r="H73" s="3193">
        <f t="shared" si="20"/>
        <v>97.5</v>
      </c>
      <c r="I73" s="3193">
        <f t="shared" si="20"/>
        <v>97</v>
      </c>
      <c r="J73" s="3193">
        <f t="shared" si="20"/>
        <v>96.5</v>
      </c>
      <c r="K73" s="3193">
        <f t="shared" si="20"/>
        <v>96</v>
      </c>
      <c r="L73" s="3193">
        <f t="shared" si="20"/>
        <v>95.5</v>
      </c>
      <c r="M73" s="3193">
        <f t="shared" si="20"/>
        <v>95</v>
      </c>
      <c r="N73" s="3193">
        <f t="shared" si="20"/>
        <v>94.5</v>
      </c>
      <c r="O73" s="3193">
        <f t="shared" si="20"/>
        <v>94</v>
      </c>
      <c r="P73" s="3193">
        <f t="shared" si="20"/>
        <v>93.5</v>
      </c>
      <c r="Q73" s="3193">
        <f t="shared" si="20"/>
        <v>93</v>
      </c>
      <c r="R73" s="3193">
        <f t="shared" si="20"/>
        <v>92.5</v>
      </c>
      <c r="S73" s="3193">
        <f t="shared" si="20"/>
        <v>92</v>
      </c>
      <c r="T73" s="3193">
        <f t="shared" si="20"/>
        <v>91.5</v>
      </c>
      <c r="U73" s="3193">
        <f t="shared" si="20"/>
        <v>91</v>
      </c>
      <c r="V73" s="3193">
        <f t="shared" si="20"/>
        <v>90.5</v>
      </c>
      <c r="W73" s="1993"/>
      <c r="X73" s="1993"/>
      <c r="Y73" s="1993"/>
      <c r="Z73" s="1993"/>
      <c r="AA73" s="1993"/>
      <c r="AB73" s="1993"/>
      <c r="AC73" s="1993"/>
    </row>
    <row r="74" spans="1:29" s="1218" customFormat="1" ht="15" customHeight="1" thickBot="1">
      <c r="A74" s="2796" t="s">
        <v>2643</v>
      </c>
      <c r="B74" s="2805"/>
      <c r="C74" s="2790">
        <v>0.5</v>
      </c>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8" customFormat="1" ht="15">
      <c r="A75" s="658" t="s">
        <v>530</v>
      </c>
      <c r="B75" s="647"/>
      <c r="C75" s="659" t="s">
        <v>575</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ht="28.5">
      <c r="A77" s="663" t="s">
        <v>576</v>
      </c>
      <c r="B77" s="664" t="s">
        <v>533</v>
      </c>
      <c r="C77" s="3206" t="s">
        <v>4150</v>
      </c>
      <c r="D77" s="597" t="str">
        <f>'土地案例（商业）'!G3</f>
        <v>商业/办公用地</v>
      </c>
      <c r="E77" s="597" t="str">
        <f>'土地案例（商业）'!G40</f>
        <v>商务金融用地</v>
      </c>
      <c r="F77" s="3206" t="s">
        <v>4173</v>
      </c>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120</v>
      </c>
      <c r="D78" s="670">
        <v>100</v>
      </c>
      <c r="E78" s="670">
        <v>100</v>
      </c>
      <c r="F78" s="670">
        <v>100</v>
      </c>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536</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537</v>
      </c>
      <c r="C81" s="681" t="str">
        <f>C82&amp;"（含）"&amp;"-"&amp;D82</f>
        <v>2（含）-2.5</v>
      </c>
      <c r="D81" s="681" t="str">
        <f t="shared" ref="D81:L81" si="21">D82&amp;"（含）"&amp;"-"&amp;E82</f>
        <v>2.5（含）-3</v>
      </c>
      <c r="E81" s="681" t="str">
        <f t="shared" si="21"/>
        <v>3（含）-3.5</v>
      </c>
      <c r="F81" s="681" t="str">
        <f t="shared" si="21"/>
        <v>3.5（含）-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2</v>
      </c>
      <c r="D82" s="540">
        <v>2.5</v>
      </c>
      <c r="E82" s="540">
        <v>3</v>
      </c>
      <c r="F82" s="540">
        <v>3.5</v>
      </c>
      <c r="G82" s="540"/>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66"/>
      <c r="O83" s="2166"/>
      <c r="P83" s="2165"/>
      <c r="Q83" s="2158"/>
      <c r="R83" s="2145"/>
      <c r="S83" s="2145"/>
      <c r="T83" s="2145"/>
      <c r="U83" s="2145"/>
      <c r="V83" s="2145"/>
      <c r="W83" s="2145"/>
      <c r="X83" s="2145"/>
      <c r="Y83" s="2145"/>
      <c r="Z83" s="2145"/>
      <c r="AA83" s="2145"/>
      <c r="AB83" s="2145"/>
      <c r="AC83" s="2145"/>
    </row>
    <row r="84" spans="1:29" s="1337" customFormat="1" ht="16.5" hidden="1" thickTop="1" thickBot="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7" customFormat="1" ht="16.5" hidden="1" thickTop="1"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7" customFormat="1" ht="16.5" hidden="1" thickTop="1" thickBot="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7" customFormat="1" ht="16.5" hidden="1" thickTop="1"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7" customFormat="1" ht="16.5" hidden="1" thickTop="1" thickBot="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7" customFormat="1" ht="16.5" hidden="1" thickTop="1"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ht="15" thickTop="1">
      <c r="A90" s="663" t="s">
        <v>538</v>
      </c>
      <c r="B90" s="664" t="s">
        <v>577</v>
      </c>
      <c r="C90" s="702" t="s">
        <v>578</v>
      </c>
      <c r="D90" s="702" t="s">
        <v>579</v>
      </c>
      <c r="E90" s="702" t="s">
        <v>580</v>
      </c>
      <c r="F90" s="702" t="s">
        <v>581</v>
      </c>
      <c r="G90" s="702" t="s">
        <v>582</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98</v>
      </c>
      <c r="E91" s="678">
        <f>D91-$K17</f>
        <v>96</v>
      </c>
      <c r="F91" s="678">
        <f>E91-$K17</f>
        <v>94</v>
      </c>
      <c r="G91" s="678">
        <f>F91-$K17</f>
        <v>92</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583</v>
      </c>
      <c r="C92" s="707" t="s">
        <v>578</v>
      </c>
      <c r="D92" s="707" t="s">
        <v>579</v>
      </c>
      <c r="E92" s="707" t="s">
        <v>580</v>
      </c>
      <c r="F92" s="707" t="s">
        <v>581</v>
      </c>
      <c r="G92" s="707" t="s">
        <v>582</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584</v>
      </c>
      <c r="C94" s="707" t="s">
        <v>578</v>
      </c>
      <c r="D94" s="707" t="s">
        <v>579</v>
      </c>
      <c r="E94" s="707" t="s">
        <v>580</v>
      </c>
      <c r="F94" s="707" t="s">
        <v>581</v>
      </c>
      <c r="G94" s="707" t="s">
        <v>582</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98</v>
      </c>
      <c r="E95" s="678">
        <f>D95-$K21</f>
        <v>96</v>
      </c>
      <c r="F95" s="678">
        <f>E95-$K21</f>
        <v>94</v>
      </c>
      <c r="G95" s="678">
        <f>F95-$K21</f>
        <v>92</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585</v>
      </c>
      <c r="C96" s="707" t="s">
        <v>578</v>
      </c>
      <c r="D96" s="707" t="s">
        <v>579</v>
      </c>
      <c r="E96" s="707" t="s">
        <v>580</v>
      </c>
      <c r="F96" s="707" t="s">
        <v>581</v>
      </c>
      <c r="G96" s="707" t="s">
        <v>582</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8"/>
      <c r="B98" s="672" t="s">
        <v>586</v>
      </c>
      <c r="C98" s="707" t="s">
        <v>578</v>
      </c>
      <c r="D98" s="707" t="s">
        <v>579</v>
      </c>
      <c r="E98" s="707" t="s">
        <v>580</v>
      </c>
      <c r="F98" s="707" t="s">
        <v>581</v>
      </c>
      <c r="G98" s="707" t="s">
        <v>582</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8"/>
      <c r="B99" s="677"/>
      <c r="C99" s="711">
        <v>100</v>
      </c>
      <c r="D99" s="678">
        <f>C99-$K25</f>
        <v>95</v>
      </c>
      <c r="E99" s="678">
        <f>D99-$K25</f>
        <v>90</v>
      </c>
      <c r="F99" s="678">
        <f>E99-$K25</f>
        <v>85</v>
      </c>
      <c r="G99" s="678">
        <f>F99-$K25</f>
        <v>80</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8"/>
      <c r="B100" s="672" t="s">
        <v>587</v>
      </c>
      <c r="C100" s="702" t="s">
        <v>578</v>
      </c>
      <c r="D100" s="702" t="s">
        <v>579</v>
      </c>
      <c r="E100" s="702" t="s">
        <v>580</v>
      </c>
      <c r="F100" s="702" t="s">
        <v>581</v>
      </c>
      <c r="G100" s="702" t="s">
        <v>582</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6"/>
      <c r="B102" s="1896" t="s">
        <v>2545</v>
      </c>
      <c r="C102" s="702" t="s">
        <v>578</v>
      </c>
      <c r="D102" s="702" t="s">
        <v>579</v>
      </c>
      <c r="E102" s="702" t="s">
        <v>580</v>
      </c>
      <c r="F102" s="702" t="s">
        <v>581</v>
      </c>
      <c r="G102" s="702" t="s">
        <v>582</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6"/>
      <c r="B104" s="2597" t="s">
        <v>2546</v>
      </c>
      <c r="C104" s="2598" t="s">
        <v>2548</v>
      </c>
      <c r="D104" s="2598" t="s">
        <v>2549</v>
      </c>
      <c r="E104" s="2598" t="s">
        <v>2550</v>
      </c>
      <c r="F104" s="2598" t="s">
        <v>2551</v>
      </c>
      <c r="G104" s="2598" t="s">
        <v>2552</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6"/>
      <c r="B105" s="680"/>
      <c r="C105" s="678">
        <v>100</v>
      </c>
      <c r="D105" s="678">
        <f>C105-$K31</f>
        <v>98</v>
      </c>
      <c r="E105" s="678">
        <f>D105-$K31</f>
        <v>96</v>
      </c>
      <c r="F105" s="678">
        <f>E105-$K31</f>
        <v>94</v>
      </c>
      <c r="G105" s="678">
        <f>F105-$K31</f>
        <v>92</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547</v>
      </c>
      <c r="C108" s="3191" t="s">
        <v>3030</v>
      </c>
      <c r="D108" s="3191" t="s">
        <v>3031</v>
      </c>
      <c r="E108" s="3191" t="s">
        <v>3032</v>
      </c>
      <c r="F108" s="3191" t="s">
        <v>3033</v>
      </c>
      <c r="G108" s="3191" t="s">
        <v>3035</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6"/>
      <c r="O109" s="2166"/>
      <c r="P109" s="2165"/>
      <c r="Q109" s="2158"/>
      <c r="R109" s="2145"/>
      <c r="S109" s="2145"/>
      <c r="T109" s="2145"/>
      <c r="U109" s="2145"/>
      <c r="V109" s="2145"/>
      <c r="W109" s="2145"/>
      <c r="X109" s="2145"/>
      <c r="Y109" s="2145"/>
      <c r="Z109" s="2145"/>
      <c r="AA109" s="2145"/>
      <c r="AB109" s="2145"/>
      <c r="AC109" s="2145"/>
    </row>
    <row r="110" spans="1:29" ht="16.5" hidden="1" thickTop="1" thickBot="1">
      <c r="A110" s="668"/>
      <c r="B110" s="672" t="s">
        <v>548</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6.5" hidden="1" thickTop="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ht="16.5" hidden="1" thickTop="1" thickBot="1">
      <c r="A112" s="668"/>
      <c r="B112" s="680">
        <f>B37</f>
        <v>0</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6.5" hidden="1" thickTop="1"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75" hidden="1" thickTop="1" thickBot="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6.5" hidden="1" thickTop="1"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7" customFormat="1" ht="15.75" hidden="1" thickTop="1" thickBot="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7" customFormat="1" ht="16.5" hidden="1" thickTop="1"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15" thickTop="1">
      <c r="A118" s="663" t="s">
        <v>550</v>
      </c>
      <c r="B118" s="664" t="s">
        <v>592</v>
      </c>
      <c r="C118" s="703" t="str">
        <f t="shared" ref="C118:L118" si="26">C119&amp;"(含)"&amp;"-"&amp;D119</f>
        <v>0(含)-100000</v>
      </c>
      <c r="D118" s="703" t="str">
        <f t="shared" si="26"/>
        <v>100000(含)-</v>
      </c>
      <c r="E118" s="703" t="str">
        <f t="shared" si="26"/>
        <v>(含)-</v>
      </c>
      <c r="F118" s="703" t="str">
        <f t="shared" si="26"/>
        <v>(含)-</v>
      </c>
      <c r="G118" s="703" t="str">
        <f t="shared" si="26"/>
        <v>(含)-</v>
      </c>
      <c r="H118" s="703" t="str">
        <f t="shared" si="26"/>
        <v>(含)-</v>
      </c>
      <c r="I118" s="703" t="str">
        <f t="shared" si="26"/>
        <v>(含)-</v>
      </c>
      <c r="J118" s="3093" t="str">
        <f t="shared" si="26"/>
        <v>(含)-</v>
      </c>
      <c r="K118" s="3093" t="str">
        <f t="shared" si="26"/>
        <v>(含)-</v>
      </c>
      <c r="L118" s="3094" t="str">
        <f t="shared" si="26"/>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100000</v>
      </c>
      <c r="E119" s="729"/>
      <c r="F119" s="729"/>
      <c r="G119" s="729"/>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100</v>
      </c>
      <c r="E120" s="725"/>
      <c r="F120" s="725"/>
      <c r="G120" s="725"/>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593</v>
      </c>
      <c r="C121" s="3192" t="s">
        <v>3029</v>
      </c>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6"/>
      <c r="O122" s="2166"/>
      <c r="P122" s="2165"/>
      <c r="Q122" s="2158"/>
      <c r="R122" s="2145"/>
      <c r="S122" s="2145"/>
      <c r="T122" s="2145"/>
      <c r="U122" s="2145"/>
      <c r="V122" s="2145"/>
      <c r="W122" s="2145"/>
      <c r="X122" s="2145"/>
      <c r="Y122" s="2145"/>
      <c r="Z122" s="2145"/>
      <c r="AA122" s="2145"/>
      <c r="AB122" s="2145"/>
      <c r="AC122" s="2145"/>
    </row>
    <row r="123" spans="1:29" ht="15.75" hidden="1" thickTop="1" thickBot="1">
      <c r="A123" s="734"/>
      <c r="B123" s="672" t="s">
        <v>594</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6.5" hidden="1" thickTop="1"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7"/>
      <c r="B125" s="1896" t="s">
        <v>2423</v>
      </c>
      <c r="C125" s="1374" t="s">
        <v>3024</v>
      </c>
      <c r="D125" s="1374" t="s">
        <v>3025</v>
      </c>
      <c r="E125" s="1374" t="s">
        <v>3026</v>
      </c>
      <c r="F125" s="1374" t="s">
        <v>3027</v>
      </c>
      <c r="G125" s="1374"/>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595</v>
      </c>
      <c r="C127" s="3191" t="s">
        <v>3022</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6"/>
      <c r="O128" s="2166"/>
      <c r="P128" s="2165"/>
      <c r="Q128" s="2158"/>
      <c r="R128" s="2145"/>
      <c r="S128" s="2145"/>
      <c r="T128" s="2145"/>
      <c r="U128" s="2145"/>
      <c r="V128" s="2145"/>
      <c r="W128" s="2145"/>
      <c r="X128" s="2145"/>
      <c r="Y128" s="2145"/>
      <c r="Z128" s="2145"/>
      <c r="AA128" s="2145"/>
      <c r="AB128" s="2145"/>
      <c r="AC128" s="2145"/>
    </row>
    <row r="129" spans="1:29" ht="15" hidden="1"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6.5" hidden="1" thickTop="1"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6.5" hidden="1" thickTop="1"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7" customFormat="1" ht="15" hidden="1"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7" customFormat="1" ht="16.5" hidden="1" thickTop="1"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3"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R251"/>
  <sheetViews>
    <sheetView workbookViewId="0">
      <selection activeCell="U124" sqref="U124"/>
    </sheetView>
  </sheetViews>
  <sheetFormatPr defaultRowHeight="12.75"/>
  <cols>
    <col min="1" max="1" width="42" style="3194" customWidth="1"/>
    <col min="2" max="2" width="6.25" style="3194" hidden="1" customWidth="1"/>
    <col min="3" max="3" width="13.875" style="3194" hidden="1" customWidth="1"/>
    <col min="4" max="4" width="4.625" style="3194" hidden="1" customWidth="1"/>
    <col min="5" max="5" width="42" style="3194" hidden="1" customWidth="1"/>
    <col min="6" max="6" width="10.25" style="3194" customWidth="1"/>
    <col min="7" max="7" width="34.375" style="3194" customWidth="1"/>
    <col min="8" max="9" width="13.875" style="3194" customWidth="1"/>
    <col min="10" max="10" width="15" style="3194" customWidth="1"/>
    <col min="11" max="11" width="9" style="3194" customWidth="1"/>
    <col min="12" max="12" width="21.75" style="3194" customWidth="1"/>
    <col min="13" max="13" width="32.75" style="3194" customWidth="1"/>
    <col min="14" max="14" width="10.625" style="3194" customWidth="1"/>
    <col min="15" max="15" width="16" style="3194" customWidth="1"/>
    <col min="16" max="16" width="14.375" style="3194" customWidth="1"/>
    <col min="17" max="17" width="6.25" style="3194" customWidth="1"/>
    <col min="18" max="18" width="7.875" style="3194" customWidth="1"/>
    <col min="19" max="256" width="9" style="3194"/>
    <col min="257" max="257" width="42" style="3194" customWidth="1"/>
    <col min="258" max="258" width="6.25" style="3194" customWidth="1"/>
    <col min="259" max="259" width="13.875" style="3194" customWidth="1"/>
    <col min="260" max="260" width="4.625" style="3194" customWidth="1"/>
    <col min="261" max="261" width="42" style="3194" customWidth="1"/>
    <col min="262" max="262" width="10.25" style="3194" customWidth="1"/>
    <col min="263" max="263" width="34.375" style="3194" customWidth="1"/>
    <col min="264" max="265" width="13.875" style="3194" customWidth="1"/>
    <col min="266" max="266" width="15" style="3194" customWidth="1"/>
    <col min="267" max="267" width="9" style="3194" customWidth="1"/>
    <col min="268" max="268" width="21.75" style="3194" customWidth="1"/>
    <col min="269" max="269" width="32.75" style="3194" customWidth="1"/>
    <col min="270" max="270" width="10.625" style="3194" customWidth="1"/>
    <col min="271" max="271" width="16" style="3194" customWidth="1"/>
    <col min="272" max="272" width="14.375" style="3194" customWidth="1"/>
    <col min="273" max="273" width="6.25" style="3194" customWidth="1"/>
    <col min="274" max="274" width="7.875" style="3194" customWidth="1"/>
    <col min="275" max="512" width="9" style="3194"/>
    <col min="513" max="513" width="42" style="3194" customWidth="1"/>
    <col min="514" max="514" width="6.25" style="3194" customWidth="1"/>
    <col min="515" max="515" width="13.875" style="3194" customWidth="1"/>
    <col min="516" max="516" width="4.625" style="3194" customWidth="1"/>
    <col min="517" max="517" width="42" style="3194" customWidth="1"/>
    <col min="518" max="518" width="10.25" style="3194" customWidth="1"/>
    <col min="519" max="519" width="34.375" style="3194" customWidth="1"/>
    <col min="520" max="521" width="13.875" style="3194" customWidth="1"/>
    <col min="522" max="522" width="15" style="3194" customWidth="1"/>
    <col min="523" max="523" width="9" style="3194" customWidth="1"/>
    <col min="524" max="524" width="21.75" style="3194" customWidth="1"/>
    <col min="525" max="525" width="32.75" style="3194" customWidth="1"/>
    <col min="526" max="526" width="10.625" style="3194" customWidth="1"/>
    <col min="527" max="527" width="16" style="3194" customWidth="1"/>
    <col min="528" max="528" width="14.375" style="3194" customWidth="1"/>
    <col min="529" max="529" width="6.25" style="3194" customWidth="1"/>
    <col min="530" max="530" width="7.875" style="3194" customWidth="1"/>
    <col min="531" max="768" width="9" style="3194"/>
    <col min="769" max="769" width="42" style="3194" customWidth="1"/>
    <col min="770" max="770" width="6.25" style="3194" customWidth="1"/>
    <col min="771" max="771" width="13.875" style="3194" customWidth="1"/>
    <col min="772" max="772" width="4.625" style="3194" customWidth="1"/>
    <col min="773" max="773" width="42" style="3194" customWidth="1"/>
    <col min="774" max="774" width="10.25" style="3194" customWidth="1"/>
    <col min="775" max="775" width="34.375" style="3194" customWidth="1"/>
    <col min="776" max="777" width="13.875" style="3194" customWidth="1"/>
    <col min="778" max="778" width="15" style="3194" customWidth="1"/>
    <col min="779" max="779" width="9" style="3194" customWidth="1"/>
    <col min="780" max="780" width="21.75" style="3194" customWidth="1"/>
    <col min="781" max="781" width="32.75" style="3194" customWidth="1"/>
    <col min="782" max="782" width="10.625" style="3194" customWidth="1"/>
    <col min="783" max="783" width="16" style="3194" customWidth="1"/>
    <col min="784" max="784" width="14.375" style="3194" customWidth="1"/>
    <col min="785" max="785" width="6.25" style="3194" customWidth="1"/>
    <col min="786" max="786" width="7.875" style="3194" customWidth="1"/>
    <col min="787" max="1024" width="9" style="3194"/>
    <col min="1025" max="1025" width="42" style="3194" customWidth="1"/>
    <col min="1026" max="1026" width="6.25" style="3194" customWidth="1"/>
    <col min="1027" max="1027" width="13.875" style="3194" customWidth="1"/>
    <col min="1028" max="1028" width="4.625" style="3194" customWidth="1"/>
    <col min="1029" max="1029" width="42" style="3194" customWidth="1"/>
    <col min="1030" max="1030" width="10.25" style="3194" customWidth="1"/>
    <col min="1031" max="1031" width="34.375" style="3194" customWidth="1"/>
    <col min="1032" max="1033" width="13.875" style="3194" customWidth="1"/>
    <col min="1034" max="1034" width="15" style="3194" customWidth="1"/>
    <col min="1035" max="1035" width="9" style="3194" customWidth="1"/>
    <col min="1036" max="1036" width="21.75" style="3194" customWidth="1"/>
    <col min="1037" max="1037" width="32.75" style="3194" customWidth="1"/>
    <col min="1038" max="1038" width="10.625" style="3194" customWidth="1"/>
    <col min="1039" max="1039" width="16" style="3194" customWidth="1"/>
    <col min="1040" max="1040" width="14.375" style="3194" customWidth="1"/>
    <col min="1041" max="1041" width="6.25" style="3194" customWidth="1"/>
    <col min="1042" max="1042" width="7.875" style="3194" customWidth="1"/>
    <col min="1043" max="1280" width="9" style="3194"/>
    <col min="1281" max="1281" width="42" style="3194" customWidth="1"/>
    <col min="1282" max="1282" width="6.25" style="3194" customWidth="1"/>
    <col min="1283" max="1283" width="13.875" style="3194" customWidth="1"/>
    <col min="1284" max="1284" width="4.625" style="3194" customWidth="1"/>
    <col min="1285" max="1285" width="42" style="3194" customWidth="1"/>
    <col min="1286" max="1286" width="10.25" style="3194" customWidth="1"/>
    <col min="1287" max="1287" width="34.375" style="3194" customWidth="1"/>
    <col min="1288" max="1289" width="13.875" style="3194" customWidth="1"/>
    <col min="1290" max="1290" width="15" style="3194" customWidth="1"/>
    <col min="1291" max="1291" width="9" style="3194" customWidth="1"/>
    <col min="1292" max="1292" width="21.75" style="3194" customWidth="1"/>
    <col min="1293" max="1293" width="32.75" style="3194" customWidth="1"/>
    <col min="1294" max="1294" width="10.625" style="3194" customWidth="1"/>
    <col min="1295" max="1295" width="16" style="3194" customWidth="1"/>
    <col min="1296" max="1296" width="14.375" style="3194" customWidth="1"/>
    <col min="1297" max="1297" width="6.25" style="3194" customWidth="1"/>
    <col min="1298" max="1298" width="7.875" style="3194" customWidth="1"/>
    <col min="1299" max="1536" width="9" style="3194"/>
    <col min="1537" max="1537" width="42" style="3194" customWidth="1"/>
    <col min="1538" max="1538" width="6.25" style="3194" customWidth="1"/>
    <col min="1539" max="1539" width="13.875" style="3194" customWidth="1"/>
    <col min="1540" max="1540" width="4.625" style="3194" customWidth="1"/>
    <col min="1541" max="1541" width="42" style="3194" customWidth="1"/>
    <col min="1542" max="1542" width="10.25" style="3194" customWidth="1"/>
    <col min="1543" max="1543" width="34.375" style="3194" customWidth="1"/>
    <col min="1544" max="1545" width="13.875" style="3194" customWidth="1"/>
    <col min="1546" max="1546" width="15" style="3194" customWidth="1"/>
    <col min="1547" max="1547" width="9" style="3194" customWidth="1"/>
    <col min="1548" max="1548" width="21.75" style="3194" customWidth="1"/>
    <col min="1549" max="1549" width="32.75" style="3194" customWidth="1"/>
    <col min="1550" max="1550" width="10.625" style="3194" customWidth="1"/>
    <col min="1551" max="1551" width="16" style="3194" customWidth="1"/>
    <col min="1552" max="1552" width="14.375" style="3194" customWidth="1"/>
    <col min="1553" max="1553" width="6.25" style="3194" customWidth="1"/>
    <col min="1554" max="1554" width="7.875" style="3194" customWidth="1"/>
    <col min="1555" max="1792" width="9" style="3194"/>
    <col min="1793" max="1793" width="42" style="3194" customWidth="1"/>
    <col min="1794" max="1794" width="6.25" style="3194" customWidth="1"/>
    <col min="1795" max="1795" width="13.875" style="3194" customWidth="1"/>
    <col min="1796" max="1796" width="4.625" style="3194" customWidth="1"/>
    <col min="1797" max="1797" width="42" style="3194" customWidth="1"/>
    <col min="1798" max="1798" width="10.25" style="3194" customWidth="1"/>
    <col min="1799" max="1799" width="34.375" style="3194" customWidth="1"/>
    <col min="1800" max="1801" width="13.875" style="3194" customWidth="1"/>
    <col min="1802" max="1802" width="15" style="3194" customWidth="1"/>
    <col min="1803" max="1803" width="9" style="3194" customWidth="1"/>
    <col min="1804" max="1804" width="21.75" style="3194" customWidth="1"/>
    <col min="1805" max="1805" width="32.75" style="3194" customWidth="1"/>
    <col min="1806" max="1806" width="10.625" style="3194" customWidth="1"/>
    <col min="1807" max="1807" width="16" style="3194" customWidth="1"/>
    <col min="1808" max="1808" width="14.375" style="3194" customWidth="1"/>
    <col min="1809" max="1809" width="6.25" style="3194" customWidth="1"/>
    <col min="1810" max="1810" width="7.875" style="3194" customWidth="1"/>
    <col min="1811" max="2048" width="9" style="3194"/>
    <col min="2049" max="2049" width="42" style="3194" customWidth="1"/>
    <col min="2050" max="2050" width="6.25" style="3194" customWidth="1"/>
    <col min="2051" max="2051" width="13.875" style="3194" customWidth="1"/>
    <col min="2052" max="2052" width="4.625" style="3194" customWidth="1"/>
    <col min="2053" max="2053" width="42" style="3194" customWidth="1"/>
    <col min="2054" max="2054" width="10.25" style="3194" customWidth="1"/>
    <col min="2055" max="2055" width="34.375" style="3194" customWidth="1"/>
    <col min="2056" max="2057" width="13.875" style="3194" customWidth="1"/>
    <col min="2058" max="2058" width="15" style="3194" customWidth="1"/>
    <col min="2059" max="2059" width="9" style="3194" customWidth="1"/>
    <col min="2060" max="2060" width="21.75" style="3194" customWidth="1"/>
    <col min="2061" max="2061" width="32.75" style="3194" customWidth="1"/>
    <col min="2062" max="2062" width="10.625" style="3194" customWidth="1"/>
    <col min="2063" max="2063" width="16" style="3194" customWidth="1"/>
    <col min="2064" max="2064" width="14.375" style="3194" customWidth="1"/>
    <col min="2065" max="2065" width="6.25" style="3194" customWidth="1"/>
    <col min="2066" max="2066" width="7.875" style="3194" customWidth="1"/>
    <col min="2067" max="2304" width="9" style="3194"/>
    <col min="2305" max="2305" width="42" style="3194" customWidth="1"/>
    <col min="2306" max="2306" width="6.25" style="3194" customWidth="1"/>
    <col min="2307" max="2307" width="13.875" style="3194" customWidth="1"/>
    <col min="2308" max="2308" width="4.625" style="3194" customWidth="1"/>
    <col min="2309" max="2309" width="42" style="3194" customWidth="1"/>
    <col min="2310" max="2310" width="10.25" style="3194" customWidth="1"/>
    <col min="2311" max="2311" width="34.375" style="3194" customWidth="1"/>
    <col min="2312" max="2313" width="13.875" style="3194" customWidth="1"/>
    <col min="2314" max="2314" width="15" style="3194" customWidth="1"/>
    <col min="2315" max="2315" width="9" style="3194" customWidth="1"/>
    <col min="2316" max="2316" width="21.75" style="3194" customWidth="1"/>
    <col min="2317" max="2317" width="32.75" style="3194" customWidth="1"/>
    <col min="2318" max="2318" width="10.625" style="3194" customWidth="1"/>
    <col min="2319" max="2319" width="16" style="3194" customWidth="1"/>
    <col min="2320" max="2320" width="14.375" style="3194" customWidth="1"/>
    <col min="2321" max="2321" width="6.25" style="3194" customWidth="1"/>
    <col min="2322" max="2322" width="7.875" style="3194" customWidth="1"/>
    <col min="2323" max="2560" width="9" style="3194"/>
    <col min="2561" max="2561" width="42" style="3194" customWidth="1"/>
    <col min="2562" max="2562" width="6.25" style="3194" customWidth="1"/>
    <col min="2563" max="2563" width="13.875" style="3194" customWidth="1"/>
    <col min="2564" max="2564" width="4.625" style="3194" customWidth="1"/>
    <col min="2565" max="2565" width="42" style="3194" customWidth="1"/>
    <col min="2566" max="2566" width="10.25" style="3194" customWidth="1"/>
    <col min="2567" max="2567" width="34.375" style="3194" customWidth="1"/>
    <col min="2568" max="2569" width="13.875" style="3194" customWidth="1"/>
    <col min="2570" max="2570" width="15" style="3194" customWidth="1"/>
    <col min="2571" max="2571" width="9" style="3194" customWidth="1"/>
    <col min="2572" max="2572" width="21.75" style="3194" customWidth="1"/>
    <col min="2573" max="2573" width="32.75" style="3194" customWidth="1"/>
    <col min="2574" max="2574" width="10.625" style="3194" customWidth="1"/>
    <col min="2575" max="2575" width="16" style="3194" customWidth="1"/>
    <col min="2576" max="2576" width="14.375" style="3194" customWidth="1"/>
    <col min="2577" max="2577" width="6.25" style="3194" customWidth="1"/>
    <col min="2578" max="2578" width="7.875" style="3194" customWidth="1"/>
    <col min="2579" max="2816" width="9" style="3194"/>
    <col min="2817" max="2817" width="42" style="3194" customWidth="1"/>
    <col min="2818" max="2818" width="6.25" style="3194" customWidth="1"/>
    <col min="2819" max="2819" width="13.875" style="3194" customWidth="1"/>
    <col min="2820" max="2820" width="4.625" style="3194" customWidth="1"/>
    <col min="2821" max="2821" width="42" style="3194" customWidth="1"/>
    <col min="2822" max="2822" width="10.25" style="3194" customWidth="1"/>
    <col min="2823" max="2823" width="34.375" style="3194" customWidth="1"/>
    <col min="2824" max="2825" width="13.875" style="3194" customWidth="1"/>
    <col min="2826" max="2826" width="15" style="3194" customWidth="1"/>
    <col min="2827" max="2827" width="9" style="3194" customWidth="1"/>
    <col min="2828" max="2828" width="21.75" style="3194" customWidth="1"/>
    <col min="2829" max="2829" width="32.75" style="3194" customWidth="1"/>
    <col min="2830" max="2830" width="10.625" style="3194" customWidth="1"/>
    <col min="2831" max="2831" width="16" style="3194" customWidth="1"/>
    <col min="2832" max="2832" width="14.375" style="3194" customWidth="1"/>
    <col min="2833" max="2833" width="6.25" style="3194" customWidth="1"/>
    <col min="2834" max="2834" width="7.875" style="3194" customWidth="1"/>
    <col min="2835" max="3072" width="9" style="3194"/>
    <col min="3073" max="3073" width="42" style="3194" customWidth="1"/>
    <col min="3074" max="3074" width="6.25" style="3194" customWidth="1"/>
    <col min="3075" max="3075" width="13.875" style="3194" customWidth="1"/>
    <col min="3076" max="3076" width="4.625" style="3194" customWidth="1"/>
    <col min="3077" max="3077" width="42" style="3194" customWidth="1"/>
    <col min="3078" max="3078" width="10.25" style="3194" customWidth="1"/>
    <col min="3079" max="3079" width="34.375" style="3194" customWidth="1"/>
    <col min="3080" max="3081" width="13.875" style="3194" customWidth="1"/>
    <col min="3082" max="3082" width="15" style="3194" customWidth="1"/>
    <col min="3083" max="3083" width="9" style="3194" customWidth="1"/>
    <col min="3084" max="3084" width="21.75" style="3194" customWidth="1"/>
    <col min="3085" max="3085" width="32.75" style="3194" customWidth="1"/>
    <col min="3086" max="3086" width="10.625" style="3194" customWidth="1"/>
    <col min="3087" max="3087" width="16" style="3194" customWidth="1"/>
    <col min="3088" max="3088" width="14.375" style="3194" customWidth="1"/>
    <col min="3089" max="3089" width="6.25" style="3194" customWidth="1"/>
    <col min="3090" max="3090" width="7.875" style="3194" customWidth="1"/>
    <col min="3091" max="3328" width="9" style="3194"/>
    <col min="3329" max="3329" width="42" style="3194" customWidth="1"/>
    <col min="3330" max="3330" width="6.25" style="3194" customWidth="1"/>
    <col min="3331" max="3331" width="13.875" style="3194" customWidth="1"/>
    <col min="3332" max="3332" width="4.625" style="3194" customWidth="1"/>
    <col min="3333" max="3333" width="42" style="3194" customWidth="1"/>
    <col min="3334" max="3334" width="10.25" style="3194" customWidth="1"/>
    <col min="3335" max="3335" width="34.375" style="3194" customWidth="1"/>
    <col min="3336" max="3337" width="13.875" style="3194" customWidth="1"/>
    <col min="3338" max="3338" width="15" style="3194" customWidth="1"/>
    <col min="3339" max="3339" width="9" style="3194" customWidth="1"/>
    <col min="3340" max="3340" width="21.75" style="3194" customWidth="1"/>
    <col min="3341" max="3341" width="32.75" style="3194" customWidth="1"/>
    <col min="3342" max="3342" width="10.625" style="3194" customWidth="1"/>
    <col min="3343" max="3343" width="16" style="3194" customWidth="1"/>
    <col min="3344" max="3344" width="14.375" style="3194" customWidth="1"/>
    <col min="3345" max="3345" width="6.25" style="3194" customWidth="1"/>
    <col min="3346" max="3346" width="7.875" style="3194" customWidth="1"/>
    <col min="3347" max="3584" width="9" style="3194"/>
    <col min="3585" max="3585" width="42" style="3194" customWidth="1"/>
    <col min="3586" max="3586" width="6.25" style="3194" customWidth="1"/>
    <col min="3587" max="3587" width="13.875" style="3194" customWidth="1"/>
    <col min="3588" max="3588" width="4.625" style="3194" customWidth="1"/>
    <col min="3589" max="3589" width="42" style="3194" customWidth="1"/>
    <col min="3590" max="3590" width="10.25" style="3194" customWidth="1"/>
    <col min="3591" max="3591" width="34.375" style="3194" customWidth="1"/>
    <col min="3592" max="3593" width="13.875" style="3194" customWidth="1"/>
    <col min="3594" max="3594" width="15" style="3194" customWidth="1"/>
    <col min="3595" max="3595" width="9" style="3194" customWidth="1"/>
    <col min="3596" max="3596" width="21.75" style="3194" customWidth="1"/>
    <col min="3597" max="3597" width="32.75" style="3194" customWidth="1"/>
    <col min="3598" max="3598" width="10.625" style="3194" customWidth="1"/>
    <col min="3599" max="3599" width="16" style="3194" customWidth="1"/>
    <col min="3600" max="3600" width="14.375" style="3194" customWidth="1"/>
    <col min="3601" max="3601" width="6.25" style="3194" customWidth="1"/>
    <col min="3602" max="3602" width="7.875" style="3194" customWidth="1"/>
    <col min="3603" max="3840" width="9" style="3194"/>
    <col min="3841" max="3841" width="42" style="3194" customWidth="1"/>
    <col min="3842" max="3842" width="6.25" style="3194" customWidth="1"/>
    <col min="3843" max="3843" width="13.875" style="3194" customWidth="1"/>
    <col min="3844" max="3844" width="4.625" style="3194" customWidth="1"/>
    <col min="3845" max="3845" width="42" style="3194" customWidth="1"/>
    <col min="3846" max="3846" width="10.25" style="3194" customWidth="1"/>
    <col min="3847" max="3847" width="34.375" style="3194" customWidth="1"/>
    <col min="3848" max="3849" width="13.875" style="3194" customWidth="1"/>
    <col min="3850" max="3850" width="15" style="3194" customWidth="1"/>
    <col min="3851" max="3851" width="9" style="3194" customWidth="1"/>
    <col min="3852" max="3852" width="21.75" style="3194" customWidth="1"/>
    <col min="3853" max="3853" width="32.75" style="3194" customWidth="1"/>
    <col min="3854" max="3854" width="10.625" style="3194" customWidth="1"/>
    <col min="3855" max="3855" width="16" style="3194" customWidth="1"/>
    <col min="3856" max="3856" width="14.375" style="3194" customWidth="1"/>
    <col min="3857" max="3857" width="6.25" style="3194" customWidth="1"/>
    <col min="3858" max="3858" width="7.875" style="3194" customWidth="1"/>
    <col min="3859" max="4096" width="9" style="3194"/>
    <col min="4097" max="4097" width="42" style="3194" customWidth="1"/>
    <col min="4098" max="4098" width="6.25" style="3194" customWidth="1"/>
    <col min="4099" max="4099" width="13.875" style="3194" customWidth="1"/>
    <col min="4100" max="4100" width="4.625" style="3194" customWidth="1"/>
    <col min="4101" max="4101" width="42" style="3194" customWidth="1"/>
    <col min="4102" max="4102" width="10.25" style="3194" customWidth="1"/>
    <col min="4103" max="4103" width="34.375" style="3194" customWidth="1"/>
    <col min="4104" max="4105" width="13.875" style="3194" customWidth="1"/>
    <col min="4106" max="4106" width="15" style="3194" customWidth="1"/>
    <col min="4107" max="4107" width="9" style="3194" customWidth="1"/>
    <col min="4108" max="4108" width="21.75" style="3194" customWidth="1"/>
    <col min="4109" max="4109" width="32.75" style="3194" customWidth="1"/>
    <col min="4110" max="4110" width="10.625" style="3194" customWidth="1"/>
    <col min="4111" max="4111" width="16" style="3194" customWidth="1"/>
    <col min="4112" max="4112" width="14.375" style="3194" customWidth="1"/>
    <col min="4113" max="4113" width="6.25" style="3194" customWidth="1"/>
    <col min="4114" max="4114" width="7.875" style="3194" customWidth="1"/>
    <col min="4115" max="4352" width="9" style="3194"/>
    <col min="4353" max="4353" width="42" style="3194" customWidth="1"/>
    <col min="4354" max="4354" width="6.25" style="3194" customWidth="1"/>
    <col min="4355" max="4355" width="13.875" style="3194" customWidth="1"/>
    <col min="4356" max="4356" width="4.625" style="3194" customWidth="1"/>
    <col min="4357" max="4357" width="42" style="3194" customWidth="1"/>
    <col min="4358" max="4358" width="10.25" style="3194" customWidth="1"/>
    <col min="4359" max="4359" width="34.375" style="3194" customWidth="1"/>
    <col min="4360" max="4361" width="13.875" style="3194" customWidth="1"/>
    <col min="4362" max="4362" width="15" style="3194" customWidth="1"/>
    <col min="4363" max="4363" width="9" style="3194" customWidth="1"/>
    <col min="4364" max="4364" width="21.75" style="3194" customWidth="1"/>
    <col min="4365" max="4365" width="32.75" style="3194" customWidth="1"/>
    <col min="4366" max="4366" width="10.625" style="3194" customWidth="1"/>
    <col min="4367" max="4367" width="16" style="3194" customWidth="1"/>
    <col min="4368" max="4368" width="14.375" style="3194" customWidth="1"/>
    <col min="4369" max="4369" width="6.25" style="3194" customWidth="1"/>
    <col min="4370" max="4370" width="7.875" style="3194" customWidth="1"/>
    <col min="4371" max="4608" width="9" style="3194"/>
    <col min="4609" max="4609" width="42" style="3194" customWidth="1"/>
    <col min="4610" max="4610" width="6.25" style="3194" customWidth="1"/>
    <col min="4611" max="4611" width="13.875" style="3194" customWidth="1"/>
    <col min="4612" max="4612" width="4.625" style="3194" customWidth="1"/>
    <col min="4613" max="4613" width="42" style="3194" customWidth="1"/>
    <col min="4614" max="4614" width="10.25" style="3194" customWidth="1"/>
    <col min="4615" max="4615" width="34.375" style="3194" customWidth="1"/>
    <col min="4616" max="4617" width="13.875" style="3194" customWidth="1"/>
    <col min="4618" max="4618" width="15" style="3194" customWidth="1"/>
    <col min="4619" max="4619" width="9" style="3194" customWidth="1"/>
    <col min="4620" max="4620" width="21.75" style="3194" customWidth="1"/>
    <col min="4621" max="4621" width="32.75" style="3194" customWidth="1"/>
    <col min="4622" max="4622" width="10.625" style="3194" customWidth="1"/>
    <col min="4623" max="4623" width="16" style="3194" customWidth="1"/>
    <col min="4624" max="4624" width="14.375" style="3194" customWidth="1"/>
    <col min="4625" max="4625" width="6.25" style="3194" customWidth="1"/>
    <col min="4626" max="4626" width="7.875" style="3194" customWidth="1"/>
    <col min="4627" max="4864" width="9" style="3194"/>
    <col min="4865" max="4865" width="42" style="3194" customWidth="1"/>
    <col min="4866" max="4866" width="6.25" style="3194" customWidth="1"/>
    <col min="4867" max="4867" width="13.875" style="3194" customWidth="1"/>
    <col min="4868" max="4868" width="4.625" style="3194" customWidth="1"/>
    <col min="4869" max="4869" width="42" style="3194" customWidth="1"/>
    <col min="4870" max="4870" width="10.25" style="3194" customWidth="1"/>
    <col min="4871" max="4871" width="34.375" style="3194" customWidth="1"/>
    <col min="4872" max="4873" width="13.875" style="3194" customWidth="1"/>
    <col min="4874" max="4874" width="15" style="3194" customWidth="1"/>
    <col min="4875" max="4875" width="9" style="3194" customWidth="1"/>
    <col min="4876" max="4876" width="21.75" style="3194" customWidth="1"/>
    <col min="4877" max="4877" width="32.75" style="3194" customWidth="1"/>
    <col min="4878" max="4878" width="10.625" style="3194" customWidth="1"/>
    <col min="4879" max="4879" width="16" style="3194" customWidth="1"/>
    <col min="4880" max="4880" width="14.375" style="3194" customWidth="1"/>
    <col min="4881" max="4881" width="6.25" style="3194" customWidth="1"/>
    <col min="4882" max="4882" width="7.875" style="3194" customWidth="1"/>
    <col min="4883" max="5120" width="9" style="3194"/>
    <col min="5121" max="5121" width="42" style="3194" customWidth="1"/>
    <col min="5122" max="5122" width="6.25" style="3194" customWidth="1"/>
    <col min="5123" max="5123" width="13.875" style="3194" customWidth="1"/>
    <col min="5124" max="5124" width="4.625" style="3194" customWidth="1"/>
    <col min="5125" max="5125" width="42" style="3194" customWidth="1"/>
    <col min="5126" max="5126" width="10.25" style="3194" customWidth="1"/>
    <col min="5127" max="5127" width="34.375" style="3194" customWidth="1"/>
    <col min="5128" max="5129" width="13.875" style="3194" customWidth="1"/>
    <col min="5130" max="5130" width="15" style="3194" customWidth="1"/>
    <col min="5131" max="5131" width="9" style="3194" customWidth="1"/>
    <col min="5132" max="5132" width="21.75" style="3194" customWidth="1"/>
    <col min="5133" max="5133" width="32.75" style="3194" customWidth="1"/>
    <col min="5134" max="5134" width="10.625" style="3194" customWidth="1"/>
    <col min="5135" max="5135" width="16" style="3194" customWidth="1"/>
    <col min="5136" max="5136" width="14.375" style="3194" customWidth="1"/>
    <col min="5137" max="5137" width="6.25" style="3194" customWidth="1"/>
    <col min="5138" max="5138" width="7.875" style="3194" customWidth="1"/>
    <col min="5139" max="5376" width="9" style="3194"/>
    <col min="5377" max="5377" width="42" style="3194" customWidth="1"/>
    <col min="5378" max="5378" width="6.25" style="3194" customWidth="1"/>
    <col min="5379" max="5379" width="13.875" style="3194" customWidth="1"/>
    <col min="5380" max="5380" width="4.625" style="3194" customWidth="1"/>
    <col min="5381" max="5381" width="42" style="3194" customWidth="1"/>
    <col min="5382" max="5382" width="10.25" style="3194" customWidth="1"/>
    <col min="5383" max="5383" width="34.375" style="3194" customWidth="1"/>
    <col min="5384" max="5385" width="13.875" style="3194" customWidth="1"/>
    <col min="5386" max="5386" width="15" style="3194" customWidth="1"/>
    <col min="5387" max="5387" width="9" style="3194" customWidth="1"/>
    <col min="5388" max="5388" width="21.75" style="3194" customWidth="1"/>
    <col min="5389" max="5389" width="32.75" style="3194" customWidth="1"/>
    <col min="5390" max="5390" width="10.625" style="3194" customWidth="1"/>
    <col min="5391" max="5391" width="16" style="3194" customWidth="1"/>
    <col min="5392" max="5392" width="14.375" style="3194" customWidth="1"/>
    <col min="5393" max="5393" width="6.25" style="3194" customWidth="1"/>
    <col min="5394" max="5394" width="7.875" style="3194" customWidth="1"/>
    <col min="5395" max="5632" width="9" style="3194"/>
    <col min="5633" max="5633" width="42" style="3194" customWidth="1"/>
    <col min="5634" max="5634" width="6.25" style="3194" customWidth="1"/>
    <col min="5635" max="5635" width="13.875" style="3194" customWidth="1"/>
    <col min="5636" max="5636" width="4.625" style="3194" customWidth="1"/>
    <col min="5637" max="5637" width="42" style="3194" customWidth="1"/>
    <col min="5638" max="5638" width="10.25" style="3194" customWidth="1"/>
    <col min="5639" max="5639" width="34.375" style="3194" customWidth="1"/>
    <col min="5640" max="5641" width="13.875" style="3194" customWidth="1"/>
    <col min="5642" max="5642" width="15" style="3194" customWidth="1"/>
    <col min="5643" max="5643" width="9" style="3194" customWidth="1"/>
    <col min="5644" max="5644" width="21.75" style="3194" customWidth="1"/>
    <col min="5645" max="5645" width="32.75" style="3194" customWidth="1"/>
    <col min="5646" max="5646" width="10.625" style="3194" customWidth="1"/>
    <col min="5647" max="5647" width="16" style="3194" customWidth="1"/>
    <col min="5648" max="5648" width="14.375" style="3194" customWidth="1"/>
    <col min="5649" max="5649" width="6.25" style="3194" customWidth="1"/>
    <col min="5650" max="5650" width="7.875" style="3194" customWidth="1"/>
    <col min="5651" max="5888" width="9" style="3194"/>
    <col min="5889" max="5889" width="42" style="3194" customWidth="1"/>
    <col min="5890" max="5890" width="6.25" style="3194" customWidth="1"/>
    <col min="5891" max="5891" width="13.875" style="3194" customWidth="1"/>
    <col min="5892" max="5892" width="4.625" style="3194" customWidth="1"/>
    <col min="5893" max="5893" width="42" style="3194" customWidth="1"/>
    <col min="5894" max="5894" width="10.25" style="3194" customWidth="1"/>
    <col min="5895" max="5895" width="34.375" style="3194" customWidth="1"/>
    <col min="5896" max="5897" width="13.875" style="3194" customWidth="1"/>
    <col min="5898" max="5898" width="15" style="3194" customWidth="1"/>
    <col min="5899" max="5899" width="9" style="3194" customWidth="1"/>
    <col min="5900" max="5900" width="21.75" style="3194" customWidth="1"/>
    <col min="5901" max="5901" width="32.75" style="3194" customWidth="1"/>
    <col min="5902" max="5902" width="10.625" style="3194" customWidth="1"/>
    <col min="5903" max="5903" width="16" style="3194" customWidth="1"/>
    <col min="5904" max="5904" width="14.375" style="3194" customWidth="1"/>
    <col min="5905" max="5905" width="6.25" style="3194" customWidth="1"/>
    <col min="5906" max="5906" width="7.875" style="3194" customWidth="1"/>
    <col min="5907" max="6144" width="9" style="3194"/>
    <col min="6145" max="6145" width="42" style="3194" customWidth="1"/>
    <col min="6146" max="6146" width="6.25" style="3194" customWidth="1"/>
    <col min="6147" max="6147" width="13.875" style="3194" customWidth="1"/>
    <col min="6148" max="6148" width="4.625" style="3194" customWidth="1"/>
    <col min="6149" max="6149" width="42" style="3194" customWidth="1"/>
    <col min="6150" max="6150" width="10.25" style="3194" customWidth="1"/>
    <col min="6151" max="6151" width="34.375" style="3194" customWidth="1"/>
    <col min="6152" max="6153" width="13.875" style="3194" customWidth="1"/>
    <col min="6154" max="6154" width="15" style="3194" customWidth="1"/>
    <col min="6155" max="6155" width="9" style="3194" customWidth="1"/>
    <col min="6156" max="6156" width="21.75" style="3194" customWidth="1"/>
    <col min="6157" max="6157" width="32.75" style="3194" customWidth="1"/>
    <col min="6158" max="6158" width="10.625" style="3194" customWidth="1"/>
    <col min="6159" max="6159" width="16" style="3194" customWidth="1"/>
    <col min="6160" max="6160" width="14.375" style="3194" customWidth="1"/>
    <col min="6161" max="6161" width="6.25" style="3194" customWidth="1"/>
    <col min="6162" max="6162" width="7.875" style="3194" customWidth="1"/>
    <col min="6163" max="6400" width="9" style="3194"/>
    <col min="6401" max="6401" width="42" style="3194" customWidth="1"/>
    <col min="6402" max="6402" width="6.25" style="3194" customWidth="1"/>
    <col min="6403" max="6403" width="13.875" style="3194" customWidth="1"/>
    <col min="6404" max="6404" width="4.625" style="3194" customWidth="1"/>
    <col min="6405" max="6405" width="42" style="3194" customWidth="1"/>
    <col min="6406" max="6406" width="10.25" style="3194" customWidth="1"/>
    <col min="6407" max="6407" width="34.375" style="3194" customWidth="1"/>
    <col min="6408" max="6409" width="13.875" style="3194" customWidth="1"/>
    <col min="6410" max="6410" width="15" style="3194" customWidth="1"/>
    <col min="6411" max="6411" width="9" style="3194" customWidth="1"/>
    <col min="6412" max="6412" width="21.75" style="3194" customWidth="1"/>
    <col min="6413" max="6413" width="32.75" style="3194" customWidth="1"/>
    <col min="6414" max="6414" width="10.625" style="3194" customWidth="1"/>
    <col min="6415" max="6415" width="16" style="3194" customWidth="1"/>
    <col min="6416" max="6416" width="14.375" style="3194" customWidth="1"/>
    <col min="6417" max="6417" width="6.25" style="3194" customWidth="1"/>
    <col min="6418" max="6418" width="7.875" style="3194" customWidth="1"/>
    <col min="6419" max="6656" width="9" style="3194"/>
    <col min="6657" max="6657" width="42" style="3194" customWidth="1"/>
    <col min="6658" max="6658" width="6.25" style="3194" customWidth="1"/>
    <col min="6659" max="6659" width="13.875" style="3194" customWidth="1"/>
    <col min="6660" max="6660" width="4.625" style="3194" customWidth="1"/>
    <col min="6661" max="6661" width="42" style="3194" customWidth="1"/>
    <col min="6662" max="6662" width="10.25" style="3194" customWidth="1"/>
    <col min="6663" max="6663" width="34.375" style="3194" customWidth="1"/>
    <col min="6664" max="6665" width="13.875" style="3194" customWidth="1"/>
    <col min="6666" max="6666" width="15" style="3194" customWidth="1"/>
    <col min="6667" max="6667" width="9" style="3194" customWidth="1"/>
    <col min="6668" max="6668" width="21.75" style="3194" customWidth="1"/>
    <col min="6669" max="6669" width="32.75" style="3194" customWidth="1"/>
    <col min="6670" max="6670" width="10.625" style="3194" customWidth="1"/>
    <col min="6671" max="6671" width="16" style="3194" customWidth="1"/>
    <col min="6672" max="6672" width="14.375" style="3194" customWidth="1"/>
    <col min="6673" max="6673" width="6.25" style="3194" customWidth="1"/>
    <col min="6674" max="6674" width="7.875" style="3194" customWidth="1"/>
    <col min="6675" max="6912" width="9" style="3194"/>
    <col min="6913" max="6913" width="42" style="3194" customWidth="1"/>
    <col min="6914" max="6914" width="6.25" style="3194" customWidth="1"/>
    <col min="6915" max="6915" width="13.875" style="3194" customWidth="1"/>
    <col min="6916" max="6916" width="4.625" style="3194" customWidth="1"/>
    <col min="6917" max="6917" width="42" style="3194" customWidth="1"/>
    <col min="6918" max="6918" width="10.25" style="3194" customWidth="1"/>
    <col min="6919" max="6919" width="34.375" style="3194" customWidth="1"/>
    <col min="6920" max="6921" width="13.875" style="3194" customWidth="1"/>
    <col min="6922" max="6922" width="15" style="3194" customWidth="1"/>
    <col min="6923" max="6923" width="9" style="3194" customWidth="1"/>
    <col min="6924" max="6924" width="21.75" style="3194" customWidth="1"/>
    <col min="6925" max="6925" width="32.75" style="3194" customWidth="1"/>
    <col min="6926" max="6926" width="10.625" style="3194" customWidth="1"/>
    <col min="6927" max="6927" width="16" style="3194" customWidth="1"/>
    <col min="6928" max="6928" width="14.375" style="3194" customWidth="1"/>
    <col min="6929" max="6929" width="6.25" style="3194" customWidth="1"/>
    <col min="6930" max="6930" width="7.875" style="3194" customWidth="1"/>
    <col min="6931" max="7168" width="9" style="3194"/>
    <col min="7169" max="7169" width="42" style="3194" customWidth="1"/>
    <col min="7170" max="7170" width="6.25" style="3194" customWidth="1"/>
    <col min="7171" max="7171" width="13.875" style="3194" customWidth="1"/>
    <col min="7172" max="7172" width="4.625" style="3194" customWidth="1"/>
    <col min="7173" max="7173" width="42" style="3194" customWidth="1"/>
    <col min="7174" max="7174" width="10.25" style="3194" customWidth="1"/>
    <col min="7175" max="7175" width="34.375" style="3194" customWidth="1"/>
    <col min="7176" max="7177" width="13.875" style="3194" customWidth="1"/>
    <col min="7178" max="7178" width="15" style="3194" customWidth="1"/>
    <col min="7179" max="7179" width="9" style="3194" customWidth="1"/>
    <col min="7180" max="7180" width="21.75" style="3194" customWidth="1"/>
    <col min="7181" max="7181" width="32.75" style="3194" customWidth="1"/>
    <col min="7182" max="7182" width="10.625" style="3194" customWidth="1"/>
    <col min="7183" max="7183" width="16" style="3194" customWidth="1"/>
    <col min="7184" max="7184" width="14.375" style="3194" customWidth="1"/>
    <col min="7185" max="7185" width="6.25" style="3194" customWidth="1"/>
    <col min="7186" max="7186" width="7.875" style="3194" customWidth="1"/>
    <col min="7187" max="7424" width="9" style="3194"/>
    <col min="7425" max="7425" width="42" style="3194" customWidth="1"/>
    <col min="7426" max="7426" width="6.25" style="3194" customWidth="1"/>
    <col min="7427" max="7427" width="13.875" style="3194" customWidth="1"/>
    <col min="7428" max="7428" width="4.625" style="3194" customWidth="1"/>
    <col min="7429" max="7429" width="42" style="3194" customWidth="1"/>
    <col min="7430" max="7430" width="10.25" style="3194" customWidth="1"/>
    <col min="7431" max="7431" width="34.375" style="3194" customWidth="1"/>
    <col min="7432" max="7433" width="13.875" style="3194" customWidth="1"/>
    <col min="7434" max="7434" width="15" style="3194" customWidth="1"/>
    <col min="7435" max="7435" width="9" style="3194" customWidth="1"/>
    <col min="7436" max="7436" width="21.75" style="3194" customWidth="1"/>
    <col min="7437" max="7437" width="32.75" style="3194" customWidth="1"/>
    <col min="7438" max="7438" width="10.625" style="3194" customWidth="1"/>
    <col min="7439" max="7439" width="16" style="3194" customWidth="1"/>
    <col min="7440" max="7440" width="14.375" style="3194" customWidth="1"/>
    <col min="7441" max="7441" width="6.25" style="3194" customWidth="1"/>
    <col min="7442" max="7442" width="7.875" style="3194" customWidth="1"/>
    <col min="7443" max="7680" width="9" style="3194"/>
    <col min="7681" max="7681" width="42" style="3194" customWidth="1"/>
    <col min="7682" max="7682" width="6.25" style="3194" customWidth="1"/>
    <col min="7683" max="7683" width="13.875" style="3194" customWidth="1"/>
    <col min="7684" max="7684" width="4.625" style="3194" customWidth="1"/>
    <col min="7685" max="7685" width="42" style="3194" customWidth="1"/>
    <col min="7686" max="7686" width="10.25" style="3194" customWidth="1"/>
    <col min="7687" max="7687" width="34.375" style="3194" customWidth="1"/>
    <col min="7688" max="7689" width="13.875" style="3194" customWidth="1"/>
    <col min="7690" max="7690" width="15" style="3194" customWidth="1"/>
    <col min="7691" max="7691" width="9" style="3194" customWidth="1"/>
    <col min="7692" max="7692" width="21.75" style="3194" customWidth="1"/>
    <col min="7693" max="7693" width="32.75" style="3194" customWidth="1"/>
    <col min="7694" max="7694" width="10.625" style="3194" customWidth="1"/>
    <col min="7695" max="7695" width="16" style="3194" customWidth="1"/>
    <col min="7696" max="7696" width="14.375" style="3194" customWidth="1"/>
    <col min="7697" max="7697" width="6.25" style="3194" customWidth="1"/>
    <col min="7698" max="7698" width="7.875" style="3194" customWidth="1"/>
    <col min="7699" max="7936" width="9" style="3194"/>
    <col min="7937" max="7937" width="42" style="3194" customWidth="1"/>
    <col min="7938" max="7938" width="6.25" style="3194" customWidth="1"/>
    <col min="7939" max="7939" width="13.875" style="3194" customWidth="1"/>
    <col min="7940" max="7940" width="4.625" style="3194" customWidth="1"/>
    <col min="7941" max="7941" width="42" style="3194" customWidth="1"/>
    <col min="7942" max="7942" width="10.25" style="3194" customWidth="1"/>
    <col min="7943" max="7943" width="34.375" style="3194" customWidth="1"/>
    <col min="7944" max="7945" width="13.875" style="3194" customWidth="1"/>
    <col min="7946" max="7946" width="15" style="3194" customWidth="1"/>
    <col min="7947" max="7947" width="9" style="3194" customWidth="1"/>
    <col min="7948" max="7948" width="21.75" style="3194" customWidth="1"/>
    <col min="7949" max="7949" width="32.75" style="3194" customWidth="1"/>
    <col min="7950" max="7950" width="10.625" style="3194" customWidth="1"/>
    <col min="7951" max="7951" width="16" style="3194" customWidth="1"/>
    <col min="7952" max="7952" width="14.375" style="3194" customWidth="1"/>
    <col min="7953" max="7953" width="6.25" style="3194" customWidth="1"/>
    <col min="7954" max="7954" width="7.875" style="3194" customWidth="1"/>
    <col min="7955" max="8192" width="9" style="3194"/>
    <col min="8193" max="8193" width="42" style="3194" customWidth="1"/>
    <col min="8194" max="8194" width="6.25" style="3194" customWidth="1"/>
    <col min="8195" max="8195" width="13.875" style="3194" customWidth="1"/>
    <col min="8196" max="8196" width="4.625" style="3194" customWidth="1"/>
    <col min="8197" max="8197" width="42" style="3194" customWidth="1"/>
    <col min="8198" max="8198" width="10.25" style="3194" customWidth="1"/>
    <col min="8199" max="8199" width="34.375" style="3194" customWidth="1"/>
    <col min="8200" max="8201" width="13.875" style="3194" customWidth="1"/>
    <col min="8202" max="8202" width="15" style="3194" customWidth="1"/>
    <col min="8203" max="8203" width="9" style="3194" customWidth="1"/>
    <col min="8204" max="8204" width="21.75" style="3194" customWidth="1"/>
    <col min="8205" max="8205" width="32.75" style="3194" customWidth="1"/>
    <col min="8206" max="8206" width="10.625" style="3194" customWidth="1"/>
    <col min="8207" max="8207" width="16" style="3194" customWidth="1"/>
    <col min="8208" max="8208" width="14.375" style="3194" customWidth="1"/>
    <col min="8209" max="8209" width="6.25" style="3194" customWidth="1"/>
    <col min="8210" max="8210" width="7.875" style="3194" customWidth="1"/>
    <col min="8211" max="8448" width="9" style="3194"/>
    <col min="8449" max="8449" width="42" style="3194" customWidth="1"/>
    <col min="8450" max="8450" width="6.25" style="3194" customWidth="1"/>
    <col min="8451" max="8451" width="13.875" style="3194" customWidth="1"/>
    <col min="8452" max="8452" width="4.625" style="3194" customWidth="1"/>
    <col min="8453" max="8453" width="42" style="3194" customWidth="1"/>
    <col min="8454" max="8454" width="10.25" style="3194" customWidth="1"/>
    <col min="8455" max="8455" width="34.375" style="3194" customWidth="1"/>
    <col min="8456" max="8457" width="13.875" style="3194" customWidth="1"/>
    <col min="8458" max="8458" width="15" style="3194" customWidth="1"/>
    <col min="8459" max="8459" width="9" style="3194" customWidth="1"/>
    <col min="8460" max="8460" width="21.75" style="3194" customWidth="1"/>
    <col min="8461" max="8461" width="32.75" style="3194" customWidth="1"/>
    <col min="8462" max="8462" width="10.625" style="3194" customWidth="1"/>
    <col min="8463" max="8463" width="16" style="3194" customWidth="1"/>
    <col min="8464" max="8464" width="14.375" style="3194" customWidth="1"/>
    <col min="8465" max="8465" width="6.25" style="3194" customWidth="1"/>
    <col min="8466" max="8466" width="7.875" style="3194" customWidth="1"/>
    <col min="8467" max="8704" width="9" style="3194"/>
    <col min="8705" max="8705" width="42" style="3194" customWidth="1"/>
    <col min="8706" max="8706" width="6.25" style="3194" customWidth="1"/>
    <col min="8707" max="8707" width="13.875" style="3194" customWidth="1"/>
    <col min="8708" max="8708" width="4.625" style="3194" customWidth="1"/>
    <col min="8709" max="8709" width="42" style="3194" customWidth="1"/>
    <col min="8710" max="8710" width="10.25" style="3194" customWidth="1"/>
    <col min="8711" max="8711" width="34.375" style="3194" customWidth="1"/>
    <col min="8712" max="8713" width="13.875" style="3194" customWidth="1"/>
    <col min="8714" max="8714" width="15" style="3194" customWidth="1"/>
    <col min="8715" max="8715" width="9" style="3194" customWidth="1"/>
    <col min="8716" max="8716" width="21.75" style="3194" customWidth="1"/>
    <col min="8717" max="8717" width="32.75" style="3194" customWidth="1"/>
    <col min="8718" max="8718" width="10.625" style="3194" customWidth="1"/>
    <col min="8719" max="8719" width="16" style="3194" customWidth="1"/>
    <col min="8720" max="8720" width="14.375" style="3194" customWidth="1"/>
    <col min="8721" max="8721" width="6.25" style="3194" customWidth="1"/>
    <col min="8722" max="8722" width="7.875" style="3194" customWidth="1"/>
    <col min="8723" max="8960" width="9" style="3194"/>
    <col min="8961" max="8961" width="42" style="3194" customWidth="1"/>
    <col min="8962" max="8962" width="6.25" style="3194" customWidth="1"/>
    <col min="8963" max="8963" width="13.875" style="3194" customWidth="1"/>
    <col min="8964" max="8964" width="4.625" style="3194" customWidth="1"/>
    <col min="8965" max="8965" width="42" style="3194" customWidth="1"/>
    <col min="8966" max="8966" width="10.25" style="3194" customWidth="1"/>
    <col min="8967" max="8967" width="34.375" style="3194" customWidth="1"/>
    <col min="8968" max="8969" width="13.875" style="3194" customWidth="1"/>
    <col min="8970" max="8970" width="15" style="3194" customWidth="1"/>
    <col min="8971" max="8971" width="9" style="3194" customWidth="1"/>
    <col min="8972" max="8972" width="21.75" style="3194" customWidth="1"/>
    <col min="8973" max="8973" width="32.75" style="3194" customWidth="1"/>
    <col min="8974" max="8974" width="10.625" style="3194" customWidth="1"/>
    <col min="8975" max="8975" width="16" style="3194" customWidth="1"/>
    <col min="8976" max="8976" width="14.375" style="3194" customWidth="1"/>
    <col min="8977" max="8977" width="6.25" style="3194" customWidth="1"/>
    <col min="8978" max="8978" width="7.875" style="3194" customWidth="1"/>
    <col min="8979" max="9216" width="9" style="3194"/>
    <col min="9217" max="9217" width="42" style="3194" customWidth="1"/>
    <col min="9218" max="9218" width="6.25" style="3194" customWidth="1"/>
    <col min="9219" max="9219" width="13.875" style="3194" customWidth="1"/>
    <col min="9220" max="9220" width="4.625" style="3194" customWidth="1"/>
    <col min="9221" max="9221" width="42" style="3194" customWidth="1"/>
    <col min="9222" max="9222" width="10.25" style="3194" customWidth="1"/>
    <col min="9223" max="9223" width="34.375" style="3194" customWidth="1"/>
    <col min="9224" max="9225" width="13.875" style="3194" customWidth="1"/>
    <col min="9226" max="9226" width="15" style="3194" customWidth="1"/>
    <col min="9227" max="9227" width="9" style="3194" customWidth="1"/>
    <col min="9228" max="9228" width="21.75" style="3194" customWidth="1"/>
    <col min="9229" max="9229" width="32.75" style="3194" customWidth="1"/>
    <col min="9230" max="9230" width="10.625" style="3194" customWidth="1"/>
    <col min="9231" max="9231" width="16" style="3194" customWidth="1"/>
    <col min="9232" max="9232" width="14.375" style="3194" customWidth="1"/>
    <col min="9233" max="9233" width="6.25" style="3194" customWidth="1"/>
    <col min="9234" max="9234" width="7.875" style="3194" customWidth="1"/>
    <col min="9235" max="9472" width="9" style="3194"/>
    <col min="9473" max="9473" width="42" style="3194" customWidth="1"/>
    <col min="9474" max="9474" width="6.25" style="3194" customWidth="1"/>
    <col min="9475" max="9475" width="13.875" style="3194" customWidth="1"/>
    <col min="9476" max="9476" width="4.625" style="3194" customWidth="1"/>
    <col min="9477" max="9477" width="42" style="3194" customWidth="1"/>
    <col min="9478" max="9478" width="10.25" style="3194" customWidth="1"/>
    <col min="9479" max="9479" width="34.375" style="3194" customWidth="1"/>
    <col min="9480" max="9481" width="13.875" style="3194" customWidth="1"/>
    <col min="9482" max="9482" width="15" style="3194" customWidth="1"/>
    <col min="9483" max="9483" width="9" style="3194" customWidth="1"/>
    <col min="9484" max="9484" width="21.75" style="3194" customWidth="1"/>
    <col min="9485" max="9485" width="32.75" style="3194" customWidth="1"/>
    <col min="9486" max="9486" width="10.625" style="3194" customWidth="1"/>
    <col min="9487" max="9487" width="16" style="3194" customWidth="1"/>
    <col min="9488" max="9488" width="14.375" style="3194" customWidth="1"/>
    <col min="9489" max="9489" width="6.25" style="3194" customWidth="1"/>
    <col min="9490" max="9490" width="7.875" style="3194" customWidth="1"/>
    <col min="9491" max="9728" width="9" style="3194"/>
    <col min="9729" max="9729" width="42" style="3194" customWidth="1"/>
    <col min="9730" max="9730" width="6.25" style="3194" customWidth="1"/>
    <col min="9731" max="9731" width="13.875" style="3194" customWidth="1"/>
    <col min="9732" max="9732" width="4.625" style="3194" customWidth="1"/>
    <col min="9733" max="9733" width="42" style="3194" customWidth="1"/>
    <col min="9734" max="9734" width="10.25" style="3194" customWidth="1"/>
    <col min="9735" max="9735" width="34.375" style="3194" customWidth="1"/>
    <col min="9736" max="9737" width="13.875" style="3194" customWidth="1"/>
    <col min="9738" max="9738" width="15" style="3194" customWidth="1"/>
    <col min="9739" max="9739" width="9" style="3194" customWidth="1"/>
    <col min="9740" max="9740" width="21.75" style="3194" customWidth="1"/>
    <col min="9741" max="9741" width="32.75" style="3194" customWidth="1"/>
    <col min="9742" max="9742" width="10.625" style="3194" customWidth="1"/>
    <col min="9743" max="9743" width="16" style="3194" customWidth="1"/>
    <col min="9744" max="9744" width="14.375" style="3194" customWidth="1"/>
    <col min="9745" max="9745" width="6.25" style="3194" customWidth="1"/>
    <col min="9746" max="9746" width="7.875" style="3194" customWidth="1"/>
    <col min="9747" max="9984" width="9" style="3194"/>
    <col min="9985" max="9985" width="42" style="3194" customWidth="1"/>
    <col min="9986" max="9986" width="6.25" style="3194" customWidth="1"/>
    <col min="9987" max="9987" width="13.875" style="3194" customWidth="1"/>
    <col min="9988" max="9988" width="4.625" style="3194" customWidth="1"/>
    <col min="9989" max="9989" width="42" style="3194" customWidth="1"/>
    <col min="9990" max="9990" width="10.25" style="3194" customWidth="1"/>
    <col min="9991" max="9991" width="34.375" style="3194" customWidth="1"/>
    <col min="9992" max="9993" width="13.875" style="3194" customWidth="1"/>
    <col min="9994" max="9994" width="15" style="3194" customWidth="1"/>
    <col min="9995" max="9995" width="9" style="3194" customWidth="1"/>
    <col min="9996" max="9996" width="21.75" style="3194" customWidth="1"/>
    <col min="9997" max="9997" width="32.75" style="3194" customWidth="1"/>
    <col min="9998" max="9998" width="10.625" style="3194" customWidth="1"/>
    <col min="9999" max="9999" width="16" style="3194" customWidth="1"/>
    <col min="10000" max="10000" width="14.375" style="3194" customWidth="1"/>
    <col min="10001" max="10001" width="6.25" style="3194" customWidth="1"/>
    <col min="10002" max="10002" width="7.875" style="3194" customWidth="1"/>
    <col min="10003" max="10240" width="9" style="3194"/>
    <col min="10241" max="10241" width="42" style="3194" customWidth="1"/>
    <col min="10242" max="10242" width="6.25" style="3194" customWidth="1"/>
    <col min="10243" max="10243" width="13.875" style="3194" customWidth="1"/>
    <col min="10244" max="10244" width="4.625" style="3194" customWidth="1"/>
    <col min="10245" max="10245" width="42" style="3194" customWidth="1"/>
    <col min="10246" max="10246" width="10.25" style="3194" customWidth="1"/>
    <col min="10247" max="10247" width="34.375" style="3194" customWidth="1"/>
    <col min="10248" max="10249" width="13.875" style="3194" customWidth="1"/>
    <col min="10250" max="10250" width="15" style="3194" customWidth="1"/>
    <col min="10251" max="10251" width="9" style="3194" customWidth="1"/>
    <col min="10252" max="10252" width="21.75" style="3194" customWidth="1"/>
    <col min="10253" max="10253" width="32.75" style="3194" customWidth="1"/>
    <col min="10254" max="10254" width="10.625" style="3194" customWidth="1"/>
    <col min="10255" max="10255" width="16" style="3194" customWidth="1"/>
    <col min="10256" max="10256" width="14.375" style="3194" customWidth="1"/>
    <col min="10257" max="10257" width="6.25" style="3194" customWidth="1"/>
    <col min="10258" max="10258" width="7.875" style="3194" customWidth="1"/>
    <col min="10259" max="10496" width="9" style="3194"/>
    <col min="10497" max="10497" width="42" style="3194" customWidth="1"/>
    <col min="10498" max="10498" width="6.25" style="3194" customWidth="1"/>
    <col min="10499" max="10499" width="13.875" style="3194" customWidth="1"/>
    <col min="10500" max="10500" width="4.625" style="3194" customWidth="1"/>
    <col min="10501" max="10501" width="42" style="3194" customWidth="1"/>
    <col min="10502" max="10502" width="10.25" style="3194" customWidth="1"/>
    <col min="10503" max="10503" width="34.375" style="3194" customWidth="1"/>
    <col min="10504" max="10505" width="13.875" style="3194" customWidth="1"/>
    <col min="10506" max="10506" width="15" style="3194" customWidth="1"/>
    <col min="10507" max="10507" width="9" style="3194" customWidth="1"/>
    <col min="10508" max="10508" width="21.75" style="3194" customWidth="1"/>
    <col min="10509" max="10509" width="32.75" style="3194" customWidth="1"/>
    <col min="10510" max="10510" width="10.625" style="3194" customWidth="1"/>
    <col min="10511" max="10511" width="16" style="3194" customWidth="1"/>
    <col min="10512" max="10512" width="14.375" style="3194" customWidth="1"/>
    <col min="10513" max="10513" width="6.25" style="3194" customWidth="1"/>
    <col min="10514" max="10514" width="7.875" style="3194" customWidth="1"/>
    <col min="10515" max="10752" width="9" style="3194"/>
    <col min="10753" max="10753" width="42" style="3194" customWidth="1"/>
    <col min="10754" max="10754" width="6.25" style="3194" customWidth="1"/>
    <col min="10755" max="10755" width="13.875" style="3194" customWidth="1"/>
    <col min="10756" max="10756" width="4.625" style="3194" customWidth="1"/>
    <col min="10757" max="10757" width="42" style="3194" customWidth="1"/>
    <col min="10758" max="10758" width="10.25" style="3194" customWidth="1"/>
    <col min="10759" max="10759" width="34.375" style="3194" customWidth="1"/>
    <col min="10760" max="10761" width="13.875" style="3194" customWidth="1"/>
    <col min="10762" max="10762" width="15" style="3194" customWidth="1"/>
    <col min="10763" max="10763" width="9" style="3194" customWidth="1"/>
    <col min="10764" max="10764" width="21.75" style="3194" customWidth="1"/>
    <col min="10765" max="10765" width="32.75" style="3194" customWidth="1"/>
    <col min="10766" max="10766" width="10.625" style="3194" customWidth="1"/>
    <col min="10767" max="10767" width="16" style="3194" customWidth="1"/>
    <col min="10768" max="10768" width="14.375" style="3194" customWidth="1"/>
    <col min="10769" max="10769" width="6.25" style="3194" customWidth="1"/>
    <col min="10770" max="10770" width="7.875" style="3194" customWidth="1"/>
    <col min="10771" max="11008" width="9" style="3194"/>
    <col min="11009" max="11009" width="42" style="3194" customWidth="1"/>
    <col min="11010" max="11010" width="6.25" style="3194" customWidth="1"/>
    <col min="11011" max="11011" width="13.875" style="3194" customWidth="1"/>
    <col min="11012" max="11012" width="4.625" style="3194" customWidth="1"/>
    <col min="11013" max="11013" width="42" style="3194" customWidth="1"/>
    <col min="11014" max="11014" width="10.25" style="3194" customWidth="1"/>
    <col min="11015" max="11015" width="34.375" style="3194" customWidth="1"/>
    <col min="11016" max="11017" width="13.875" style="3194" customWidth="1"/>
    <col min="11018" max="11018" width="15" style="3194" customWidth="1"/>
    <col min="11019" max="11019" width="9" style="3194" customWidth="1"/>
    <col min="11020" max="11020" width="21.75" style="3194" customWidth="1"/>
    <col min="11021" max="11021" width="32.75" style="3194" customWidth="1"/>
    <col min="11022" max="11022" width="10.625" style="3194" customWidth="1"/>
    <col min="11023" max="11023" width="16" style="3194" customWidth="1"/>
    <col min="11024" max="11024" width="14.375" style="3194" customWidth="1"/>
    <col min="11025" max="11025" width="6.25" style="3194" customWidth="1"/>
    <col min="11026" max="11026" width="7.875" style="3194" customWidth="1"/>
    <col min="11027" max="11264" width="9" style="3194"/>
    <col min="11265" max="11265" width="42" style="3194" customWidth="1"/>
    <col min="11266" max="11266" width="6.25" style="3194" customWidth="1"/>
    <col min="11267" max="11267" width="13.875" style="3194" customWidth="1"/>
    <col min="11268" max="11268" width="4.625" style="3194" customWidth="1"/>
    <col min="11269" max="11269" width="42" style="3194" customWidth="1"/>
    <col min="11270" max="11270" width="10.25" style="3194" customWidth="1"/>
    <col min="11271" max="11271" width="34.375" style="3194" customWidth="1"/>
    <col min="11272" max="11273" width="13.875" style="3194" customWidth="1"/>
    <col min="11274" max="11274" width="15" style="3194" customWidth="1"/>
    <col min="11275" max="11275" width="9" style="3194" customWidth="1"/>
    <col min="11276" max="11276" width="21.75" style="3194" customWidth="1"/>
    <col min="11277" max="11277" width="32.75" style="3194" customWidth="1"/>
    <col min="11278" max="11278" width="10.625" style="3194" customWidth="1"/>
    <col min="11279" max="11279" width="16" style="3194" customWidth="1"/>
    <col min="11280" max="11280" width="14.375" style="3194" customWidth="1"/>
    <col min="11281" max="11281" width="6.25" style="3194" customWidth="1"/>
    <col min="11282" max="11282" width="7.875" style="3194" customWidth="1"/>
    <col min="11283" max="11520" width="9" style="3194"/>
    <col min="11521" max="11521" width="42" style="3194" customWidth="1"/>
    <col min="11522" max="11522" width="6.25" style="3194" customWidth="1"/>
    <col min="11523" max="11523" width="13.875" style="3194" customWidth="1"/>
    <col min="11524" max="11524" width="4.625" style="3194" customWidth="1"/>
    <col min="11525" max="11525" width="42" style="3194" customWidth="1"/>
    <col min="11526" max="11526" width="10.25" style="3194" customWidth="1"/>
    <col min="11527" max="11527" width="34.375" style="3194" customWidth="1"/>
    <col min="11528" max="11529" width="13.875" style="3194" customWidth="1"/>
    <col min="11530" max="11530" width="15" style="3194" customWidth="1"/>
    <col min="11531" max="11531" width="9" style="3194" customWidth="1"/>
    <col min="11532" max="11532" width="21.75" style="3194" customWidth="1"/>
    <col min="11533" max="11533" width="32.75" style="3194" customWidth="1"/>
    <col min="11534" max="11534" width="10.625" style="3194" customWidth="1"/>
    <col min="11535" max="11535" width="16" style="3194" customWidth="1"/>
    <col min="11536" max="11536" width="14.375" style="3194" customWidth="1"/>
    <col min="11537" max="11537" width="6.25" style="3194" customWidth="1"/>
    <col min="11538" max="11538" width="7.875" style="3194" customWidth="1"/>
    <col min="11539" max="11776" width="9" style="3194"/>
    <col min="11777" max="11777" width="42" style="3194" customWidth="1"/>
    <col min="11778" max="11778" width="6.25" style="3194" customWidth="1"/>
    <col min="11779" max="11779" width="13.875" style="3194" customWidth="1"/>
    <col min="11780" max="11780" width="4.625" style="3194" customWidth="1"/>
    <col min="11781" max="11781" width="42" style="3194" customWidth="1"/>
    <col min="11782" max="11782" width="10.25" style="3194" customWidth="1"/>
    <col min="11783" max="11783" width="34.375" style="3194" customWidth="1"/>
    <col min="11784" max="11785" width="13.875" style="3194" customWidth="1"/>
    <col min="11786" max="11786" width="15" style="3194" customWidth="1"/>
    <col min="11787" max="11787" width="9" style="3194" customWidth="1"/>
    <col min="11788" max="11788" width="21.75" style="3194" customWidth="1"/>
    <col min="11789" max="11789" width="32.75" style="3194" customWidth="1"/>
    <col min="11790" max="11790" width="10.625" style="3194" customWidth="1"/>
    <col min="11791" max="11791" width="16" style="3194" customWidth="1"/>
    <col min="11792" max="11792" width="14.375" style="3194" customWidth="1"/>
    <col min="11793" max="11793" width="6.25" style="3194" customWidth="1"/>
    <col min="11794" max="11794" width="7.875" style="3194" customWidth="1"/>
    <col min="11795" max="12032" width="9" style="3194"/>
    <col min="12033" max="12033" width="42" style="3194" customWidth="1"/>
    <col min="12034" max="12034" width="6.25" style="3194" customWidth="1"/>
    <col min="12035" max="12035" width="13.875" style="3194" customWidth="1"/>
    <col min="12036" max="12036" width="4.625" style="3194" customWidth="1"/>
    <col min="12037" max="12037" width="42" style="3194" customWidth="1"/>
    <col min="12038" max="12038" width="10.25" style="3194" customWidth="1"/>
    <col min="12039" max="12039" width="34.375" style="3194" customWidth="1"/>
    <col min="12040" max="12041" width="13.875" style="3194" customWidth="1"/>
    <col min="12042" max="12042" width="15" style="3194" customWidth="1"/>
    <col min="12043" max="12043" width="9" style="3194" customWidth="1"/>
    <col min="12044" max="12044" width="21.75" style="3194" customWidth="1"/>
    <col min="12045" max="12045" width="32.75" style="3194" customWidth="1"/>
    <col min="12046" max="12046" width="10.625" style="3194" customWidth="1"/>
    <col min="12047" max="12047" width="16" style="3194" customWidth="1"/>
    <col min="12048" max="12048" width="14.375" style="3194" customWidth="1"/>
    <col min="12049" max="12049" width="6.25" style="3194" customWidth="1"/>
    <col min="12050" max="12050" width="7.875" style="3194" customWidth="1"/>
    <col min="12051" max="12288" width="9" style="3194"/>
    <col min="12289" max="12289" width="42" style="3194" customWidth="1"/>
    <col min="12290" max="12290" width="6.25" style="3194" customWidth="1"/>
    <col min="12291" max="12291" width="13.875" style="3194" customWidth="1"/>
    <col min="12292" max="12292" width="4.625" style="3194" customWidth="1"/>
    <col min="12293" max="12293" width="42" style="3194" customWidth="1"/>
    <col min="12294" max="12294" width="10.25" style="3194" customWidth="1"/>
    <col min="12295" max="12295" width="34.375" style="3194" customWidth="1"/>
    <col min="12296" max="12297" width="13.875" style="3194" customWidth="1"/>
    <col min="12298" max="12298" width="15" style="3194" customWidth="1"/>
    <col min="12299" max="12299" width="9" style="3194" customWidth="1"/>
    <col min="12300" max="12300" width="21.75" style="3194" customWidth="1"/>
    <col min="12301" max="12301" width="32.75" style="3194" customWidth="1"/>
    <col min="12302" max="12302" width="10.625" style="3194" customWidth="1"/>
    <col min="12303" max="12303" width="16" style="3194" customWidth="1"/>
    <col min="12304" max="12304" width="14.375" style="3194" customWidth="1"/>
    <col min="12305" max="12305" width="6.25" style="3194" customWidth="1"/>
    <col min="12306" max="12306" width="7.875" style="3194" customWidth="1"/>
    <col min="12307" max="12544" width="9" style="3194"/>
    <col min="12545" max="12545" width="42" style="3194" customWidth="1"/>
    <col min="12546" max="12546" width="6.25" style="3194" customWidth="1"/>
    <col min="12547" max="12547" width="13.875" style="3194" customWidth="1"/>
    <col min="12548" max="12548" width="4.625" style="3194" customWidth="1"/>
    <col min="12549" max="12549" width="42" style="3194" customWidth="1"/>
    <col min="12550" max="12550" width="10.25" style="3194" customWidth="1"/>
    <col min="12551" max="12551" width="34.375" style="3194" customWidth="1"/>
    <col min="12552" max="12553" width="13.875" style="3194" customWidth="1"/>
    <col min="12554" max="12554" width="15" style="3194" customWidth="1"/>
    <col min="12555" max="12555" width="9" style="3194" customWidth="1"/>
    <col min="12556" max="12556" width="21.75" style="3194" customWidth="1"/>
    <col min="12557" max="12557" width="32.75" style="3194" customWidth="1"/>
    <col min="12558" max="12558" width="10.625" style="3194" customWidth="1"/>
    <col min="12559" max="12559" width="16" style="3194" customWidth="1"/>
    <col min="12560" max="12560" width="14.375" style="3194" customWidth="1"/>
    <col min="12561" max="12561" width="6.25" style="3194" customWidth="1"/>
    <col min="12562" max="12562" width="7.875" style="3194" customWidth="1"/>
    <col min="12563" max="12800" width="9" style="3194"/>
    <col min="12801" max="12801" width="42" style="3194" customWidth="1"/>
    <col min="12802" max="12802" width="6.25" style="3194" customWidth="1"/>
    <col min="12803" max="12803" width="13.875" style="3194" customWidth="1"/>
    <col min="12804" max="12804" width="4.625" style="3194" customWidth="1"/>
    <col min="12805" max="12805" width="42" style="3194" customWidth="1"/>
    <col min="12806" max="12806" width="10.25" style="3194" customWidth="1"/>
    <col min="12807" max="12807" width="34.375" style="3194" customWidth="1"/>
    <col min="12808" max="12809" width="13.875" style="3194" customWidth="1"/>
    <col min="12810" max="12810" width="15" style="3194" customWidth="1"/>
    <col min="12811" max="12811" width="9" style="3194" customWidth="1"/>
    <col min="12812" max="12812" width="21.75" style="3194" customWidth="1"/>
    <col min="12813" max="12813" width="32.75" style="3194" customWidth="1"/>
    <col min="12814" max="12814" width="10.625" style="3194" customWidth="1"/>
    <col min="12815" max="12815" width="16" style="3194" customWidth="1"/>
    <col min="12816" max="12816" width="14.375" style="3194" customWidth="1"/>
    <col min="12817" max="12817" width="6.25" style="3194" customWidth="1"/>
    <col min="12818" max="12818" width="7.875" style="3194" customWidth="1"/>
    <col min="12819" max="13056" width="9" style="3194"/>
    <col min="13057" max="13057" width="42" style="3194" customWidth="1"/>
    <col min="13058" max="13058" width="6.25" style="3194" customWidth="1"/>
    <col min="13059" max="13059" width="13.875" style="3194" customWidth="1"/>
    <col min="13060" max="13060" width="4.625" style="3194" customWidth="1"/>
    <col min="13061" max="13061" width="42" style="3194" customWidth="1"/>
    <col min="13062" max="13062" width="10.25" style="3194" customWidth="1"/>
    <col min="13063" max="13063" width="34.375" style="3194" customWidth="1"/>
    <col min="13064" max="13065" width="13.875" style="3194" customWidth="1"/>
    <col min="13066" max="13066" width="15" style="3194" customWidth="1"/>
    <col min="13067" max="13067" width="9" style="3194" customWidth="1"/>
    <col min="13068" max="13068" width="21.75" style="3194" customWidth="1"/>
    <col min="13069" max="13069" width="32.75" style="3194" customWidth="1"/>
    <col min="13070" max="13070" width="10.625" style="3194" customWidth="1"/>
    <col min="13071" max="13071" width="16" style="3194" customWidth="1"/>
    <col min="13072" max="13072" width="14.375" style="3194" customWidth="1"/>
    <col min="13073" max="13073" width="6.25" style="3194" customWidth="1"/>
    <col min="13074" max="13074" width="7.875" style="3194" customWidth="1"/>
    <col min="13075" max="13312" width="9" style="3194"/>
    <col min="13313" max="13313" width="42" style="3194" customWidth="1"/>
    <col min="13314" max="13314" width="6.25" style="3194" customWidth="1"/>
    <col min="13315" max="13315" width="13.875" style="3194" customWidth="1"/>
    <col min="13316" max="13316" width="4.625" style="3194" customWidth="1"/>
    <col min="13317" max="13317" width="42" style="3194" customWidth="1"/>
    <col min="13318" max="13318" width="10.25" style="3194" customWidth="1"/>
    <col min="13319" max="13319" width="34.375" style="3194" customWidth="1"/>
    <col min="13320" max="13321" width="13.875" style="3194" customWidth="1"/>
    <col min="13322" max="13322" width="15" style="3194" customWidth="1"/>
    <col min="13323" max="13323" width="9" style="3194" customWidth="1"/>
    <col min="13324" max="13324" width="21.75" style="3194" customWidth="1"/>
    <col min="13325" max="13325" width="32.75" style="3194" customWidth="1"/>
    <col min="13326" max="13326" width="10.625" style="3194" customWidth="1"/>
    <col min="13327" max="13327" width="16" style="3194" customWidth="1"/>
    <col min="13328" max="13328" width="14.375" style="3194" customWidth="1"/>
    <col min="13329" max="13329" width="6.25" style="3194" customWidth="1"/>
    <col min="13330" max="13330" width="7.875" style="3194" customWidth="1"/>
    <col min="13331" max="13568" width="9" style="3194"/>
    <col min="13569" max="13569" width="42" style="3194" customWidth="1"/>
    <col min="13570" max="13570" width="6.25" style="3194" customWidth="1"/>
    <col min="13571" max="13571" width="13.875" style="3194" customWidth="1"/>
    <col min="13572" max="13572" width="4.625" style="3194" customWidth="1"/>
    <col min="13573" max="13573" width="42" style="3194" customWidth="1"/>
    <col min="13574" max="13574" width="10.25" style="3194" customWidth="1"/>
    <col min="13575" max="13575" width="34.375" style="3194" customWidth="1"/>
    <col min="13576" max="13577" width="13.875" style="3194" customWidth="1"/>
    <col min="13578" max="13578" width="15" style="3194" customWidth="1"/>
    <col min="13579" max="13579" width="9" style="3194" customWidth="1"/>
    <col min="13580" max="13580" width="21.75" style="3194" customWidth="1"/>
    <col min="13581" max="13581" width="32.75" style="3194" customWidth="1"/>
    <col min="13582" max="13582" width="10.625" style="3194" customWidth="1"/>
    <col min="13583" max="13583" width="16" style="3194" customWidth="1"/>
    <col min="13584" max="13584" width="14.375" style="3194" customWidth="1"/>
    <col min="13585" max="13585" width="6.25" style="3194" customWidth="1"/>
    <col min="13586" max="13586" width="7.875" style="3194" customWidth="1"/>
    <col min="13587" max="13824" width="9" style="3194"/>
    <col min="13825" max="13825" width="42" style="3194" customWidth="1"/>
    <col min="13826" max="13826" width="6.25" style="3194" customWidth="1"/>
    <col min="13827" max="13827" width="13.875" style="3194" customWidth="1"/>
    <col min="13828" max="13828" width="4.625" style="3194" customWidth="1"/>
    <col min="13829" max="13829" width="42" style="3194" customWidth="1"/>
    <col min="13830" max="13830" width="10.25" style="3194" customWidth="1"/>
    <col min="13831" max="13831" width="34.375" style="3194" customWidth="1"/>
    <col min="13832" max="13833" width="13.875" style="3194" customWidth="1"/>
    <col min="13834" max="13834" width="15" style="3194" customWidth="1"/>
    <col min="13835" max="13835" width="9" style="3194" customWidth="1"/>
    <col min="13836" max="13836" width="21.75" style="3194" customWidth="1"/>
    <col min="13837" max="13837" width="32.75" style="3194" customWidth="1"/>
    <col min="13838" max="13838" width="10.625" style="3194" customWidth="1"/>
    <col min="13839" max="13839" width="16" style="3194" customWidth="1"/>
    <col min="13840" max="13840" width="14.375" style="3194" customWidth="1"/>
    <col min="13841" max="13841" width="6.25" style="3194" customWidth="1"/>
    <col min="13842" max="13842" width="7.875" style="3194" customWidth="1"/>
    <col min="13843" max="14080" width="9" style="3194"/>
    <col min="14081" max="14081" width="42" style="3194" customWidth="1"/>
    <col min="14082" max="14082" width="6.25" style="3194" customWidth="1"/>
    <col min="14083" max="14083" width="13.875" style="3194" customWidth="1"/>
    <col min="14084" max="14084" width="4.625" style="3194" customWidth="1"/>
    <col min="14085" max="14085" width="42" style="3194" customWidth="1"/>
    <col min="14086" max="14086" width="10.25" style="3194" customWidth="1"/>
    <col min="14087" max="14087" width="34.375" style="3194" customWidth="1"/>
    <col min="14088" max="14089" width="13.875" style="3194" customWidth="1"/>
    <col min="14090" max="14090" width="15" style="3194" customWidth="1"/>
    <col min="14091" max="14091" width="9" style="3194" customWidth="1"/>
    <col min="14092" max="14092" width="21.75" style="3194" customWidth="1"/>
    <col min="14093" max="14093" width="32.75" style="3194" customWidth="1"/>
    <col min="14094" max="14094" width="10.625" style="3194" customWidth="1"/>
    <col min="14095" max="14095" width="16" style="3194" customWidth="1"/>
    <col min="14096" max="14096" width="14.375" style="3194" customWidth="1"/>
    <col min="14097" max="14097" width="6.25" style="3194" customWidth="1"/>
    <col min="14098" max="14098" width="7.875" style="3194" customWidth="1"/>
    <col min="14099" max="14336" width="9" style="3194"/>
    <col min="14337" max="14337" width="42" style="3194" customWidth="1"/>
    <col min="14338" max="14338" width="6.25" style="3194" customWidth="1"/>
    <col min="14339" max="14339" width="13.875" style="3194" customWidth="1"/>
    <col min="14340" max="14340" width="4.625" style="3194" customWidth="1"/>
    <col min="14341" max="14341" width="42" style="3194" customWidth="1"/>
    <col min="14342" max="14342" width="10.25" style="3194" customWidth="1"/>
    <col min="14343" max="14343" width="34.375" style="3194" customWidth="1"/>
    <col min="14344" max="14345" width="13.875" style="3194" customWidth="1"/>
    <col min="14346" max="14346" width="15" style="3194" customWidth="1"/>
    <col min="14347" max="14347" width="9" style="3194" customWidth="1"/>
    <col min="14348" max="14348" width="21.75" style="3194" customWidth="1"/>
    <col min="14349" max="14349" width="32.75" style="3194" customWidth="1"/>
    <col min="14350" max="14350" width="10.625" style="3194" customWidth="1"/>
    <col min="14351" max="14351" width="16" style="3194" customWidth="1"/>
    <col min="14352" max="14352" width="14.375" style="3194" customWidth="1"/>
    <col min="14353" max="14353" width="6.25" style="3194" customWidth="1"/>
    <col min="14354" max="14354" width="7.875" style="3194" customWidth="1"/>
    <col min="14355" max="14592" width="9" style="3194"/>
    <col min="14593" max="14593" width="42" style="3194" customWidth="1"/>
    <col min="14594" max="14594" width="6.25" style="3194" customWidth="1"/>
    <col min="14595" max="14595" width="13.875" style="3194" customWidth="1"/>
    <col min="14596" max="14596" width="4.625" style="3194" customWidth="1"/>
    <col min="14597" max="14597" width="42" style="3194" customWidth="1"/>
    <col min="14598" max="14598" width="10.25" style="3194" customWidth="1"/>
    <col min="14599" max="14599" width="34.375" style="3194" customWidth="1"/>
    <col min="14600" max="14601" width="13.875" style="3194" customWidth="1"/>
    <col min="14602" max="14602" width="15" style="3194" customWidth="1"/>
    <col min="14603" max="14603" width="9" style="3194" customWidth="1"/>
    <col min="14604" max="14604" width="21.75" style="3194" customWidth="1"/>
    <col min="14605" max="14605" width="32.75" style="3194" customWidth="1"/>
    <col min="14606" max="14606" width="10.625" style="3194" customWidth="1"/>
    <col min="14607" max="14607" width="16" style="3194" customWidth="1"/>
    <col min="14608" max="14608" width="14.375" style="3194" customWidth="1"/>
    <col min="14609" max="14609" width="6.25" style="3194" customWidth="1"/>
    <col min="14610" max="14610" width="7.875" style="3194" customWidth="1"/>
    <col min="14611" max="14848" width="9" style="3194"/>
    <col min="14849" max="14849" width="42" style="3194" customWidth="1"/>
    <col min="14850" max="14850" width="6.25" style="3194" customWidth="1"/>
    <col min="14851" max="14851" width="13.875" style="3194" customWidth="1"/>
    <col min="14852" max="14852" width="4.625" style="3194" customWidth="1"/>
    <col min="14853" max="14853" width="42" style="3194" customWidth="1"/>
    <col min="14854" max="14854" width="10.25" style="3194" customWidth="1"/>
    <col min="14855" max="14855" width="34.375" style="3194" customWidth="1"/>
    <col min="14856" max="14857" width="13.875" style="3194" customWidth="1"/>
    <col min="14858" max="14858" width="15" style="3194" customWidth="1"/>
    <col min="14859" max="14859" width="9" style="3194" customWidth="1"/>
    <col min="14860" max="14860" width="21.75" style="3194" customWidth="1"/>
    <col min="14861" max="14861" width="32.75" style="3194" customWidth="1"/>
    <col min="14862" max="14862" width="10.625" style="3194" customWidth="1"/>
    <col min="14863" max="14863" width="16" style="3194" customWidth="1"/>
    <col min="14864" max="14864" width="14.375" style="3194" customWidth="1"/>
    <col min="14865" max="14865" width="6.25" style="3194" customWidth="1"/>
    <col min="14866" max="14866" width="7.875" style="3194" customWidth="1"/>
    <col min="14867" max="15104" width="9" style="3194"/>
    <col min="15105" max="15105" width="42" style="3194" customWidth="1"/>
    <col min="15106" max="15106" width="6.25" style="3194" customWidth="1"/>
    <col min="15107" max="15107" width="13.875" style="3194" customWidth="1"/>
    <col min="15108" max="15108" width="4.625" style="3194" customWidth="1"/>
    <col min="15109" max="15109" width="42" style="3194" customWidth="1"/>
    <col min="15110" max="15110" width="10.25" style="3194" customWidth="1"/>
    <col min="15111" max="15111" width="34.375" style="3194" customWidth="1"/>
    <col min="15112" max="15113" width="13.875" style="3194" customWidth="1"/>
    <col min="15114" max="15114" width="15" style="3194" customWidth="1"/>
    <col min="15115" max="15115" width="9" style="3194" customWidth="1"/>
    <col min="15116" max="15116" width="21.75" style="3194" customWidth="1"/>
    <col min="15117" max="15117" width="32.75" style="3194" customWidth="1"/>
    <col min="15118" max="15118" width="10.625" style="3194" customWidth="1"/>
    <col min="15119" max="15119" width="16" style="3194" customWidth="1"/>
    <col min="15120" max="15120" width="14.375" style="3194" customWidth="1"/>
    <col min="15121" max="15121" width="6.25" style="3194" customWidth="1"/>
    <col min="15122" max="15122" width="7.875" style="3194" customWidth="1"/>
    <col min="15123" max="15360" width="9" style="3194"/>
    <col min="15361" max="15361" width="42" style="3194" customWidth="1"/>
    <col min="15362" max="15362" width="6.25" style="3194" customWidth="1"/>
    <col min="15363" max="15363" width="13.875" style="3194" customWidth="1"/>
    <col min="15364" max="15364" width="4.625" style="3194" customWidth="1"/>
    <col min="15365" max="15365" width="42" style="3194" customWidth="1"/>
    <col min="15366" max="15366" width="10.25" style="3194" customWidth="1"/>
    <col min="15367" max="15367" width="34.375" style="3194" customWidth="1"/>
    <col min="15368" max="15369" width="13.875" style="3194" customWidth="1"/>
    <col min="15370" max="15370" width="15" style="3194" customWidth="1"/>
    <col min="15371" max="15371" width="9" style="3194" customWidth="1"/>
    <col min="15372" max="15372" width="21.75" style="3194" customWidth="1"/>
    <col min="15373" max="15373" width="32.75" style="3194" customWidth="1"/>
    <col min="15374" max="15374" width="10.625" style="3194" customWidth="1"/>
    <col min="15375" max="15375" width="16" style="3194" customWidth="1"/>
    <col min="15376" max="15376" width="14.375" style="3194" customWidth="1"/>
    <col min="15377" max="15377" width="6.25" style="3194" customWidth="1"/>
    <col min="15378" max="15378" width="7.875" style="3194" customWidth="1"/>
    <col min="15379" max="15616" width="9" style="3194"/>
    <col min="15617" max="15617" width="42" style="3194" customWidth="1"/>
    <col min="15618" max="15618" width="6.25" style="3194" customWidth="1"/>
    <col min="15619" max="15619" width="13.875" style="3194" customWidth="1"/>
    <col min="15620" max="15620" width="4.625" style="3194" customWidth="1"/>
    <col min="15621" max="15621" width="42" style="3194" customWidth="1"/>
    <col min="15622" max="15622" width="10.25" style="3194" customWidth="1"/>
    <col min="15623" max="15623" width="34.375" style="3194" customWidth="1"/>
    <col min="15624" max="15625" width="13.875" style="3194" customWidth="1"/>
    <col min="15626" max="15626" width="15" style="3194" customWidth="1"/>
    <col min="15627" max="15627" width="9" style="3194" customWidth="1"/>
    <col min="15628" max="15628" width="21.75" style="3194" customWidth="1"/>
    <col min="15629" max="15629" width="32.75" style="3194" customWidth="1"/>
    <col min="15630" max="15630" width="10.625" style="3194" customWidth="1"/>
    <col min="15631" max="15631" width="16" style="3194" customWidth="1"/>
    <col min="15632" max="15632" width="14.375" style="3194" customWidth="1"/>
    <col min="15633" max="15633" width="6.25" style="3194" customWidth="1"/>
    <col min="15634" max="15634" width="7.875" style="3194" customWidth="1"/>
    <col min="15635" max="15872" width="9" style="3194"/>
    <col min="15873" max="15873" width="42" style="3194" customWidth="1"/>
    <col min="15874" max="15874" width="6.25" style="3194" customWidth="1"/>
    <col min="15875" max="15875" width="13.875" style="3194" customWidth="1"/>
    <col min="15876" max="15876" width="4.625" style="3194" customWidth="1"/>
    <col min="15877" max="15877" width="42" style="3194" customWidth="1"/>
    <col min="15878" max="15878" width="10.25" style="3194" customWidth="1"/>
    <col min="15879" max="15879" width="34.375" style="3194" customWidth="1"/>
    <col min="15880" max="15881" width="13.875" style="3194" customWidth="1"/>
    <col min="15882" max="15882" width="15" style="3194" customWidth="1"/>
    <col min="15883" max="15883" width="9" style="3194" customWidth="1"/>
    <col min="15884" max="15884" width="21.75" style="3194" customWidth="1"/>
    <col min="15885" max="15885" width="32.75" style="3194" customWidth="1"/>
    <col min="15886" max="15886" width="10.625" style="3194" customWidth="1"/>
    <col min="15887" max="15887" width="16" style="3194" customWidth="1"/>
    <col min="15888" max="15888" width="14.375" style="3194" customWidth="1"/>
    <col min="15889" max="15889" width="6.25" style="3194" customWidth="1"/>
    <col min="15890" max="15890" width="7.875" style="3194" customWidth="1"/>
    <col min="15891" max="16128" width="9" style="3194"/>
    <col min="16129" max="16129" width="42" style="3194" customWidth="1"/>
    <col min="16130" max="16130" width="6.25" style="3194" customWidth="1"/>
    <col min="16131" max="16131" width="13.875" style="3194" customWidth="1"/>
    <col min="16132" max="16132" width="4.625" style="3194" customWidth="1"/>
    <col min="16133" max="16133" width="42" style="3194" customWidth="1"/>
    <col min="16134" max="16134" width="10.25" style="3194" customWidth="1"/>
    <col min="16135" max="16135" width="34.375" style="3194" customWidth="1"/>
    <col min="16136" max="16137" width="13.875" style="3194" customWidth="1"/>
    <col min="16138" max="16138" width="15" style="3194" customWidth="1"/>
    <col min="16139" max="16139" width="9" style="3194" customWidth="1"/>
    <col min="16140" max="16140" width="21.75" style="3194" customWidth="1"/>
    <col min="16141" max="16141" width="32.75" style="3194" customWidth="1"/>
    <col min="16142" max="16142" width="10.625" style="3194" customWidth="1"/>
    <col min="16143" max="16143" width="16" style="3194" customWidth="1"/>
    <col min="16144" max="16144" width="14.375" style="3194" customWidth="1"/>
    <col min="16145" max="16145" width="6.25" style="3194" customWidth="1"/>
    <col min="16146" max="16146" width="7.875" style="3194" customWidth="1"/>
    <col min="16147" max="16384" width="9" style="3194"/>
  </cols>
  <sheetData>
    <row r="1" spans="1:18">
      <c r="A1" s="3194" t="s">
        <v>3036</v>
      </c>
      <c r="B1" s="3194" t="s">
        <v>3037</v>
      </c>
      <c r="C1" s="3194" t="s">
        <v>3038</v>
      </c>
      <c r="D1" s="3194" t="s">
        <v>3039</v>
      </c>
      <c r="E1" s="3194" t="s">
        <v>3040</v>
      </c>
      <c r="F1" s="3194" t="s">
        <v>3041</v>
      </c>
      <c r="G1" s="3194" t="s">
        <v>3042</v>
      </c>
      <c r="H1" s="3194" t="s">
        <v>3043</v>
      </c>
      <c r="I1" s="3194" t="s">
        <v>3044</v>
      </c>
      <c r="J1" s="3194" t="s">
        <v>2032</v>
      </c>
      <c r="K1" s="3194" t="s">
        <v>3045</v>
      </c>
      <c r="L1" s="3194" t="s">
        <v>3046</v>
      </c>
      <c r="M1" s="3194" t="s">
        <v>3047</v>
      </c>
      <c r="N1" s="3194" t="s">
        <v>3048</v>
      </c>
      <c r="O1" s="3194" t="s">
        <v>3049</v>
      </c>
      <c r="P1" s="3194" t="s">
        <v>3050</v>
      </c>
      <c r="Q1" s="3194" t="s">
        <v>3051</v>
      </c>
      <c r="R1" s="3194" t="s">
        <v>3052</v>
      </c>
    </row>
    <row r="2" spans="1:18" hidden="1">
      <c r="A2" s="3194" t="s">
        <v>3053</v>
      </c>
      <c r="B2" s="3194" t="s">
        <v>3054</v>
      </c>
      <c r="C2" s="3194" t="s">
        <v>3055</v>
      </c>
      <c r="D2" s="3194" t="s">
        <v>2814</v>
      </c>
      <c r="E2" s="3194" t="s">
        <v>3053</v>
      </c>
      <c r="F2" s="3194" t="s">
        <v>3056</v>
      </c>
      <c r="G2" s="3194" t="s">
        <v>3057</v>
      </c>
      <c r="H2" s="3194">
        <v>24943</v>
      </c>
      <c r="I2" s="3194">
        <v>49886</v>
      </c>
      <c r="J2" s="3194" t="s">
        <v>3058</v>
      </c>
      <c r="K2" s="3194" t="s">
        <v>3059</v>
      </c>
      <c r="L2" s="3194" t="s">
        <v>3060</v>
      </c>
      <c r="M2" s="3194" t="s">
        <v>3061</v>
      </c>
      <c r="N2" s="3194">
        <v>1970</v>
      </c>
      <c r="O2" s="3194">
        <v>52.65</v>
      </c>
      <c r="P2" s="3194">
        <v>394.89</v>
      </c>
      <c r="Q2" s="3194">
        <v>0</v>
      </c>
      <c r="R2" s="3194" t="s">
        <v>3062</v>
      </c>
    </row>
    <row r="3" spans="1:18" hidden="1">
      <c r="A3" s="3194" t="s">
        <v>3063</v>
      </c>
      <c r="B3" s="3194" t="s">
        <v>3054</v>
      </c>
      <c r="C3" s="3194" t="s">
        <v>3055</v>
      </c>
      <c r="D3" s="3194" t="s">
        <v>2814</v>
      </c>
      <c r="E3" s="3194" t="s">
        <v>3063</v>
      </c>
      <c r="F3" s="3194" t="s">
        <v>3064</v>
      </c>
      <c r="G3" s="3194" t="s">
        <v>3057</v>
      </c>
      <c r="H3" s="3194">
        <v>12194</v>
      </c>
      <c r="I3" s="3194">
        <v>30485</v>
      </c>
      <c r="J3" s="3194" t="s">
        <v>3065</v>
      </c>
      <c r="K3" s="3194" t="s">
        <v>3059</v>
      </c>
      <c r="L3" s="3194" t="s">
        <v>3060</v>
      </c>
      <c r="M3" s="3194" t="s">
        <v>3066</v>
      </c>
      <c r="N3" s="3194">
        <v>10700</v>
      </c>
      <c r="O3" s="3194">
        <v>584.99</v>
      </c>
      <c r="P3" s="3194">
        <v>3509.92</v>
      </c>
      <c r="Q3" s="3194">
        <v>0</v>
      </c>
      <c r="R3" s="3194" t="s">
        <v>3062</v>
      </c>
    </row>
    <row r="4" spans="1:18" hidden="1">
      <c r="A4" s="3194" t="s">
        <v>3067</v>
      </c>
      <c r="B4" s="3194" t="s">
        <v>3054</v>
      </c>
      <c r="C4" s="3194" t="s">
        <v>3055</v>
      </c>
      <c r="D4" s="3194" t="s">
        <v>2814</v>
      </c>
      <c r="E4" s="3194" t="s">
        <v>3067</v>
      </c>
      <c r="F4" s="3194" t="s">
        <v>3068</v>
      </c>
      <c r="G4" s="3194" t="s">
        <v>3057</v>
      </c>
      <c r="H4" s="3194">
        <v>39855</v>
      </c>
      <c r="I4" s="3194">
        <v>59782.5</v>
      </c>
      <c r="J4" s="3194" t="s">
        <v>3069</v>
      </c>
      <c r="K4" s="3194" t="s">
        <v>3059</v>
      </c>
      <c r="L4" s="3194" t="s">
        <v>3060</v>
      </c>
      <c r="M4" s="3194" t="s">
        <v>3070</v>
      </c>
      <c r="N4" s="3194">
        <v>2887</v>
      </c>
      <c r="O4" s="3194">
        <v>48.29</v>
      </c>
      <c r="P4" s="3194">
        <v>482.92</v>
      </c>
      <c r="Q4" s="3194">
        <v>0</v>
      </c>
      <c r="R4" s="3194" t="s">
        <v>3062</v>
      </c>
    </row>
    <row r="5" spans="1:18" hidden="1">
      <c r="A5" s="3194" t="s">
        <v>3071</v>
      </c>
      <c r="B5" s="3194" t="s">
        <v>3054</v>
      </c>
      <c r="C5" s="3194" t="s">
        <v>3055</v>
      </c>
      <c r="D5" s="3194" t="s">
        <v>2814</v>
      </c>
      <c r="E5" s="3194" t="s">
        <v>3071</v>
      </c>
      <c r="F5" s="3194" t="s">
        <v>3072</v>
      </c>
      <c r="G5" s="3194" t="s">
        <v>3057</v>
      </c>
      <c r="H5" s="3194">
        <v>53737</v>
      </c>
      <c r="I5" s="3194">
        <v>80605.5</v>
      </c>
      <c r="J5" s="3194" t="s">
        <v>3069</v>
      </c>
      <c r="K5" s="3194" t="s">
        <v>3059</v>
      </c>
      <c r="L5" s="3194" t="s">
        <v>3060</v>
      </c>
      <c r="M5" s="3194" t="s">
        <v>3073</v>
      </c>
      <c r="N5" s="3194">
        <v>4031</v>
      </c>
      <c r="O5" s="3194">
        <v>50.01</v>
      </c>
      <c r="P5" s="3194">
        <v>500.08</v>
      </c>
      <c r="Q5" s="3194">
        <v>0</v>
      </c>
      <c r="R5" s="3194" t="s">
        <v>3062</v>
      </c>
    </row>
    <row r="6" spans="1:18" hidden="1">
      <c r="A6" s="3194" t="s">
        <v>3074</v>
      </c>
      <c r="B6" s="3194" t="s">
        <v>3054</v>
      </c>
      <c r="C6" s="3194" t="s">
        <v>3055</v>
      </c>
      <c r="D6" s="3194" t="s">
        <v>2814</v>
      </c>
      <c r="E6" s="3194" t="s">
        <v>3074</v>
      </c>
      <c r="F6" s="3194" t="s">
        <v>3075</v>
      </c>
      <c r="G6" s="3194" t="s">
        <v>3057</v>
      </c>
      <c r="H6" s="3194">
        <v>61216</v>
      </c>
      <c r="I6" s="3194">
        <v>91824</v>
      </c>
      <c r="J6" s="3194" t="s">
        <v>3069</v>
      </c>
      <c r="K6" s="3194" t="s">
        <v>3059</v>
      </c>
      <c r="L6" s="3194" t="s">
        <v>3060</v>
      </c>
      <c r="M6" s="3194" t="s">
        <v>3076</v>
      </c>
      <c r="N6" s="3194">
        <v>4591</v>
      </c>
      <c r="O6" s="3194">
        <v>50</v>
      </c>
      <c r="P6" s="3194">
        <v>499.98</v>
      </c>
      <c r="Q6" s="3194">
        <v>0</v>
      </c>
      <c r="R6" s="3194" t="s">
        <v>3062</v>
      </c>
    </row>
    <row r="7" spans="1:18">
      <c r="A7" s="3194" t="s">
        <v>3077</v>
      </c>
      <c r="B7" s="3194" t="s">
        <v>3054</v>
      </c>
      <c r="C7" s="3194" t="s">
        <v>3078</v>
      </c>
      <c r="D7" s="3194" t="s">
        <v>2814</v>
      </c>
      <c r="E7" s="3194" t="s">
        <v>3079</v>
      </c>
      <c r="F7" s="3194" t="s">
        <v>3077</v>
      </c>
      <c r="G7" s="3194" t="s">
        <v>3080</v>
      </c>
      <c r="H7" s="3194">
        <v>40869</v>
      </c>
      <c r="I7" s="3194">
        <v>69068.61</v>
      </c>
      <c r="J7" s="3194" t="s">
        <v>3081</v>
      </c>
      <c r="K7" s="3194" t="s">
        <v>3082</v>
      </c>
      <c r="L7" s="3194" t="s">
        <v>3083</v>
      </c>
      <c r="M7" s="3194" t="s">
        <v>3084</v>
      </c>
      <c r="N7" s="3194">
        <v>2469</v>
      </c>
      <c r="O7" s="3194">
        <v>40.28</v>
      </c>
      <c r="P7" s="3194">
        <v>357.47</v>
      </c>
      <c r="Q7" s="3194">
        <v>0</v>
      </c>
      <c r="R7" s="3194">
        <v>70</v>
      </c>
    </row>
    <row r="8" spans="1:18">
      <c r="A8" s="3194" t="s">
        <v>3085</v>
      </c>
      <c r="B8" s="3194" t="s">
        <v>3054</v>
      </c>
      <c r="C8" s="3194" t="s">
        <v>3078</v>
      </c>
      <c r="D8" s="3194" t="s">
        <v>2814</v>
      </c>
      <c r="E8" s="3194" t="s">
        <v>3086</v>
      </c>
      <c r="F8" s="3194" t="s">
        <v>3087</v>
      </c>
      <c r="G8" s="3194" t="s">
        <v>3088</v>
      </c>
      <c r="H8" s="3194">
        <v>60888.6</v>
      </c>
      <c r="I8" s="3194">
        <v>107163.9</v>
      </c>
      <c r="J8" s="3194" t="s">
        <v>3089</v>
      </c>
      <c r="K8" s="3194" t="s">
        <v>3090</v>
      </c>
      <c r="L8" s="3194" t="s">
        <v>3091</v>
      </c>
      <c r="M8" s="3194" t="s">
        <v>3092</v>
      </c>
      <c r="N8" s="3194">
        <v>9200</v>
      </c>
      <c r="O8" s="3194">
        <v>100.73</v>
      </c>
      <c r="P8" s="3194">
        <v>858.5</v>
      </c>
      <c r="Q8" s="3194">
        <v>0</v>
      </c>
      <c r="R8" s="3194">
        <v>70</v>
      </c>
    </row>
    <row r="9" spans="1:18" s="3204" customFormat="1">
      <c r="A9" s="3204" t="s">
        <v>3879</v>
      </c>
      <c r="B9" s="3204" t="s">
        <v>3054</v>
      </c>
      <c r="C9" s="3204" t="s">
        <v>3078</v>
      </c>
      <c r="D9" s="3204" t="s">
        <v>2814</v>
      </c>
      <c r="E9" s="3204" t="s">
        <v>3093</v>
      </c>
      <c r="F9" s="3204" t="s">
        <v>3094</v>
      </c>
      <c r="G9" s="3204" t="s">
        <v>3080</v>
      </c>
      <c r="H9" s="3204">
        <v>4750</v>
      </c>
      <c r="I9" s="3204">
        <v>11400</v>
      </c>
      <c r="J9" s="3204" t="s">
        <v>3095</v>
      </c>
      <c r="K9" s="3204" t="s">
        <v>3090</v>
      </c>
      <c r="L9" s="3204" t="s">
        <v>3091</v>
      </c>
      <c r="M9" s="3204" t="s">
        <v>3096</v>
      </c>
      <c r="N9" s="3204">
        <v>4980</v>
      </c>
      <c r="O9" s="3204">
        <v>698.95</v>
      </c>
      <c r="P9" s="3204">
        <v>4368.42</v>
      </c>
      <c r="Q9" s="3204">
        <v>0</v>
      </c>
      <c r="R9" s="3204">
        <v>70</v>
      </c>
    </row>
    <row r="10" spans="1:18">
      <c r="A10" s="3194" t="s">
        <v>3097</v>
      </c>
      <c r="B10" s="3194" t="s">
        <v>3054</v>
      </c>
      <c r="C10" s="3194" t="s">
        <v>3078</v>
      </c>
      <c r="D10" s="3194" t="s">
        <v>2814</v>
      </c>
      <c r="E10" s="3194" t="s">
        <v>3098</v>
      </c>
      <c r="F10" s="3194" t="s">
        <v>3099</v>
      </c>
      <c r="G10" s="3194" t="s">
        <v>3088</v>
      </c>
      <c r="H10" s="3194">
        <v>23266</v>
      </c>
      <c r="I10" s="3194">
        <v>44205.4</v>
      </c>
      <c r="J10" s="3194" t="s">
        <v>3100</v>
      </c>
      <c r="K10" s="3194" t="s">
        <v>3090</v>
      </c>
      <c r="L10" s="3194" t="s">
        <v>3091</v>
      </c>
      <c r="M10" s="3194" t="s">
        <v>3101</v>
      </c>
      <c r="N10" s="3194">
        <v>5530</v>
      </c>
      <c r="O10" s="3194">
        <v>158.46</v>
      </c>
      <c r="P10" s="3194">
        <v>1250.98</v>
      </c>
      <c r="Q10" s="3194">
        <v>0</v>
      </c>
      <c r="R10" s="3194">
        <v>70</v>
      </c>
    </row>
    <row r="11" spans="1:18">
      <c r="A11" s="3194" t="s">
        <v>3102</v>
      </c>
      <c r="B11" s="3194" t="s">
        <v>3054</v>
      </c>
      <c r="C11" s="3194" t="s">
        <v>3078</v>
      </c>
      <c r="D11" s="3194" t="s">
        <v>2814</v>
      </c>
      <c r="E11" s="3194" t="s">
        <v>3103</v>
      </c>
      <c r="F11" s="3194" t="s">
        <v>3104</v>
      </c>
      <c r="G11" s="3194" t="s">
        <v>3088</v>
      </c>
      <c r="H11" s="3194">
        <v>17208.3</v>
      </c>
      <c r="I11" s="3194">
        <v>29942.44</v>
      </c>
      <c r="J11" s="3194" t="s">
        <v>3105</v>
      </c>
      <c r="K11" s="3194" t="s">
        <v>3090</v>
      </c>
      <c r="L11" s="3194" t="s">
        <v>3091</v>
      </c>
      <c r="M11" s="3194" t="s">
        <v>3106</v>
      </c>
      <c r="N11" s="3194">
        <v>3880</v>
      </c>
      <c r="O11" s="3194">
        <v>150.32</v>
      </c>
      <c r="P11" s="3194">
        <v>1295.81</v>
      </c>
      <c r="Q11" s="3194">
        <v>0</v>
      </c>
      <c r="R11" s="3194">
        <v>70</v>
      </c>
    </row>
    <row r="12" spans="1:18" s="3201" customFormat="1">
      <c r="A12" s="3201" t="s">
        <v>3107</v>
      </c>
      <c r="B12" s="3201" t="s">
        <v>3054</v>
      </c>
      <c r="C12" s="3201" t="s">
        <v>3078</v>
      </c>
      <c r="D12" s="3201" t="s">
        <v>2814</v>
      </c>
      <c r="E12" s="3201" t="s">
        <v>3108</v>
      </c>
      <c r="F12" s="3201" t="s">
        <v>3109</v>
      </c>
      <c r="G12" s="3201" t="s">
        <v>3088</v>
      </c>
      <c r="H12" s="3201">
        <v>15625</v>
      </c>
      <c r="I12" s="3201">
        <v>39062.5</v>
      </c>
      <c r="J12" s="3201" t="s">
        <v>3110</v>
      </c>
      <c r="K12" s="3201" t="s">
        <v>3090</v>
      </c>
      <c r="L12" s="3201" t="s">
        <v>3091</v>
      </c>
      <c r="M12" s="3201" t="s">
        <v>3092</v>
      </c>
      <c r="N12" s="3201">
        <v>5460</v>
      </c>
      <c r="O12" s="3201">
        <v>232.96</v>
      </c>
      <c r="P12" s="3201">
        <v>1397.75</v>
      </c>
      <c r="Q12" s="3201">
        <v>0</v>
      </c>
      <c r="R12" s="3201">
        <v>70</v>
      </c>
    </row>
    <row r="13" spans="1:18" s="3199" customFormat="1" hidden="1">
      <c r="A13" s="3199" t="s">
        <v>3111</v>
      </c>
      <c r="B13" s="3199" t="s">
        <v>3054</v>
      </c>
      <c r="C13" s="3199" t="s">
        <v>3055</v>
      </c>
      <c r="D13" s="3199" t="s">
        <v>2814</v>
      </c>
      <c r="E13" s="3199" t="s">
        <v>3111</v>
      </c>
      <c r="F13" s="3199" t="s">
        <v>3112</v>
      </c>
      <c r="G13" s="3199" t="s">
        <v>3057</v>
      </c>
      <c r="H13" s="3199">
        <v>52129</v>
      </c>
      <c r="I13" s="3199">
        <v>114683.8</v>
      </c>
      <c r="J13" s="3199" t="s">
        <v>3113</v>
      </c>
      <c r="K13" s="3199" t="s">
        <v>3114</v>
      </c>
      <c r="L13" s="3199" t="s">
        <v>3115</v>
      </c>
      <c r="M13" s="3199" t="s">
        <v>3116</v>
      </c>
      <c r="N13" s="3199">
        <v>5630</v>
      </c>
      <c r="O13" s="3199">
        <v>72</v>
      </c>
      <c r="P13" s="3199">
        <v>490.92</v>
      </c>
      <c r="Q13" s="3199">
        <v>0</v>
      </c>
      <c r="R13" s="3199" t="s">
        <v>3062</v>
      </c>
    </row>
    <row r="14" spans="1:18" s="3199" customFormat="1" hidden="1">
      <c r="A14" s="3199" t="s">
        <v>3117</v>
      </c>
      <c r="B14" s="3199" t="s">
        <v>3054</v>
      </c>
      <c r="C14" s="3199" t="s">
        <v>3055</v>
      </c>
      <c r="D14" s="3199" t="s">
        <v>2814</v>
      </c>
      <c r="E14" s="3199" t="s">
        <v>3117</v>
      </c>
      <c r="F14" s="3199" t="s">
        <v>3118</v>
      </c>
      <c r="G14" s="3199" t="s">
        <v>3057</v>
      </c>
      <c r="H14" s="3199">
        <v>68541</v>
      </c>
      <c r="I14" s="3199">
        <v>137082</v>
      </c>
      <c r="J14" s="3199" t="s">
        <v>3058</v>
      </c>
      <c r="K14" s="3199" t="s">
        <v>3114</v>
      </c>
      <c r="L14" s="3199" t="s">
        <v>3115</v>
      </c>
      <c r="M14" s="3199" t="s">
        <v>3119</v>
      </c>
      <c r="N14" s="3199">
        <v>7402</v>
      </c>
      <c r="O14" s="3199">
        <v>72</v>
      </c>
      <c r="P14" s="3199">
        <v>539.97</v>
      </c>
      <c r="Q14" s="3199">
        <v>0</v>
      </c>
      <c r="R14" s="3199" t="s">
        <v>3062</v>
      </c>
    </row>
    <row r="15" spans="1:18" s="3199" customFormat="1" hidden="1">
      <c r="A15" s="3199" t="s">
        <v>3120</v>
      </c>
      <c r="B15" s="3199" t="s">
        <v>3054</v>
      </c>
      <c r="C15" s="3199" t="s">
        <v>3055</v>
      </c>
      <c r="D15" s="3199" t="s">
        <v>2814</v>
      </c>
      <c r="E15" s="3199" t="s">
        <v>3120</v>
      </c>
      <c r="F15" s="3199" t="s">
        <v>3121</v>
      </c>
      <c r="G15" s="3199" t="s">
        <v>3057</v>
      </c>
      <c r="H15" s="3199">
        <v>14995</v>
      </c>
      <c r="I15" s="3199">
        <v>52482.5</v>
      </c>
      <c r="J15" s="3199" t="s">
        <v>3122</v>
      </c>
      <c r="K15" s="3199" t="s">
        <v>3114</v>
      </c>
      <c r="L15" s="3199" t="s">
        <v>3115</v>
      </c>
      <c r="M15" s="3199" t="s">
        <v>3119</v>
      </c>
      <c r="N15" s="3199">
        <v>1619</v>
      </c>
      <c r="O15" s="3199">
        <v>71.98</v>
      </c>
      <c r="P15" s="3199">
        <v>308.48</v>
      </c>
      <c r="Q15" s="3199">
        <v>0</v>
      </c>
      <c r="R15" s="3199" t="s">
        <v>3062</v>
      </c>
    </row>
    <row r="16" spans="1:18" s="3199" customFormat="1" hidden="1">
      <c r="A16" s="3199" t="s">
        <v>3123</v>
      </c>
      <c r="B16" s="3199" t="s">
        <v>3054</v>
      </c>
      <c r="C16" s="3199" t="s">
        <v>3055</v>
      </c>
      <c r="D16" s="3199" t="s">
        <v>2814</v>
      </c>
      <c r="E16" s="3199" t="s">
        <v>3123</v>
      </c>
      <c r="F16" s="3199" t="s">
        <v>3124</v>
      </c>
      <c r="G16" s="3199" t="s">
        <v>3057</v>
      </c>
      <c r="H16" s="3199">
        <v>9036</v>
      </c>
      <c r="I16" s="3199">
        <v>18072</v>
      </c>
      <c r="J16" s="3199" t="s">
        <v>3058</v>
      </c>
      <c r="K16" s="3199" t="s">
        <v>3114</v>
      </c>
      <c r="L16" s="3199" t="s">
        <v>3115</v>
      </c>
      <c r="M16" s="3199" t="s">
        <v>3119</v>
      </c>
      <c r="N16" s="3199">
        <v>1978</v>
      </c>
      <c r="O16" s="3199">
        <v>145.93</v>
      </c>
      <c r="P16" s="3199">
        <v>1094.5</v>
      </c>
      <c r="Q16" s="3199">
        <v>0</v>
      </c>
      <c r="R16" s="3199" t="s">
        <v>3062</v>
      </c>
    </row>
    <row r="17" spans="1:18" s="3199" customFormat="1" hidden="1">
      <c r="A17" s="3199" t="s">
        <v>3125</v>
      </c>
      <c r="B17" s="3199" t="s">
        <v>3054</v>
      </c>
      <c r="C17" s="3199" t="s">
        <v>3055</v>
      </c>
      <c r="D17" s="3199" t="s">
        <v>2814</v>
      </c>
      <c r="E17" s="3199" t="s">
        <v>3125</v>
      </c>
      <c r="F17" s="3199" t="s">
        <v>3126</v>
      </c>
      <c r="G17" s="3199" t="s">
        <v>3057</v>
      </c>
      <c r="H17" s="3199">
        <v>53552</v>
      </c>
      <c r="I17" s="3199">
        <v>117814.39999999999</v>
      </c>
      <c r="J17" s="3199" t="s">
        <v>3113</v>
      </c>
      <c r="K17" s="3199" t="s">
        <v>3114</v>
      </c>
      <c r="L17" s="3199" t="s">
        <v>3115</v>
      </c>
      <c r="M17" s="3199" t="s">
        <v>3116</v>
      </c>
      <c r="N17" s="3199">
        <v>5784</v>
      </c>
      <c r="O17" s="3199">
        <v>72</v>
      </c>
      <c r="P17" s="3199">
        <v>490.93</v>
      </c>
      <c r="Q17" s="3199">
        <v>0</v>
      </c>
      <c r="R17" s="3199" t="s">
        <v>3062</v>
      </c>
    </row>
    <row r="18" spans="1:18" s="3199" customFormat="1" hidden="1">
      <c r="A18" s="3199" t="s">
        <v>3127</v>
      </c>
      <c r="B18" s="3199" t="s">
        <v>3054</v>
      </c>
      <c r="C18" s="3199" t="s">
        <v>3055</v>
      </c>
      <c r="D18" s="3199" t="s">
        <v>2814</v>
      </c>
      <c r="E18" s="3199" t="s">
        <v>3127</v>
      </c>
      <c r="F18" s="3199" t="s">
        <v>3128</v>
      </c>
      <c r="G18" s="3199" t="s">
        <v>3057</v>
      </c>
      <c r="H18" s="3199">
        <v>63634</v>
      </c>
      <c r="I18" s="3199">
        <v>127268</v>
      </c>
      <c r="J18" s="3199" t="s">
        <v>3058</v>
      </c>
      <c r="K18" s="3199" t="s">
        <v>3114</v>
      </c>
      <c r="L18" s="3199" t="s">
        <v>3115</v>
      </c>
      <c r="M18" s="3199" t="s">
        <v>3119</v>
      </c>
      <c r="N18" s="3199">
        <v>6872</v>
      </c>
      <c r="O18" s="3199">
        <v>72</v>
      </c>
      <c r="P18" s="3199">
        <v>539.96</v>
      </c>
      <c r="Q18" s="3199">
        <v>0</v>
      </c>
      <c r="R18" s="3199" t="s">
        <v>3062</v>
      </c>
    </row>
    <row r="19" spans="1:18" s="3199" customFormat="1" hidden="1">
      <c r="A19" s="3199" t="s">
        <v>3129</v>
      </c>
      <c r="B19" s="3199" t="s">
        <v>3054</v>
      </c>
      <c r="C19" s="3199" t="s">
        <v>3055</v>
      </c>
      <c r="D19" s="3199" t="s">
        <v>2814</v>
      </c>
      <c r="E19" s="3199" t="s">
        <v>3129</v>
      </c>
      <c r="F19" s="3199" t="s">
        <v>3130</v>
      </c>
      <c r="G19" s="3199" t="s">
        <v>3057</v>
      </c>
      <c r="H19" s="3199">
        <v>46155</v>
      </c>
      <c r="I19" s="3199">
        <v>115387.5</v>
      </c>
      <c r="J19" s="3199" t="s">
        <v>3065</v>
      </c>
      <c r="K19" s="3199" t="s">
        <v>3114</v>
      </c>
      <c r="L19" s="3199" t="s">
        <v>3115</v>
      </c>
      <c r="M19" s="3199" t="s">
        <v>3116</v>
      </c>
      <c r="N19" s="3199">
        <v>4985</v>
      </c>
      <c r="O19" s="3199">
        <v>72</v>
      </c>
      <c r="P19" s="3199">
        <v>432.01</v>
      </c>
      <c r="Q19" s="3199">
        <v>0</v>
      </c>
      <c r="R19" s="3199" t="s">
        <v>3062</v>
      </c>
    </row>
    <row r="20" spans="1:18" s="3199" customFormat="1" hidden="1">
      <c r="A20" s="3199" t="s">
        <v>3131</v>
      </c>
      <c r="B20" s="3199" t="s">
        <v>3054</v>
      </c>
      <c r="C20" s="3199" t="s">
        <v>3055</v>
      </c>
      <c r="D20" s="3199" t="s">
        <v>2814</v>
      </c>
      <c r="E20" s="3199" t="s">
        <v>3131</v>
      </c>
      <c r="F20" s="3199" t="s">
        <v>3132</v>
      </c>
      <c r="G20" s="3199" t="s">
        <v>3057</v>
      </c>
      <c r="H20" s="3199">
        <v>55772</v>
      </c>
      <c r="I20" s="3199">
        <v>122698.4</v>
      </c>
      <c r="J20" s="3199" t="s">
        <v>3113</v>
      </c>
      <c r="K20" s="3199" t="s">
        <v>3114</v>
      </c>
      <c r="L20" s="3199" t="s">
        <v>3115</v>
      </c>
      <c r="M20" s="3199" t="s">
        <v>3116</v>
      </c>
      <c r="N20" s="3199">
        <v>6024</v>
      </c>
      <c r="O20" s="3199">
        <v>72.010000000000005</v>
      </c>
      <c r="P20" s="3199">
        <v>490.95</v>
      </c>
      <c r="Q20" s="3199">
        <v>0</v>
      </c>
      <c r="R20" s="3199" t="s">
        <v>3062</v>
      </c>
    </row>
    <row r="21" spans="1:18" s="3199" customFormat="1" hidden="1">
      <c r="A21" s="3199" t="s">
        <v>3133</v>
      </c>
      <c r="B21" s="3199" t="s">
        <v>3054</v>
      </c>
      <c r="C21" s="3199" t="s">
        <v>3055</v>
      </c>
      <c r="D21" s="3199" t="s">
        <v>2814</v>
      </c>
      <c r="E21" s="3199" t="s">
        <v>3133</v>
      </c>
      <c r="F21" s="3199" t="s">
        <v>3134</v>
      </c>
      <c r="G21" s="3199" t="s">
        <v>3057</v>
      </c>
      <c r="H21" s="3199">
        <v>62628</v>
      </c>
      <c r="I21" s="3199">
        <v>93942</v>
      </c>
      <c r="J21" s="3199" t="s">
        <v>3069</v>
      </c>
      <c r="K21" s="3199" t="s">
        <v>3135</v>
      </c>
      <c r="L21" s="3199" t="s">
        <v>3136</v>
      </c>
      <c r="M21" s="3199" t="s">
        <v>3116</v>
      </c>
      <c r="N21" s="3199">
        <v>6764</v>
      </c>
      <c r="O21" s="3199">
        <v>72</v>
      </c>
      <c r="P21" s="3199">
        <v>720.01</v>
      </c>
      <c r="Q21" s="3199">
        <v>0</v>
      </c>
      <c r="R21" s="3199" t="s">
        <v>3062</v>
      </c>
    </row>
    <row r="22" spans="1:18" s="3199" customFormat="1" hidden="1">
      <c r="A22" s="3199" t="s">
        <v>3137</v>
      </c>
      <c r="B22" s="3199" t="s">
        <v>3054</v>
      </c>
      <c r="C22" s="3199" t="s">
        <v>3055</v>
      </c>
      <c r="D22" s="3199" t="s">
        <v>2814</v>
      </c>
      <c r="E22" s="3199" t="s">
        <v>3137</v>
      </c>
      <c r="F22" s="3199" t="s">
        <v>3138</v>
      </c>
      <c r="G22" s="3199" t="s">
        <v>3057</v>
      </c>
      <c r="H22" s="3199">
        <v>67093</v>
      </c>
      <c r="I22" s="3199">
        <v>100639.5</v>
      </c>
      <c r="J22" s="3199" t="s">
        <v>3069</v>
      </c>
      <c r="K22" s="3199" t="s">
        <v>3135</v>
      </c>
      <c r="L22" s="3199" t="s">
        <v>3136</v>
      </c>
      <c r="M22" s="3199" t="s">
        <v>3116</v>
      </c>
      <c r="N22" s="3199">
        <v>7246</v>
      </c>
      <c r="O22" s="3199">
        <v>72</v>
      </c>
      <c r="P22" s="3199">
        <v>720</v>
      </c>
      <c r="Q22" s="3199">
        <v>0</v>
      </c>
      <c r="R22" s="3199" t="s">
        <v>3062</v>
      </c>
    </row>
    <row r="23" spans="1:18" s="3199" customFormat="1" hidden="1">
      <c r="A23" s="3199" t="s">
        <v>3139</v>
      </c>
      <c r="B23" s="3199" t="s">
        <v>3054</v>
      </c>
      <c r="C23" s="3199" t="s">
        <v>3055</v>
      </c>
      <c r="D23" s="3199" t="s">
        <v>2814</v>
      </c>
      <c r="E23" s="3199" t="s">
        <v>3139</v>
      </c>
      <c r="F23" s="3199" t="s">
        <v>3140</v>
      </c>
      <c r="G23" s="3199" t="s">
        <v>3057</v>
      </c>
      <c r="H23" s="3199">
        <v>68138</v>
      </c>
      <c r="I23" s="3199">
        <v>102207</v>
      </c>
      <c r="J23" s="3199" t="s">
        <v>3069</v>
      </c>
      <c r="K23" s="3199" t="s">
        <v>3135</v>
      </c>
      <c r="L23" s="3199" t="s">
        <v>3136</v>
      </c>
      <c r="M23" s="3199" t="s">
        <v>3116</v>
      </c>
      <c r="N23" s="3199">
        <v>7359</v>
      </c>
      <c r="O23" s="3199">
        <v>72</v>
      </c>
      <c r="P23" s="3199">
        <v>720</v>
      </c>
      <c r="Q23" s="3199">
        <v>0</v>
      </c>
      <c r="R23" s="3199" t="s">
        <v>3062</v>
      </c>
    </row>
    <row r="24" spans="1:18" s="3199" customFormat="1" hidden="1">
      <c r="A24" s="3199" t="s">
        <v>3141</v>
      </c>
      <c r="B24" s="3199" t="s">
        <v>3054</v>
      </c>
      <c r="C24" s="3199" t="s">
        <v>3055</v>
      </c>
      <c r="D24" s="3199" t="s">
        <v>2814</v>
      </c>
      <c r="E24" s="3199" t="s">
        <v>3141</v>
      </c>
      <c r="F24" s="3199" t="s">
        <v>3142</v>
      </c>
      <c r="G24" s="3199" t="s">
        <v>3057</v>
      </c>
      <c r="H24" s="3199">
        <v>67963</v>
      </c>
      <c r="I24" s="3199">
        <v>101944.5</v>
      </c>
      <c r="J24" s="3199" t="s">
        <v>3069</v>
      </c>
      <c r="K24" s="3199" t="s">
        <v>3135</v>
      </c>
      <c r="L24" s="3199" t="s">
        <v>3136</v>
      </c>
      <c r="M24" s="3199" t="s">
        <v>3116</v>
      </c>
      <c r="N24" s="3199">
        <v>7340</v>
      </c>
      <c r="O24" s="3199">
        <v>72</v>
      </c>
      <c r="P24" s="3199">
        <v>720</v>
      </c>
      <c r="Q24" s="3199">
        <v>0</v>
      </c>
      <c r="R24" s="3199" t="s">
        <v>3062</v>
      </c>
    </row>
    <row r="25" spans="1:18" s="3199" customFormat="1" hidden="1">
      <c r="A25" s="3199" t="s">
        <v>3143</v>
      </c>
      <c r="B25" s="3199" t="s">
        <v>3054</v>
      </c>
      <c r="C25" s="3199" t="s">
        <v>3055</v>
      </c>
      <c r="D25" s="3199" t="s">
        <v>2814</v>
      </c>
      <c r="E25" s="3199" t="s">
        <v>3143</v>
      </c>
      <c r="F25" s="3199" t="s">
        <v>3144</v>
      </c>
      <c r="G25" s="3199" t="s">
        <v>3057</v>
      </c>
      <c r="H25" s="3199">
        <v>67940</v>
      </c>
      <c r="I25" s="3199">
        <v>101910</v>
      </c>
      <c r="J25" s="3199" t="s">
        <v>3069</v>
      </c>
      <c r="K25" s="3199" t="s">
        <v>3135</v>
      </c>
      <c r="L25" s="3199" t="s">
        <v>3136</v>
      </c>
      <c r="M25" s="3199" t="s">
        <v>3116</v>
      </c>
      <c r="N25" s="3199">
        <v>7338</v>
      </c>
      <c r="O25" s="3199">
        <v>72</v>
      </c>
      <c r="P25" s="3199">
        <v>720.04</v>
      </c>
      <c r="Q25" s="3199">
        <v>0</v>
      </c>
      <c r="R25" s="3199" t="s">
        <v>3062</v>
      </c>
    </row>
    <row r="26" spans="1:18" s="3199" customFormat="1" hidden="1">
      <c r="A26" s="3199" t="s">
        <v>3145</v>
      </c>
      <c r="B26" s="3199" t="s">
        <v>3054</v>
      </c>
      <c r="C26" s="3199" t="s">
        <v>3055</v>
      </c>
      <c r="D26" s="3199" t="s">
        <v>2814</v>
      </c>
      <c r="E26" s="3199" t="s">
        <v>3145</v>
      </c>
      <c r="F26" s="3199" t="s">
        <v>3146</v>
      </c>
      <c r="G26" s="3199" t="s">
        <v>3057</v>
      </c>
      <c r="H26" s="3199">
        <v>64284</v>
      </c>
      <c r="I26" s="3199">
        <v>96426</v>
      </c>
      <c r="J26" s="3199" t="s">
        <v>3069</v>
      </c>
      <c r="K26" s="3199" t="s">
        <v>3135</v>
      </c>
      <c r="L26" s="3199" t="s">
        <v>3136</v>
      </c>
      <c r="M26" s="3199" t="s">
        <v>3116</v>
      </c>
      <c r="N26" s="3199">
        <v>6943</v>
      </c>
      <c r="O26" s="3199">
        <v>72</v>
      </c>
      <c r="P26" s="3199">
        <v>720.02</v>
      </c>
      <c r="Q26" s="3199">
        <v>0</v>
      </c>
      <c r="R26" s="3199" t="s">
        <v>3062</v>
      </c>
    </row>
    <row r="27" spans="1:18" s="3199" customFormat="1" hidden="1">
      <c r="A27" s="3199" t="s">
        <v>3147</v>
      </c>
      <c r="B27" s="3199" t="s">
        <v>3054</v>
      </c>
      <c r="C27" s="3199" t="s">
        <v>3055</v>
      </c>
      <c r="D27" s="3199" t="s">
        <v>2814</v>
      </c>
      <c r="E27" s="3199" t="s">
        <v>3147</v>
      </c>
      <c r="F27" s="3199" t="s">
        <v>3148</v>
      </c>
      <c r="G27" s="3199" t="s">
        <v>3057</v>
      </c>
      <c r="H27" s="3199">
        <v>65065</v>
      </c>
      <c r="I27" s="3199">
        <v>97597.5</v>
      </c>
      <c r="J27" s="3199" t="s">
        <v>3069</v>
      </c>
      <c r="K27" s="3199" t="s">
        <v>3135</v>
      </c>
      <c r="L27" s="3199" t="s">
        <v>3136</v>
      </c>
      <c r="M27" s="3199" t="s">
        <v>3116</v>
      </c>
      <c r="N27" s="3199">
        <v>7027</v>
      </c>
      <c r="O27" s="3199">
        <v>72</v>
      </c>
      <c r="P27" s="3199">
        <v>720</v>
      </c>
      <c r="Q27" s="3199">
        <v>0</v>
      </c>
      <c r="R27" s="3199" t="s">
        <v>3062</v>
      </c>
    </row>
    <row r="28" spans="1:18" s="3199" customFormat="1" hidden="1">
      <c r="A28" s="3199" t="s">
        <v>3149</v>
      </c>
      <c r="B28" s="3199" t="s">
        <v>3054</v>
      </c>
      <c r="C28" s="3199" t="s">
        <v>3055</v>
      </c>
      <c r="D28" s="3199" t="s">
        <v>2814</v>
      </c>
      <c r="E28" s="3199" t="s">
        <v>3149</v>
      </c>
      <c r="F28" s="3199" t="s">
        <v>3150</v>
      </c>
      <c r="G28" s="3199" t="s">
        <v>3057</v>
      </c>
      <c r="H28" s="3199">
        <v>65231</v>
      </c>
      <c r="I28" s="3199">
        <v>97846.5</v>
      </c>
      <c r="J28" s="3199" t="s">
        <v>3069</v>
      </c>
      <c r="K28" s="3199" t="s">
        <v>3135</v>
      </c>
      <c r="L28" s="3199" t="s">
        <v>3136</v>
      </c>
      <c r="M28" s="3199" t="s">
        <v>3116</v>
      </c>
      <c r="N28" s="3199">
        <v>7045</v>
      </c>
      <c r="O28" s="3199">
        <v>72</v>
      </c>
      <c r="P28" s="3199">
        <v>720</v>
      </c>
      <c r="Q28" s="3199">
        <v>0</v>
      </c>
      <c r="R28" s="3199" t="s">
        <v>3062</v>
      </c>
    </row>
    <row r="29" spans="1:18" s="3199" customFormat="1" hidden="1">
      <c r="A29" s="3199" t="s">
        <v>3151</v>
      </c>
      <c r="B29" s="3199" t="s">
        <v>3054</v>
      </c>
      <c r="C29" s="3199" t="s">
        <v>3055</v>
      </c>
      <c r="D29" s="3199" t="s">
        <v>2814</v>
      </c>
      <c r="E29" s="3199" t="s">
        <v>3151</v>
      </c>
      <c r="F29" s="3199" t="s">
        <v>3152</v>
      </c>
      <c r="G29" s="3199" t="s">
        <v>3057</v>
      </c>
      <c r="H29" s="3199">
        <v>46775</v>
      </c>
      <c r="I29" s="3199">
        <v>70162.5</v>
      </c>
      <c r="J29" s="3199" t="s">
        <v>3069</v>
      </c>
      <c r="K29" s="3199" t="s">
        <v>3135</v>
      </c>
      <c r="L29" s="3199" t="s">
        <v>3136</v>
      </c>
      <c r="M29" s="3199" t="s">
        <v>3116</v>
      </c>
      <c r="N29" s="3199">
        <v>5052</v>
      </c>
      <c r="O29" s="3199">
        <v>72</v>
      </c>
      <c r="P29" s="3199">
        <v>720.03</v>
      </c>
      <c r="Q29" s="3199">
        <v>0</v>
      </c>
      <c r="R29" s="3199" t="s">
        <v>3062</v>
      </c>
    </row>
    <row r="30" spans="1:18" s="3199" customFormat="1" hidden="1">
      <c r="A30" s="3199" t="s">
        <v>3153</v>
      </c>
      <c r="B30" s="3199" t="s">
        <v>3054</v>
      </c>
      <c r="C30" s="3199" t="s">
        <v>3055</v>
      </c>
      <c r="D30" s="3199" t="s">
        <v>2814</v>
      </c>
      <c r="E30" s="3199" t="s">
        <v>3153</v>
      </c>
      <c r="F30" s="3199" t="s">
        <v>3154</v>
      </c>
      <c r="G30" s="3199" t="s">
        <v>3057</v>
      </c>
      <c r="H30" s="3199">
        <v>62332</v>
      </c>
      <c r="I30" s="3199">
        <v>93498</v>
      </c>
      <c r="J30" s="3199" t="s">
        <v>3069</v>
      </c>
      <c r="K30" s="3199" t="s">
        <v>3135</v>
      </c>
      <c r="L30" s="3199" t="s">
        <v>3136</v>
      </c>
      <c r="M30" s="3199" t="s">
        <v>3116</v>
      </c>
      <c r="N30" s="3199">
        <v>6732</v>
      </c>
      <c r="O30" s="3199">
        <v>72</v>
      </c>
      <c r="P30" s="3199">
        <v>720.01</v>
      </c>
      <c r="Q30" s="3199">
        <v>0</v>
      </c>
      <c r="R30" s="3199" t="s">
        <v>3062</v>
      </c>
    </row>
    <row r="31" spans="1:18" s="3199" customFormat="1" hidden="1">
      <c r="A31" s="3199" t="s">
        <v>3155</v>
      </c>
      <c r="B31" s="3199" t="s">
        <v>3054</v>
      </c>
      <c r="C31" s="3199" t="s">
        <v>3055</v>
      </c>
      <c r="D31" s="3199" t="s">
        <v>2814</v>
      </c>
      <c r="E31" s="3199" t="s">
        <v>3155</v>
      </c>
      <c r="F31" s="3199" t="s">
        <v>3156</v>
      </c>
      <c r="G31" s="3199" t="s">
        <v>3057</v>
      </c>
      <c r="H31" s="3199">
        <v>63733</v>
      </c>
      <c r="I31" s="3199">
        <v>95599.5</v>
      </c>
      <c r="J31" s="3199" t="s">
        <v>3069</v>
      </c>
      <c r="K31" s="3199" t="s">
        <v>3135</v>
      </c>
      <c r="L31" s="3199" t="s">
        <v>3136</v>
      </c>
      <c r="M31" s="3199" t="s">
        <v>3116</v>
      </c>
      <c r="N31" s="3199">
        <v>6883</v>
      </c>
      <c r="O31" s="3199">
        <v>72</v>
      </c>
      <c r="P31" s="3199">
        <v>719.98</v>
      </c>
      <c r="Q31" s="3199">
        <v>0</v>
      </c>
      <c r="R31" s="3199" t="s">
        <v>3062</v>
      </c>
    </row>
    <row r="32" spans="1:18" s="3199" customFormat="1" hidden="1">
      <c r="A32" s="3199" t="s">
        <v>3157</v>
      </c>
      <c r="B32" s="3199" t="s">
        <v>3054</v>
      </c>
      <c r="C32" s="3199" t="s">
        <v>3055</v>
      </c>
      <c r="D32" s="3199" t="s">
        <v>2814</v>
      </c>
      <c r="E32" s="3199" t="s">
        <v>3157</v>
      </c>
      <c r="F32" s="3199" t="s">
        <v>3158</v>
      </c>
      <c r="G32" s="3199" t="s">
        <v>3057</v>
      </c>
      <c r="H32" s="3199">
        <v>67560</v>
      </c>
      <c r="I32" s="3199">
        <v>101340</v>
      </c>
      <c r="J32" s="3199" t="s">
        <v>3069</v>
      </c>
      <c r="K32" s="3199" t="s">
        <v>3135</v>
      </c>
      <c r="L32" s="3199" t="s">
        <v>3136</v>
      </c>
      <c r="M32" s="3199" t="s">
        <v>3116</v>
      </c>
      <c r="N32" s="3199">
        <v>7296</v>
      </c>
      <c r="O32" s="3199">
        <v>72</v>
      </c>
      <c r="P32" s="3199">
        <v>719.95</v>
      </c>
      <c r="Q32" s="3199">
        <v>0</v>
      </c>
      <c r="R32" s="3199" t="s">
        <v>3062</v>
      </c>
    </row>
    <row r="33" spans="1:18" s="3199" customFormat="1" hidden="1">
      <c r="A33" s="3199" t="s">
        <v>3159</v>
      </c>
      <c r="B33" s="3199" t="s">
        <v>3054</v>
      </c>
      <c r="C33" s="3199" t="s">
        <v>3055</v>
      </c>
      <c r="D33" s="3199" t="s">
        <v>2814</v>
      </c>
      <c r="E33" s="3199" t="s">
        <v>3159</v>
      </c>
      <c r="F33" s="3199" t="s">
        <v>3160</v>
      </c>
      <c r="G33" s="3199" t="s">
        <v>3057</v>
      </c>
      <c r="H33" s="3199">
        <v>4964</v>
      </c>
      <c r="I33" s="3199">
        <v>5460.4</v>
      </c>
      <c r="J33" s="3199" t="s">
        <v>3161</v>
      </c>
      <c r="K33" s="3199" t="s">
        <v>3162</v>
      </c>
      <c r="L33" s="3199" t="s">
        <v>3163</v>
      </c>
      <c r="M33" s="3199" t="s">
        <v>3164</v>
      </c>
      <c r="N33" s="3199">
        <v>1267</v>
      </c>
      <c r="O33" s="3199">
        <v>170.16</v>
      </c>
      <c r="P33" s="3199">
        <v>2320.34</v>
      </c>
      <c r="Q33" s="3199">
        <v>0</v>
      </c>
      <c r="R33" s="3199" t="s">
        <v>3062</v>
      </c>
    </row>
    <row r="34" spans="1:18" s="3199" customFormat="1" hidden="1">
      <c r="A34" s="3199" t="s">
        <v>3165</v>
      </c>
      <c r="B34" s="3199" t="s">
        <v>3054</v>
      </c>
      <c r="C34" s="3199" t="s">
        <v>3055</v>
      </c>
      <c r="D34" s="3199" t="s">
        <v>2814</v>
      </c>
      <c r="E34" s="3199" t="s">
        <v>3165</v>
      </c>
      <c r="F34" s="3199" t="s">
        <v>3166</v>
      </c>
      <c r="G34" s="3199" t="s">
        <v>3057</v>
      </c>
      <c r="H34" s="3199">
        <v>11816</v>
      </c>
      <c r="I34" s="3199">
        <v>12997.6</v>
      </c>
      <c r="J34" s="3199" t="s">
        <v>3161</v>
      </c>
      <c r="K34" s="3199" t="s">
        <v>3162</v>
      </c>
      <c r="L34" s="3199" t="s">
        <v>3163</v>
      </c>
      <c r="M34" s="3199" t="s">
        <v>3164</v>
      </c>
      <c r="N34" s="3199">
        <v>3012</v>
      </c>
      <c r="O34" s="3199">
        <v>169.94</v>
      </c>
      <c r="P34" s="3199">
        <v>2317.34</v>
      </c>
      <c r="Q34" s="3199">
        <v>0</v>
      </c>
      <c r="R34" s="3199" t="s">
        <v>3062</v>
      </c>
    </row>
    <row r="35" spans="1:18" s="3199" customFormat="1" hidden="1">
      <c r="A35" s="3199" t="s">
        <v>3167</v>
      </c>
      <c r="B35" s="3199" t="s">
        <v>3054</v>
      </c>
      <c r="C35" s="3199" t="s">
        <v>3055</v>
      </c>
      <c r="D35" s="3199" t="s">
        <v>2814</v>
      </c>
      <c r="E35" s="3199" t="s">
        <v>3167</v>
      </c>
      <c r="F35" s="3199" t="s">
        <v>3168</v>
      </c>
      <c r="G35" s="3199" t="s">
        <v>3057</v>
      </c>
      <c r="H35" s="3199">
        <v>53892</v>
      </c>
      <c r="I35" s="3199">
        <v>296406</v>
      </c>
      <c r="J35" s="3199" t="s">
        <v>3169</v>
      </c>
      <c r="K35" s="3199" t="s">
        <v>3162</v>
      </c>
      <c r="L35" s="3199" t="s">
        <v>3163</v>
      </c>
      <c r="M35" s="3199" t="s">
        <v>3170</v>
      </c>
      <c r="N35" s="3199">
        <v>8084</v>
      </c>
      <c r="O35" s="3199">
        <v>100</v>
      </c>
      <c r="P35" s="3199">
        <v>272.73</v>
      </c>
      <c r="Q35" s="3199">
        <v>0</v>
      </c>
      <c r="R35" s="3199" t="s">
        <v>3062</v>
      </c>
    </row>
    <row r="36" spans="1:18" s="3199" customFormat="1" hidden="1">
      <c r="A36" s="3199" t="s">
        <v>3171</v>
      </c>
      <c r="B36" s="3199" t="s">
        <v>3054</v>
      </c>
      <c r="C36" s="3199" t="s">
        <v>3055</v>
      </c>
      <c r="D36" s="3199" t="s">
        <v>2814</v>
      </c>
      <c r="E36" s="3199" t="s">
        <v>3171</v>
      </c>
      <c r="F36" s="3199" t="s">
        <v>3172</v>
      </c>
      <c r="G36" s="3199" t="s">
        <v>3057</v>
      </c>
      <c r="H36" s="3199">
        <v>39893</v>
      </c>
      <c r="I36" s="3199">
        <v>43882.3</v>
      </c>
      <c r="J36" s="3199" t="s">
        <v>3161</v>
      </c>
      <c r="K36" s="3199" t="s">
        <v>3162</v>
      </c>
      <c r="L36" s="3199" t="s">
        <v>3163</v>
      </c>
      <c r="M36" s="3199" t="s">
        <v>3173</v>
      </c>
      <c r="N36" s="3199">
        <v>3890</v>
      </c>
      <c r="O36" s="3199">
        <v>65.010000000000005</v>
      </c>
      <c r="P36" s="3199">
        <v>886.46</v>
      </c>
      <c r="Q36" s="3199">
        <v>0</v>
      </c>
      <c r="R36" s="3199" t="s">
        <v>3062</v>
      </c>
    </row>
    <row r="37" spans="1:18" s="3199" customFormat="1" hidden="1">
      <c r="A37" s="3199" t="s">
        <v>3174</v>
      </c>
      <c r="B37" s="3199" t="s">
        <v>3054</v>
      </c>
      <c r="C37" s="3199" t="s">
        <v>3078</v>
      </c>
      <c r="D37" s="3199" t="s">
        <v>2814</v>
      </c>
      <c r="E37" s="3199" t="s">
        <v>3174</v>
      </c>
      <c r="F37" s="3199" t="s">
        <v>3175</v>
      </c>
      <c r="G37" s="3199" t="s">
        <v>3176</v>
      </c>
      <c r="H37" s="3199">
        <v>79579</v>
      </c>
      <c r="I37" s="3199">
        <v>119368.5</v>
      </c>
      <c r="J37" s="3199" t="s">
        <v>3069</v>
      </c>
      <c r="K37" s="3199" t="s">
        <v>3162</v>
      </c>
      <c r="L37" s="3199" t="s">
        <v>3163</v>
      </c>
      <c r="M37" s="3199" t="s">
        <v>3116</v>
      </c>
      <c r="N37" s="3199">
        <v>48648</v>
      </c>
      <c r="O37" s="3199">
        <v>407.54</v>
      </c>
      <c r="P37" s="3199">
        <v>4075.44</v>
      </c>
      <c r="Q37" s="3199">
        <v>1.88</v>
      </c>
      <c r="R37" s="3199" t="s">
        <v>3177</v>
      </c>
    </row>
    <row r="38" spans="1:18" s="3199" customFormat="1" hidden="1">
      <c r="A38" s="3199" t="s">
        <v>3178</v>
      </c>
      <c r="B38" s="3199" t="s">
        <v>3054</v>
      </c>
      <c r="C38" s="3199" t="s">
        <v>3055</v>
      </c>
      <c r="D38" s="3199" t="s">
        <v>2814</v>
      </c>
      <c r="E38" s="3199" t="s">
        <v>3178</v>
      </c>
      <c r="F38" s="3199" t="s">
        <v>3179</v>
      </c>
      <c r="G38" s="3199" t="s">
        <v>3057</v>
      </c>
      <c r="H38" s="3199">
        <v>1697</v>
      </c>
      <c r="I38" s="3199">
        <v>1866.7</v>
      </c>
      <c r="J38" s="3199" t="s">
        <v>3161</v>
      </c>
      <c r="K38" s="3199" t="s">
        <v>3162</v>
      </c>
      <c r="L38" s="3199" t="s">
        <v>3163</v>
      </c>
      <c r="M38" s="3199" t="s">
        <v>3164</v>
      </c>
      <c r="N38" s="3199">
        <v>434</v>
      </c>
      <c r="O38" s="3199">
        <v>170.5</v>
      </c>
      <c r="P38" s="3199">
        <v>2324.96</v>
      </c>
      <c r="Q38" s="3199">
        <v>0</v>
      </c>
      <c r="R38" s="3199" t="s">
        <v>3062</v>
      </c>
    </row>
    <row r="39" spans="1:18" s="3199" customFormat="1" hidden="1">
      <c r="A39" s="3199" t="s">
        <v>3180</v>
      </c>
      <c r="B39" s="3199" t="s">
        <v>3054</v>
      </c>
      <c r="C39" s="3199" t="s">
        <v>3078</v>
      </c>
      <c r="D39" s="3199" t="s">
        <v>2814</v>
      </c>
      <c r="E39" s="3199" t="s">
        <v>3180</v>
      </c>
      <c r="F39" s="3199" t="s">
        <v>3181</v>
      </c>
      <c r="G39" s="3199" t="s">
        <v>3176</v>
      </c>
      <c r="H39" s="3199">
        <v>81072</v>
      </c>
      <c r="I39" s="3199">
        <v>121608</v>
      </c>
      <c r="J39" s="3199" t="s">
        <v>3069</v>
      </c>
      <c r="K39" s="3199" t="s">
        <v>3162</v>
      </c>
      <c r="L39" s="3199" t="s">
        <v>3163</v>
      </c>
      <c r="M39" s="3199" t="s">
        <v>3116</v>
      </c>
      <c r="N39" s="3199">
        <v>48744</v>
      </c>
      <c r="O39" s="3199">
        <v>400.83</v>
      </c>
      <c r="P39" s="3199">
        <v>4008.28</v>
      </c>
      <c r="Q39" s="3199">
        <v>0.21</v>
      </c>
      <c r="R39" s="3199" t="s">
        <v>3177</v>
      </c>
    </row>
    <row r="40" spans="1:18" s="3199" customFormat="1" hidden="1">
      <c r="A40" s="3199" t="s">
        <v>3182</v>
      </c>
      <c r="B40" s="3199" t="s">
        <v>3054</v>
      </c>
      <c r="C40" s="3199" t="s">
        <v>3055</v>
      </c>
      <c r="D40" s="3199" t="s">
        <v>2814</v>
      </c>
      <c r="E40" s="3199" t="s">
        <v>3182</v>
      </c>
      <c r="F40" s="3199" t="s">
        <v>3183</v>
      </c>
      <c r="G40" s="3199" t="s">
        <v>3057</v>
      </c>
      <c r="H40" s="3199">
        <v>11251</v>
      </c>
      <c r="I40" s="3199">
        <v>11813.55</v>
      </c>
      <c r="J40" s="3199" t="s">
        <v>3184</v>
      </c>
      <c r="K40" s="3199" t="s">
        <v>3162</v>
      </c>
      <c r="L40" s="3199" t="s">
        <v>3163</v>
      </c>
      <c r="M40" s="3199" t="s">
        <v>3185</v>
      </c>
      <c r="N40" s="3199">
        <v>1013</v>
      </c>
      <c r="O40" s="3199">
        <v>60.02</v>
      </c>
      <c r="P40" s="3199">
        <v>857.49</v>
      </c>
      <c r="Q40" s="3199">
        <v>0</v>
      </c>
      <c r="R40" s="3199" t="s">
        <v>3062</v>
      </c>
    </row>
    <row r="41" spans="1:18" s="3199" customFormat="1" hidden="1">
      <c r="A41" s="3199" t="s">
        <v>3186</v>
      </c>
      <c r="B41" s="3199" t="s">
        <v>3054</v>
      </c>
      <c r="C41" s="3199" t="s">
        <v>3055</v>
      </c>
      <c r="D41" s="3199" t="s">
        <v>2814</v>
      </c>
      <c r="E41" s="3199" t="s">
        <v>3186</v>
      </c>
      <c r="F41" s="3199" t="s">
        <v>3187</v>
      </c>
      <c r="G41" s="3199" t="s">
        <v>3057</v>
      </c>
      <c r="H41" s="3199">
        <v>7579</v>
      </c>
      <c r="I41" s="3199">
        <v>8336.9</v>
      </c>
      <c r="J41" s="3199" t="s">
        <v>3161</v>
      </c>
      <c r="K41" s="3199" t="s">
        <v>3162</v>
      </c>
      <c r="L41" s="3199" t="s">
        <v>3163</v>
      </c>
      <c r="M41" s="3199" t="s">
        <v>3164</v>
      </c>
      <c r="N41" s="3199">
        <v>1933</v>
      </c>
      <c r="O41" s="3199">
        <v>170.03</v>
      </c>
      <c r="P41" s="3199">
        <v>2318.61</v>
      </c>
      <c r="Q41" s="3199">
        <v>0</v>
      </c>
      <c r="R41" s="3199" t="s">
        <v>3062</v>
      </c>
    </row>
    <row r="42" spans="1:18" s="3199" customFormat="1" hidden="1">
      <c r="A42" s="3199" t="s">
        <v>3188</v>
      </c>
      <c r="B42" s="3199" t="s">
        <v>3054</v>
      </c>
      <c r="C42" s="3199" t="s">
        <v>3078</v>
      </c>
      <c r="D42" s="3199" t="s">
        <v>2814</v>
      </c>
      <c r="E42" s="3199" t="s">
        <v>3188</v>
      </c>
      <c r="F42" s="3199" t="s">
        <v>3189</v>
      </c>
      <c r="G42" s="3199" t="s">
        <v>3176</v>
      </c>
      <c r="H42" s="3199">
        <v>150698</v>
      </c>
      <c r="I42" s="3199">
        <v>421954.4</v>
      </c>
      <c r="J42" s="3199" t="s">
        <v>3190</v>
      </c>
      <c r="K42" s="3199" t="s">
        <v>3162</v>
      </c>
      <c r="L42" s="3199" t="s">
        <v>3163</v>
      </c>
      <c r="M42" s="3199" t="s">
        <v>3191</v>
      </c>
      <c r="N42" s="3199">
        <v>50635</v>
      </c>
      <c r="O42" s="3199">
        <v>224</v>
      </c>
      <c r="P42" s="3199">
        <v>1200</v>
      </c>
      <c r="Q42" s="3199">
        <v>0</v>
      </c>
      <c r="R42" s="3199" t="s">
        <v>3177</v>
      </c>
    </row>
    <row r="43" spans="1:18" s="3199" customFormat="1" hidden="1">
      <c r="A43" s="3199" t="s">
        <v>3192</v>
      </c>
      <c r="B43" s="3199" t="s">
        <v>3054</v>
      </c>
      <c r="C43" s="3199" t="s">
        <v>3055</v>
      </c>
      <c r="D43" s="3199" t="s">
        <v>2814</v>
      </c>
      <c r="E43" s="3199" t="s">
        <v>3192</v>
      </c>
      <c r="F43" s="3199" t="s">
        <v>3193</v>
      </c>
      <c r="G43" s="3199" t="s">
        <v>3057</v>
      </c>
      <c r="H43" s="3199">
        <v>407</v>
      </c>
      <c r="I43" s="3199">
        <v>447.7</v>
      </c>
      <c r="J43" s="3199" t="s">
        <v>3161</v>
      </c>
      <c r="K43" s="3199" t="s">
        <v>3162</v>
      </c>
      <c r="L43" s="3199" t="s">
        <v>3163</v>
      </c>
      <c r="M43" s="3199" t="s">
        <v>3164</v>
      </c>
      <c r="N43" s="3199">
        <v>104</v>
      </c>
      <c r="O43" s="3199">
        <v>170.35</v>
      </c>
      <c r="P43" s="3199">
        <v>2322.98</v>
      </c>
      <c r="Q43" s="3199">
        <v>0</v>
      </c>
      <c r="R43" s="3199" t="s">
        <v>3062</v>
      </c>
    </row>
    <row r="44" spans="1:18" s="3199" customFormat="1" hidden="1">
      <c r="A44" s="3199" t="s">
        <v>3194</v>
      </c>
      <c r="B44" s="3199" t="s">
        <v>3054</v>
      </c>
      <c r="C44" s="3199" t="s">
        <v>3055</v>
      </c>
      <c r="D44" s="3199" t="s">
        <v>2814</v>
      </c>
      <c r="E44" s="3199" t="s">
        <v>3194</v>
      </c>
      <c r="F44" s="3199" t="s">
        <v>3195</v>
      </c>
      <c r="G44" s="3199" t="s">
        <v>3057</v>
      </c>
      <c r="H44" s="3199">
        <v>780</v>
      </c>
      <c r="I44" s="3199">
        <v>1248</v>
      </c>
      <c r="J44" s="3199" t="s">
        <v>3196</v>
      </c>
      <c r="K44" s="3199" t="s">
        <v>3162</v>
      </c>
      <c r="L44" s="3199" t="s">
        <v>3163</v>
      </c>
      <c r="M44" s="3199" t="s">
        <v>3197</v>
      </c>
      <c r="N44" s="3199">
        <v>171</v>
      </c>
      <c r="O44" s="3199">
        <v>146.15</v>
      </c>
      <c r="P44" s="3199">
        <v>1370.19</v>
      </c>
      <c r="Q44" s="3199">
        <v>0</v>
      </c>
      <c r="R44" s="3199" t="s">
        <v>3062</v>
      </c>
    </row>
    <row r="45" spans="1:18" s="3201" customFormat="1">
      <c r="A45" s="3201" t="s">
        <v>3198</v>
      </c>
      <c r="B45" s="3201" t="s">
        <v>3054</v>
      </c>
      <c r="C45" s="3201" t="s">
        <v>3055</v>
      </c>
      <c r="D45" s="3201" t="s">
        <v>2814</v>
      </c>
      <c r="E45" s="3201" t="s">
        <v>3198</v>
      </c>
      <c r="F45" s="3201" t="s">
        <v>3199</v>
      </c>
      <c r="G45" s="3201" t="s">
        <v>3057</v>
      </c>
      <c r="H45" s="3201">
        <v>41505</v>
      </c>
      <c r="I45" s="3201">
        <v>83010</v>
      </c>
      <c r="J45" s="3201" t="s">
        <v>3200</v>
      </c>
      <c r="K45" s="3201" t="s">
        <v>3201</v>
      </c>
      <c r="L45" s="3201" t="s">
        <v>3202</v>
      </c>
      <c r="M45" s="3201" t="s">
        <v>3203</v>
      </c>
      <c r="N45" s="3201">
        <v>47630</v>
      </c>
      <c r="O45" s="3201">
        <v>765.05</v>
      </c>
      <c r="P45" s="3201">
        <v>5737.85</v>
      </c>
      <c r="Q45" s="3201">
        <v>53</v>
      </c>
      <c r="R45" s="3201" t="s">
        <v>3062</v>
      </c>
    </row>
    <row r="46" spans="1:18" s="3201" customFormat="1">
      <c r="A46" s="3202" t="s">
        <v>3877</v>
      </c>
      <c r="B46" s="3201" t="s">
        <v>3054</v>
      </c>
      <c r="C46" s="3201" t="s">
        <v>3055</v>
      </c>
      <c r="D46" s="3201" t="s">
        <v>2814</v>
      </c>
      <c r="E46" s="3201" t="s">
        <v>3204</v>
      </c>
      <c r="F46" s="3201" t="s">
        <v>3205</v>
      </c>
      <c r="G46" s="3201" t="s">
        <v>3057</v>
      </c>
      <c r="H46" s="3201">
        <v>4857</v>
      </c>
      <c r="I46" s="3201">
        <v>10685.4</v>
      </c>
      <c r="J46" s="3201" t="s">
        <v>3206</v>
      </c>
      <c r="K46" s="3201" t="s">
        <v>3201</v>
      </c>
      <c r="L46" s="3201" t="s">
        <v>3207</v>
      </c>
      <c r="M46" s="3201" t="s">
        <v>3208</v>
      </c>
      <c r="N46" s="3201">
        <v>2620</v>
      </c>
      <c r="O46" s="3201">
        <v>359.62</v>
      </c>
      <c r="P46" s="3201">
        <v>2451.94</v>
      </c>
      <c r="Q46" s="3201">
        <v>0</v>
      </c>
      <c r="R46" s="3201" t="s">
        <v>3062</v>
      </c>
    </row>
    <row r="47" spans="1:18" s="3201" customFormat="1">
      <c r="A47" s="3201" t="s">
        <v>3209</v>
      </c>
      <c r="B47" s="3201" t="s">
        <v>3054</v>
      </c>
      <c r="C47" s="3201" t="s">
        <v>3055</v>
      </c>
      <c r="D47" s="3201" t="s">
        <v>2814</v>
      </c>
      <c r="E47" s="3201" t="s">
        <v>3209</v>
      </c>
      <c r="F47" s="3201" t="s">
        <v>3210</v>
      </c>
      <c r="G47" s="3201" t="s">
        <v>3057</v>
      </c>
      <c r="H47" s="3201">
        <v>22487</v>
      </c>
      <c r="I47" s="3201">
        <v>49471.4</v>
      </c>
      <c r="J47" s="3201" t="s">
        <v>3206</v>
      </c>
      <c r="K47" s="3201" t="s">
        <v>3201</v>
      </c>
      <c r="L47" s="3201" t="s">
        <v>3211</v>
      </c>
      <c r="M47" s="3201" t="s">
        <v>3212</v>
      </c>
      <c r="N47" s="3201">
        <v>23600</v>
      </c>
      <c r="O47" s="3201">
        <v>699.66</v>
      </c>
      <c r="P47" s="3201">
        <v>4770.43</v>
      </c>
      <c r="Q47" s="3201">
        <v>45.68</v>
      </c>
      <c r="R47" s="3201" t="s">
        <v>3062</v>
      </c>
    </row>
    <row r="48" spans="1:18" s="3201" customFormat="1">
      <c r="A48" s="3201" t="s">
        <v>3213</v>
      </c>
      <c r="B48" s="3201" t="s">
        <v>3054</v>
      </c>
      <c r="C48" s="3201" t="s">
        <v>3055</v>
      </c>
      <c r="D48" s="3201" t="s">
        <v>2814</v>
      </c>
      <c r="E48" s="3201" t="s">
        <v>3213</v>
      </c>
      <c r="F48" s="3201" t="s">
        <v>3214</v>
      </c>
      <c r="G48" s="3201" t="s">
        <v>3215</v>
      </c>
      <c r="H48" s="3201">
        <v>16441</v>
      </c>
      <c r="I48" s="3201">
        <v>32059.95</v>
      </c>
      <c r="J48" s="3201" t="s">
        <v>3216</v>
      </c>
      <c r="K48" s="3201" t="s">
        <v>3217</v>
      </c>
      <c r="L48" s="3201" t="s">
        <v>3218</v>
      </c>
      <c r="M48" s="3201" t="s">
        <v>3219</v>
      </c>
      <c r="N48" s="3201">
        <v>2176</v>
      </c>
      <c r="O48" s="3201">
        <v>88.23</v>
      </c>
      <c r="P48" s="3201">
        <v>678.73</v>
      </c>
      <c r="Q48" s="3201">
        <v>0</v>
      </c>
      <c r="R48" s="3201">
        <v>70</v>
      </c>
    </row>
    <row r="49" spans="1:18" s="3201" customFormat="1">
      <c r="A49" s="3201" t="s">
        <v>3220</v>
      </c>
      <c r="B49" s="3201" t="s">
        <v>3054</v>
      </c>
      <c r="C49" s="3201" t="s">
        <v>3055</v>
      </c>
      <c r="D49" s="3201" t="s">
        <v>2814</v>
      </c>
      <c r="E49" s="3201" t="s">
        <v>3220</v>
      </c>
      <c r="F49" s="3201" t="s">
        <v>3221</v>
      </c>
      <c r="G49" s="3201" t="s">
        <v>3222</v>
      </c>
      <c r="H49" s="3201">
        <v>5599</v>
      </c>
      <c r="I49" s="3201">
        <v>7278.7</v>
      </c>
      <c r="J49" s="3201" t="s">
        <v>3223</v>
      </c>
      <c r="K49" s="3201" t="s">
        <v>3217</v>
      </c>
      <c r="L49" s="3201" t="s">
        <v>3224</v>
      </c>
      <c r="M49" s="3201" t="s">
        <v>3225</v>
      </c>
      <c r="N49" s="3201">
        <v>6241.5</v>
      </c>
      <c r="O49" s="3201">
        <v>743.17</v>
      </c>
      <c r="P49" s="3201">
        <v>8575.02</v>
      </c>
      <c r="Q49" s="3201">
        <v>0</v>
      </c>
      <c r="R49" s="3201">
        <v>54.2</v>
      </c>
    </row>
    <row r="50" spans="1:18" s="3201" customFormat="1">
      <c r="A50" s="3202" t="s">
        <v>3878</v>
      </c>
      <c r="B50" s="3201" t="s">
        <v>3054</v>
      </c>
      <c r="C50" s="3201" t="s">
        <v>3055</v>
      </c>
      <c r="D50" s="3201" t="s">
        <v>2814</v>
      </c>
      <c r="E50" s="3201" t="s">
        <v>3226</v>
      </c>
      <c r="F50" s="3201" t="s">
        <v>3227</v>
      </c>
      <c r="G50" s="3201" t="s">
        <v>3057</v>
      </c>
      <c r="H50" s="3201">
        <v>2524</v>
      </c>
      <c r="I50" s="3201">
        <v>8834</v>
      </c>
      <c r="J50" s="3201" t="s">
        <v>3228</v>
      </c>
      <c r="K50" s="3201" t="s">
        <v>3229</v>
      </c>
      <c r="L50" s="3201" t="s">
        <v>3230</v>
      </c>
      <c r="M50" s="3201" t="s">
        <v>3231</v>
      </c>
      <c r="N50" s="3201">
        <v>3030</v>
      </c>
      <c r="O50" s="3201">
        <v>800.32</v>
      </c>
      <c r="P50" s="3201">
        <v>3429.92</v>
      </c>
      <c r="Q50" s="3201">
        <v>0</v>
      </c>
      <c r="R50" s="3201" t="s">
        <v>3062</v>
      </c>
    </row>
    <row r="51" spans="1:18" s="3201" customFormat="1">
      <c r="A51" s="3201" t="s">
        <v>3232</v>
      </c>
      <c r="B51" s="3201" t="s">
        <v>3054</v>
      </c>
      <c r="C51" s="3201" t="s">
        <v>3055</v>
      </c>
      <c r="D51" s="3201" t="s">
        <v>2814</v>
      </c>
      <c r="E51" s="3201" t="s">
        <v>3232</v>
      </c>
      <c r="F51" s="3201" t="s">
        <v>3233</v>
      </c>
      <c r="G51" s="3201" t="s">
        <v>3057</v>
      </c>
      <c r="H51" s="3201">
        <v>793</v>
      </c>
      <c r="I51" s="3201">
        <v>1982.5</v>
      </c>
      <c r="J51" s="3201" t="s">
        <v>3234</v>
      </c>
      <c r="K51" s="3201" t="s">
        <v>3229</v>
      </c>
      <c r="L51" s="3201" t="s">
        <v>3235</v>
      </c>
      <c r="M51" s="3201" t="s">
        <v>3236</v>
      </c>
      <c r="N51" s="3201">
        <v>670</v>
      </c>
      <c r="O51" s="3201">
        <v>563.26</v>
      </c>
      <c r="P51" s="3201">
        <v>3379.57</v>
      </c>
      <c r="Q51" s="3201">
        <v>0</v>
      </c>
      <c r="R51" s="3201" t="s">
        <v>3062</v>
      </c>
    </row>
    <row r="52" spans="1:18" s="3201" customFormat="1">
      <c r="A52" s="3201" t="s">
        <v>3237</v>
      </c>
      <c r="B52" s="3201" t="s">
        <v>3054</v>
      </c>
      <c r="C52" s="3201" t="s">
        <v>3055</v>
      </c>
      <c r="D52" s="3201" t="s">
        <v>2814</v>
      </c>
      <c r="E52" s="3201" t="s">
        <v>3237</v>
      </c>
      <c r="F52" s="3201" t="s">
        <v>3238</v>
      </c>
      <c r="G52" s="3201" t="s">
        <v>3057</v>
      </c>
      <c r="H52" s="3201">
        <v>13765</v>
      </c>
      <c r="I52" s="3201">
        <v>27530</v>
      </c>
      <c r="J52" s="3201" t="s">
        <v>3200</v>
      </c>
      <c r="K52" s="3201" t="s">
        <v>3229</v>
      </c>
      <c r="L52" s="3201" t="s">
        <v>3239</v>
      </c>
      <c r="M52" s="3201" t="s">
        <v>3240</v>
      </c>
      <c r="N52" s="3201">
        <v>2478</v>
      </c>
      <c r="O52" s="3201">
        <v>120.01</v>
      </c>
      <c r="P52" s="3201">
        <v>900.11</v>
      </c>
      <c r="Q52" s="3201">
        <v>0</v>
      </c>
      <c r="R52" s="3201" t="s">
        <v>3062</v>
      </c>
    </row>
    <row r="53" spans="1:18" s="3201" customFormat="1">
      <c r="A53" s="3201" t="s">
        <v>3232</v>
      </c>
      <c r="B53" s="3201" t="s">
        <v>3054</v>
      </c>
      <c r="C53" s="3201" t="s">
        <v>3055</v>
      </c>
      <c r="D53" s="3201" t="s">
        <v>2814</v>
      </c>
      <c r="E53" s="3201" t="s">
        <v>3232</v>
      </c>
      <c r="F53" s="3201" t="s">
        <v>3241</v>
      </c>
      <c r="G53" s="3201" t="s">
        <v>3057</v>
      </c>
      <c r="H53" s="3201">
        <v>10799</v>
      </c>
      <c r="I53" s="3201">
        <v>26997.5</v>
      </c>
      <c r="J53" s="3201" t="s">
        <v>3234</v>
      </c>
      <c r="K53" s="3201" t="s">
        <v>3229</v>
      </c>
      <c r="L53" s="3201" t="s">
        <v>3242</v>
      </c>
      <c r="M53" s="3201" t="s">
        <v>3236</v>
      </c>
      <c r="N53" s="3201">
        <v>9080</v>
      </c>
      <c r="O53" s="3201">
        <v>560.54999999999995</v>
      </c>
      <c r="P53" s="3201">
        <v>3363.26</v>
      </c>
      <c r="Q53" s="3201">
        <v>0</v>
      </c>
      <c r="R53" s="3201" t="s">
        <v>3062</v>
      </c>
    </row>
    <row r="54" spans="1:18" s="3201" customFormat="1">
      <c r="A54" s="3201" t="s">
        <v>3243</v>
      </c>
      <c r="B54" s="3201" t="s">
        <v>3054</v>
      </c>
      <c r="C54" s="3201" t="s">
        <v>3055</v>
      </c>
      <c r="D54" s="3201" t="s">
        <v>2814</v>
      </c>
      <c r="E54" s="3201" t="s">
        <v>3243</v>
      </c>
      <c r="F54" s="3201" t="s">
        <v>3244</v>
      </c>
      <c r="G54" s="3201" t="s">
        <v>3057</v>
      </c>
      <c r="H54" s="3201">
        <v>69847</v>
      </c>
      <c r="I54" s="3201">
        <v>153663.4</v>
      </c>
      <c r="J54" s="3201" t="s">
        <v>3206</v>
      </c>
      <c r="K54" s="3201" t="s">
        <v>3229</v>
      </c>
      <c r="L54" s="3201" t="s">
        <v>3245</v>
      </c>
      <c r="M54" s="3201" t="s">
        <v>3208</v>
      </c>
      <c r="N54" s="3201">
        <v>41910</v>
      </c>
      <c r="O54" s="3201">
        <v>400.02</v>
      </c>
      <c r="P54" s="3201">
        <v>2727.38</v>
      </c>
      <c r="Q54" s="3201">
        <v>0</v>
      </c>
      <c r="R54" s="3201" t="s">
        <v>3062</v>
      </c>
    </row>
    <row r="55" spans="1:18" s="3201" customFormat="1">
      <c r="A55" s="3201" t="s">
        <v>3246</v>
      </c>
      <c r="B55" s="3201" t="s">
        <v>3054</v>
      </c>
      <c r="C55" s="3201" t="s">
        <v>3055</v>
      </c>
      <c r="D55" s="3201" t="s">
        <v>2814</v>
      </c>
      <c r="E55" s="3201" t="s">
        <v>3246</v>
      </c>
      <c r="F55" s="3201" t="s">
        <v>3247</v>
      </c>
      <c r="G55" s="3201" t="s">
        <v>3057</v>
      </c>
      <c r="H55" s="3201">
        <v>24054</v>
      </c>
      <c r="I55" s="3201">
        <v>36081</v>
      </c>
      <c r="J55" s="3201" t="s">
        <v>3248</v>
      </c>
      <c r="K55" s="3201" t="s">
        <v>3229</v>
      </c>
      <c r="L55" s="3201" t="s">
        <v>3249</v>
      </c>
      <c r="M55" s="3201" t="s">
        <v>3250</v>
      </c>
      <c r="N55" s="3201">
        <v>13920</v>
      </c>
      <c r="O55" s="3201">
        <v>385.8</v>
      </c>
      <c r="P55" s="3201">
        <v>3857.98</v>
      </c>
      <c r="Q55" s="3201">
        <v>1.46</v>
      </c>
      <c r="R55" s="3201" t="s">
        <v>3062</v>
      </c>
    </row>
    <row r="56" spans="1:18">
      <c r="A56" s="3195" t="s">
        <v>3251</v>
      </c>
      <c r="B56" s="3195" t="s">
        <v>3054</v>
      </c>
      <c r="C56" s="3195" t="s">
        <v>3055</v>
      </c>
      <c r="D56" s="3195" t="s">
        <v>2814</v>
      </c>
      <c r="E56" s="3195" t="s">
        <v>3251</v>
      </c>
      <c r="F56" s="3195" t="s">
        <v>3252</v>
      </c>
      <c r="G56" s="3195" t="s">
        <v>3253</v>
      </c>
      <c r="H56" s="3195">
        <v>88824</v>
      </c>
      <c r="I56" s="3195">
        <v>159883.20000000001</v>
      </c>
      <c r="J56" s="3195" t="s">
        <v>3254</v>
      </c>
      <c r="K56" s="3195" t="s">
        <v>3255</v>
      </c>
      <c r="L56" s="3195" t="s">
        <v>3256</v>
      </c>
      <c r="M56" s="3195" t="s">
        <v>3257</v>
      </c>
      <c r="N56" s="3195">
        <v>100070</v>
      </c>
      <c r="O56" s="3195">
        <v>751.07</v>
      </c>
      <c r="P56" s="3195">
        <v>6258.93</v>
      </c>
      <c r="Q56" s="3195">
        <v>64.75</v>
      </c>
      <c r="R56" s="3195">
        <v>70</v>
      </c>
    </row>
    <row r="57" spans="1:18" s="3204" customFormat="1">
      <c r="A57" s="3204" t="s">
        <v>3258</v>
      </c>
      <c r="B57" s="3204" t="s">
        <v>3054</v>
      </c>
      <c r="C57" s="3204" t="s">
        <v>3055</v>
      </c>
      <c r="D57" s="3204" t="s">
        <v>2814</v>
      </c>
      <c r="E57" s="3204" t="s">
        <v>3258</v>
      </c>
      <c r="F57" s="3204" t="s">
        <v>3259</v>
      </c>
      <c r="G57" s="3204" t="s">
        <v>3253</v>
      </c>
      <c r="H57" s="3204">
        <v>76715</v>
      </c>
      <c r="I57" s="3204">
        <v>176444.5</v>
      </c>
      <c r="J57" s="3204" t="s">
        <v>3260</v>
      </c>
      <c r="K57" s="3204" t="s">
        <v>3255</v>
      </c>
      <c r="L57" s="3204" t="s">
        <v>3261</v>
      </c>
      <c r="M57" s="3204" t="s">
        <v>3262</v>
      </c>
      <c r="N57" s="3204">
        <v>85400</v>
      </c>
      <c r="O57" s="3204">
        <v>742.14</v>
      </c>
      <c r="P57" s="3204">
        <v>4840.05</v>
      </c>
      <c r="Q57" s="3204">
        <v>72.900000000000006</v>
      </c>
      <c r="R57" s="3204">
        <v>70</v>
      </c>
    </row>
    <row r="58" spans="1:18">
      <c r="A58" s="3195" t="s">
        <v>3263</v>
      </c>
      <c r="B58" s="3195" t="s">
        <v>3054</v>
      </c>
      <c r="C58" s="3195" t="s">
        <v>3055</v>
      </c>
      <c r="D58" s="3195" t="s">
        <v>2814</v>
      </c>
      <c r="E58" s="3195" t="s">
        <v>3263</v>
      </c>
      <c r="F58" s="3195" t="s">
        <v>3264</v>
      </c>
      <c r="G58" s="3195" t="s">
        <v>3253</v>
      </c>
      <c r="H58" s="3195">
        <v>42778</v>
      </c>
      <c r="I58" s="3195">
        <v>77000.399999999994</v>
      </c>
      <c r="J58" s="3195" t="s">
        <v>3254</v>
      </c>
      <c r="K58" s="3195" t="s">
        <v>3255</v>
      </c>
      <c r="L58" s="3195" t="s">
        <v>3265</v>
      </c>
      <c r="M58" s="3195" t="s">
        <v>3266</v>
      </c>
      <c r="N58" s="3195">
        <v>42000</v>
      </c>
      <c r="O58" s="3195">
        <v>654.54</v>
      </c>
      <c r="P58" s="3195">
        <v>5454.52</v>
      </c>
      <c r="Q58" s="3195">
        <v>81.72</v>
      </c>
      <c r="R58" s="3195">
        <v>70</v>
      </c>
    </row>
    <row r="59" spans="1:18" hidden="1">
      <c r="A59" s="3195" t="s">
        <v>3267</v>
      </c>
      <c r="B59" s="3195" t="s">
        <v>3054</v>
      </c>
      <c r="C59" s="3195" t="s">
        <v>3055</v>
      </c>
      <c r="D59" s="3195" t="s">
        <v>2814</v>
      </c>
      <c r="E59" s="3195" t="s">
        <v>3267</v>
      </c>
      <c r="F59" s="3195" t="s">
        <v>3268</v>
      </c>
      <c r="G59" s="3195" t="s">
        <v>3269</v>
      </c>
      <c r="H59" s="3195">
        <v>4378</v>
      </c>
      <c r="I59" s="3195">
        <v>7880.4</v>
      </c>
      <c r="J59" s="3195" t="s">
        <v>3270</v>
      </c>
      <c r="K59" s="3195" t="s">
        <v>3271</v>
      </c>
      <c r="L59" s="3195" t="s">
        <v>3272</v>
      </c>
      <c r="M59" s="3195" t="s">
        <v>3273</v>
      </c>
      <c r="N59" s="3195">
        <v>4098</v>
      </c>
      <c r="O59" s="3195">
        <v>624.03</v>
      </c>
      <c r="P59" s="3195">
        <v>5200.2299999999996</v>
      </c>
      <c r="Q59" s="3195">
        <v>78.33</v>
      </c>
      <c r="R59" s="3195" t="s">
        <v>3062</v>
      </c>
    </row>
    <row r="60" spans="1:18" hidden="1">
      <c r="A60" s="3195" t="s">
        <v>3274</v>
      </c>
      <c r="B60" s="3195" t="s">
        <v>3054</v>
      </c>
      <c r="C60" s="3195" t="s">
        <v>3055</v>
      </c>
      <c r="D60" s="3195" t="s">
        <v>2814</v>
      </c>
      <c r="E60" s="3195" t="s">
        <v>3274</v>
      </c>
      <c r="F60" s="3195" t="s">
        <v>3275</v>
      </c>
      <c r="G60" s="3195" t="s">
        <v>3269</v>
      </c>
      <c r="H60" s="3195">
        <v>55262.09</v>
      </c>
      <c r="I60" s="3195">
        <v>121576.6</v>
      </c>
      <c r="J60" s="3195" t="s">
        <v>3276</v>
      </c>
      <c r="K60" s="3195" t="s">
        <v>3271</v>
      </c>
      <c r="L60" s="3195" t="s">
        <v>3272</v>
      </c>
      <c r="M60" s="3195" t="s">
        <v>3277</v>
      </c>
      <c r="N60" s="3195">
        <v>58782</v>
      </c>
      <c r="O60" s="3195">
        <v>709.13</v>
      </c>
      <c r="P60" s="3195">
        <v>4834.97</v>
      </c>
      <c r="Q60" s="3195">
        <v>86.13</v>
      </c>
      <c r="R60" s="3195" t="s">
        <v>3062</v>
      </c>
    </row>
    <row r="61" spans="1:18" hidden="1">
      <c r="A61" s="3195" t="s">
        <v>3278</v>
      </c>
      <c r="B61" s="3195" t="s">
        <v>3054</v>
      </c>
      <c r="C61" s="3195" t="s">
        <v>3055</v>
      </c>
      <c r="D61" s="3195" t="s">
        <v>2814</v>
      </c>
      <c r="E61" s="3195" t="s">
        <v>3278</v>
      </c>
      <c r="F61" s="3195" t="s">
        <v>3279</v>
      </c>
      <c r="G61" s="3195" t="s">
        <v>3057</v>
      </c>
      <c r="H61" s="3195">
        <v>2440</v>
      </c>
      <c r="I61" s="3195">
        <v>7320</v>
      </c>
      <c r="J61" s="3195" t="s">
        <v>3280</v>
      </c>
      <c r="K61" s="3195" t="s">
        <v>3281</v>
      </c>
      <c r="L61" s="3195" t="s">
        <v>3282</v>
      </c>
      <c r="M61" s="3195" t="s">
        <v>3283</v>
      </c>
      <c r="N61" s="3195">
        <v>2928</v>
      </c>
      <c r="O61" s="3195">
        <v>800</v>
      </c>
      <c r="P61" s="3195">
        <v>4000</v>
      </c>
      <c r="Q61" s="3195">
        <v>0</v>
      </c>
      <c r="R61" s="3195" t="s">
        <v>3062</v>
      </c>
    </row>
    <row r="62" spans="1:18" hidden="1">
      <c r="A62" s="3195" t="s">
        <v>3284</v>
      </c>
      <c r="B62" s="3195" t="s">
        <v>3054</v>
      </c>
      <c r="C62" s="3195" t="s">
        <v>3055</v>
      </c>
      <c r="D62" s="3195" t="s">
        <v>2814</v>
      </c>
      <c r="E62" s="3195" t="s">
        <v>3284</v>
      </c>
      <c r="F62" s="3195" t="s">
        <v>3285</v>
      </c>
      <c r="G62" s="3195" t="s">
        <v>3057</v>
      </c>
      <c r="H62" s="3195">
        <v>7748</v>
      </c>
      <c r="I62" s="3195">
        <v>19370</v>
      </c>
      <c r="J62" s="3195" t="s">
        <v>3065</v>
      </c>
      <c r="K62" s="3195" t="s">
        <v>3281</v>
      </c>
      <c r="L62" s="3195" t="s">
        <v>3282</v>
      </c>
      <c r="M62" s="3195" t="s">
        <v>3286</v>
      </c>
      <c r="N62" s="3195">
        <v>11620</v>
      </c>
      <c r="O62" s="3195">
        <v>999.83</v>
      </c>
      <c r="P62" s="3195">
        <v>5998.97</v>
      </c>
      <c r="Q62" s="3195">
        <v>0</v>
      </c>
      <c r="R62" s="3195" t="s">
        <v>3062</v>
      </c>
    </row>
    <row r="63" spans="1:18" hidden="1">
      <c r="A63" s="3195" t="s">
        <v>3287</v>
      </c>
      <c r="B63" s="3195" t="s">
        <v>3054</v>
      </c>
      <c r="C63" s="3195" t="s">
        <v>3055</v>
      </c>
      <c r="D63" s="3195" t="s">
        <v>2814</v>
      </c>
      <c r="E63" s="3195" t="s">
        <v>3287</v>
      </c>
      <c r="F63" s="3195" t="s">
        <v>3288</v>
      </c>
      <c r="G63" s="3195" t="s">
        <v>3057</v>
      </c>
      <c r="H63" s="3195">
        <v>117</v>
      </c>
      <c r="I63" s="3195">
        <v>222.3</v>
      </c>
      <c r="J63" s="3195" t="s">
        <v>3289</v>
      </c>
      <c r="K63" s="3195" t="s">
        <v>3281</v>
      </c>
      <c r="L63" s="3195" t="s">
        <v>3282</v>
      </c>
      <c r="M63" s="3195" t="s">
        <v>3290</v>
      </c>
      <c r="N63" s="3195">
        <v>81.2</v>
      </c>
      <c r="O63" s="3195">
        <v>462.68</v>
      </c>
      <c r="P63" s="3195">
        <v>3652.71</v>
      </c>
      <c r="Q63" s="3195">
        <v>0.25</v>
      </c>
      <c r="R63" s="3195" t="s">
        <v>3062</v>
      </c>
    </row>
    <row r="64" spans="1:18" hidden="1">
      <c r="A64" s="3195" t="s">
        <v>3291</v>
      </c>
      <c r="B64" s="3195" t="s">
        <v>3054</v>
      </c>
      <c r="C64" s="3195" t="s">
        <v>3055</v>
      </c>
      <c r="D64" s="3195" t="s">
        <v>2814</v>
      </c>
      <c r="E64" s="3195" t="s">
        <v>3291</v>
      </c>
      <c r="F64" s="3195" t="s">
        <v>3292</v>
      </c>
      <c r="G64" s="3195" t="s">
        <v>3057</v>
      </c>
      <c r="H64" s="3195">
        <v>45781</v>
      </c>
      <c r="I64" s="3195">
        <v>82405.8</v>
      </c>
      <c r="J64" s="3195" t="s">
        <v>3293</v>
      </c>
      <c r="K64" s="3195" t="s">
        <v>3281</v>
      </c>
      <c r="L64" s="3195" t="s">
        <v>3282</v>
      </c>
      <c r="M64" s="3195" t="s">
        <v>3294</v>
      </c>
      <c r="N64" s="3195">
        <v>33462</v>
      </c>
      <c r="O64" s="3195">
        <v>487.28</v>
      </c>
      <c r="P64" s="3195">
        <v>4060.63</v>
      </c>
      <c r="Q64" s="3195">
        <v>1.52</v>
      </c>
      <c r="R64" s="3195" t="s">
        <v>3062</v>
      </c>
    </row>
    <row r="65" spans="1:18" hidden="1">
      <c r="A65" s="3195" t="s">
        <v>3295</v>
      </c>
      <c r="B65" s="3195" t="s">
        <v>3054</v>
      </c>
      <c r="C65" s="3195" t="s">
        <v>3055</v>
      </c>
      <c r="D65" s="3195" t="s">
        <v>2814</v>
      </c>
      <c r="E65" s="3195" t="s">
        <v>3295</v>
      </c>
      <c r="F65" s="3195" t="s">
        <v>3296</v>
      </c>
      <c r="G65" s="3195" t="s">
        <v>3057</v>
      </c>
      <c r="H65" s="3195">
        <v>38731</v>
      </c>
      <c r="I65" s="3195">
        <v>69715.8</v>
      </c>
      <c r="J65" s="3195" t="s">
        <v>3293</v>
      </c>
      <c r="K65" s="3195" t="s">
        <v>3281</v>
      </c>
      <c r="L65" s="3195" t="s">
        <v>3282</v>
      </c>
      <c r="M65" s="3195" t="s">
        <v>3297</v>
      </c>
      <c r="N65" s="3195">
        <v>28488</v>
      </c>
      <c r="O65" s="3195">
        <v>490.36</v>
      </c>
      <c r="P65" s="3195">
        <v>4086.3</v>
      </c>
      <c r="Q65" s="3195">
        <v>2.15</v>
      </c>
      <c r="R65" s="3195" t="s">
        <v>3062</v>
      </c>
    </row>
    <row r="66" spans="1:18">
      <c r="A66" s="3195" t="s">
        <v>3298</v>
      </c>
      <c r="B66" s="3195" t="s">
        <v>3054</v>
      </c>
      <c r="C66" s="3195" t="s">
        <v>3078</v>
      </c>
      <c r="D66" s="3195" t="s">
        <v>2814</v>
      </c>
      <c r="E66" s="3195" t="s">
        <v>3298</v>
      </c>
      <c r="F66" s="3195" t="s">
        <v>3299</v>
      </c>
      <c r="G66" s="3195" t="s">
        <v>3300</v>
      </c>
      <c r="H66" s="3195">
        <v>52054</v>
      </c>
      <c r="I66" s="3195">
        <v>62464.800000000003</v>
      </c>
      <c r="J66" s="3195" t="s">
        <v>3301</v>
      </c>
      <c r="K66" s="3195" t="s">
        <v>3302</v>
      </c>
      <c r="L66" s="3195" t="s">
        <v>3303</v>
      </c>
      <c r="M66" s="3195" t="s">
        <v>3304</v>
      </c>
      <c r="N66" s="3195">
        <v>4878</v>
      </c>
      <c r="O66" s="3195">
        <v>62.47</v>
      </c>
      <c r="P66" s="3195">
        <v>780.91</v>
      </c>
      <c r="Q66" s="3195">
        <v>0</v>
      </c>
      <c r="R66" s="3195">
        <v>70</v>
      </c>
    </row>
    <row r="67" spans="1:18" s="3199" customFormat="1">
      <c r="A67" s="3199" t="s">
        <v>3305</v>
      </c>
      <c r="B67" s="3199" t="s">
        <v>3054</v>
      </c>
      <c r="C67" s="3199" t="s">
        <v>3078</v>
      </c>
      <c r="D67" s="3199" t="s">
        <v>2814</v>
      </c>
      <c r="E67" s="3199" t="s">
        <v>3305</v>
      </c>
      <c r="F67" s="3199" t="s">
        <v>3306</v>
      </c>
      <c r="G67" s="3199" t="s">
        <v>3078</v>
      </c>
      <c r="H67" s="3199">
        <v>55810</v>
      </c>
      <c r="I67" s="3199">
        <v>180266.3</v>
      </c>
      <c r="J67" s="3199" t="s">
        <v>3307</v>
      </c>
      <c r="K67" s="3199" t="s">
        <v>3308</v>
      </c>
      <c r="L67" s="3199" t="s">
        <v>3309</v>
      </c>
      <c r="M67" s="3199" t="s">
        <v>3310</v>
      </c>
      <c r="N67" s="3199">
        <v>114480</v>
      </c>
      <c r="O67" s="3199">
        <v>1367.5</v>
      </c>
      <c r="P67" s="3199">
        <v>6350.6</v>
      </c>
      <c r="Q67" s="3199">
        <v>47.91</v>
      </c>
      <c r="R67" s="3199">
        <v>70</v>
      </c>
    </row>
    <row r="68" spans="1:18" s="3204" customFormat="1">
      <c r="A68" s="3204" t="s">
        <v>3311</v>
      </c>
      <c r="B68" s="3204" t="s">
        <v>3054</v>
      </c>
      <c r="C68" s="3204" t="s">
        <v>3055</v>
      </c>
      <c r="D68" s="3204" t="s">
        <v>2814</v>
      </c>
      <c r="E68" s="3204" t="s">
        <v>3311</v>
      </c>
      <c r="F68" s="3204" t="s">
        <v>3312</v>
      </c>
      <c r="G68" s="3204" t="s">
        <v>3055</v>
      </c>
      <c r="H68" s="3204">
        <v>66954</v>
      </c>
      <c r="I68" s="3204">
        <v>133908</v>
      </c>
      <c r="J68" s="3204" t="s">
        <v>3313</v>
      </c>
      <c r="K68" s="3204" t="s">
        <v>3308</v>
      </c>
      <c r="L68" s="3204" t="s">
        <v>3309</v>
      </c>
      <c r="M68" s="3204" t="s">
        <v>3314</v>
      </c>
      <c r="N68" s="3204">
        <v>54940</v>
      </c>
      <c r="O68" s="3204">
        <v>547.04</v>
      </c>
      <c r="P68" s="3204">
        <v>4102.8100000000004</v>
      </c>
      <c r="Q68" s="3204">
        <v>0</v>
      </c>
      <c r="R68" s="3204">
        <v>70</v>
      </c>
    </row>
    <row r="69" spans="1:18" s="3199" customFormat="1">
      <c r="A69" s="3199" t="s">
        <v>3315</v>
      </c>
      <c r="B69" s="3199" t="s">
        <v>3054</v>
      </c>
      <c r="C69" s="3199" t="s">
        <v>3055</v>
      </c>
      <c r="D69" s="3199" t="s">
        <v>2814</v>
      </c>
      <c r="E69" s="3199" t="s">
        <v>3315</v>
      </c>
      <c r="F69" s="3199" t="s">
        <v>3316</v>
      </c>
      <c r="G69" s="3199" t="s">
        <v>3055</v>
      </c>
      <c r="H69" s="3199">
        <v>112889</v>
      </c>
      <c r="I69" s="3199">
        <v>248355.8</v>
      </c>
      <c r="J69" s="3199" t="s">
        <v>3317</v>
      </c>
      <c r="K69" s="3199" t="s">
        <v>3308</v>
      </c>
      <c r="L69" s="3199" t="s">
        <v>3309</v>
      </c>
      <c r="M69" s="3199" t="s">
        <v>3318</v>
      </c>
      <c r="N69" s="3199">
        <v>156988.79</v>
      </c>
      <c r="O69" s="3199">
        <v>927.1</v>
      </c>
      <c r="P69" s="3199">
        <v>6321.11</v>
      </c>
      <c r="Q69" s="3199">
        <v>19.25</v>
      </c>
      <c r="R69" s="3199">
        <v>70</v>
      </c>
    </row>
    <row r="70" spans="1:18">
      <c r="A70" s="3195" t="s">
        <v>3319</v>
      </c>
      <c r="B70" s="3195" t="s">
        <v>3054</v>
      </c>
      <c r="C70" s="3195" t="s">
        <v>3055</v>
      </c>
      <c r="D70" s="3195" t="s">
        <v>2814</v>
      </c>
      <c r="E70" s="3195" t="s">
        <v>3319</v>
      </c>
      <c r="F70" s="3195" t="s">
        <v>3320</v>
      </c>
      <c r="G70" s="3195" t="s">
        <v>3055</v>
      </c>
      <c r="H70" s="3195">
        <v>71324</v>
      </c>
      <c r="I70" s="3195">
        <v>117684.6</v>
      </c>
      <c r="J70" s="3195" t="s">
        <v>3321</v>
      </c>
      <c r="K70" s="3195" t="s">
        <v>3308</v>
      </c>
      <c r="L70" s="3195" t="s">
        <v>3309</v>
      </c>
      <c r="M70" s="3195" t="s">
        <v>3322</v>
      </c>
      <c r="N70" s="3195">
        <v>54142</v>
      </c>
      <c r="O70" s="3195">
        <v>506.07</v>
      </c>
      <c r="P70" s="3195">
        <v>4600.6000000000004</v>
      </c>
      <c r="Q70" s="3195">
        <v>6.98</v>
      </c>
      <c r="R70" s="3195">
        <v>70</v>
      </c>
    </row>
    <row r="71" spans="1:18" s="3199" customFormat="1">
      <c r="A71" s="3199" t="s">
        <v>3323</v>
      </c>
      <c r="B71" s="3199" t="s">
        <v>3054</v>
      </c>
      <c r="C71" s="3199" t="s">
        <v>3055</v>
      </c>
      <c r="D71" s="3199" t="s">
        <v>2814</v>
      </c>
      <c r="E71" s="3199" t="s">
        <v>3323</v>
      </c>
      <c r="F71" s="3199" t="s">
        <v>3324</v>
      </c>
      <c r="G71" s="3199" t="s">
        <v>3055</v>
      </c>
      <c r="H71" s="3199">
        <v>97866</v>
      </c>
      <c r="I71" s="3199">
        <v>244665</v>
      </c>
      <c r="J71" s="3199" t="s">
        <v>3110</v>
      </c>
      <c r="K71" s="3199" t="s">
        <v>3308</v>
      </c>
      <c r="L71" s="3199" t="s">
        <v>3309</v>
      </c>
      <c r="M71" s="3199" t="s">
        <v>3325</v>
      </c>
      <c r="N71" s="3199">
        <v>156640</v>
      </c>
      <c r="O71" s="3199">
        <v>1067.04</v>
      </c>
      <c r="P71" s="3199">
        <v>6402.22</v>
      </c>
      <c r="Q71" s="3199">
        <v>28</v>
      </c>
      <c r="R71" s="3199">
        <v>70</v>
      </c>
    </row>
    <row r="72" spans="1:18" hidden="1">
      <c r="A72" s="3195" t="s">
        <v>3326</v>
      </c>
      <c r="B72" s="3195" t="s">
        <v>3054</v>
      </c>
      <c r="C72" s="3195" t="s">
        <v>3055</v>
      </c>
      <c r="D72" s="3195" t="s">
        <v>2814</v>
      </c>
      <c r="E72" s="3195" t="s">
        <v>3326</v>
      </c>
      <c r="F72" s="3195" t="s">
        <v>3327</v>
      </c>
      <c r="G72" s="3195" t="s">
        <v>3057</v>
      </c>
      <c r="H72" s="3195">
        <v>16514</v>
      </c>
      <c r="I72" s="3195">
        <v>18165.400000000001</v>
      </c>
      <c r="J72" s="3195" t="s">
        <v>3161</v>
      </c>
      <c r="K72" s="3195" t="s">
        <v>3328</v>
      </c>
      <c r="L72" s="3195" t="s">
        <v>3329</v>
      </c>
      <c r="M72" s="3195" t="s">
        <v>3330</v>
      </c>
      <c r="N72" s="3195">
        <v>2477</v>
      </c>
      <c r="O72" s="3195">
        <v>100</v>
      </c>
      <c r="P72" s="3195">
        <v>1363.57</v>
      </c>
      <c r="Q72" s="3195">
        <v>0</v>
      </c>
      <c r="R72" s="3195" t="s">
        <v>3062</v>
      </c>
    </row>
    <row r="73" spans="1:18" hidden="1">
      <c r="A73" s="3195" t="s">
        <v>3331</v>
      </c>
      <c r="B73" s="3195" t="s">
        <v>3054</v>
      </c>
      <c r="C73" s="3195" t="s">
        <v>3055</v>
      </c>
      <c r="D73" s="3195" t="s">
        <v>2814</v>
      </c>
      <c r="E73" s="3195" t="s">
        <v>3331</v>
      </c>
      <c r="F73" s="3195" t="s">
        <v>3332</v>
      </c>
      <c r="G73" s="3195" t="s">
        <v>3057</v>
      </c>
      <c r="H73" s="3195">
        <v>68196</v>
      </c>
      <c r="I73" s="3195">
        <v>136392</v>
      </c>
      <c r="J73" s="3195" t="s">
        <v>3058</v>
      </c>
      <c r="K73" s="3195" t="s">
        <v>3333</v>
      </c>
      <c r="L73" s="3195" t="s">
        <v>3334</v>
      </c>
      <c r="M73" s="3195" t="s">
        <v>3335</v>
      </c>
      <c r="N73" s="3195">
        <v>22504</v>
      </c>
      <c r="O73" s="3195">
        <v>219.99</v>
      </c>
      <c r="P73" s="3195">
        <v>1649.95</v>
      </c>
      <c r="Q73" s="3195">
        <v>0</v>
      </c>
      <c r="R73" s="3195" t="s">
        <v>3062</v>
      </c>
    </row>
    <row r="74" spans="1:18">
      <c r="A74" s="3195" t="s">
        <v>3336</v>
      </c>
      <c r="B74" s="3195" t="s">
        <v>3054</v>
      </c>
      <c r="C74" s="3195" t="s">
        <v>3055</v>
      </c>
      <c r="D74" s="3195" t="s">
        <v>2814</v>
      </c>
      <c r="E74" s="3195" t="s">
        <v>3336</v>
      </c>
      <c r="F74" s="3195" t="s">
        <v>3337</v>
      </c>
      <c r="G74" s="3195" t="s">
        <v>3338</v>
      </c>
      <c r="H74" s="3195">
        <v>8300</v>
      </c>
      <c r="I74" s="3195">
        <v>16517</v>
      </c>
      <c r="J74" s="3195" t="s">
        <v>3339</v>
      </c>
      <c r="K74" s="3195" t="s">
        <v>3333</v>
      </c>
      <c r="L74" s="3195" t="s">
        <v>3340</v>
      </c>
      <c r="M74" s="3195" t="s">
        <v>3341</v>
      </c>
      <c r="N74" s="3195">
        <v>573</v>
      </c>
      <c r="O74" s="3195">
        <v>46.02</v>
      </c>
      <c r="P74" s="3195">
        <v>346.92</v>
      </c>
      <c r="Q74" s="3195">
        <v>0</v>
      </c>
      <c r="R74" s="3195">
        <v>40</v>
      </c>
    </row>
    <row r="75" spans="1:18" hidden="1">
      <c r="A75" s="3195" t="s">
        <v>3331</v>
      </c>
      <c r="B75" s="3195" t="s">
        <v>3054</v>
      </c>
      <c r="C75" s="3195" t="s">
        <v>3055</v>
      </c>
      <c r="D75" s="3195" t="s">
        <v>2814</v>
      </c>
      <c r="E75" s="3195" t="s">
        <v>3331</v>
      </c>
      <c r="F75" s="3195" t="s">
        <v>3342</v>
      </c>
      <c r="G75" s="3195" t="s">
        <v>3057</v>
      </c>
      <c r="H75" s="3195">
        <v>54838</v>
      </c>
      <c r="I75" s="3195">
        <v>109676</v>
      </c>
      <c r="J75" s="3195" t="s">
        <v>3058</v>
      </c>
      <c r="K75" s="3195" t="s">
        <v>3333</v>
      </c>
      <c r="L75" s="3195" t="s">
        <v>3334</v>
      </c>
      <c r="M75" s="3195" t="s">
        <v>3335</v>
      </c>
      <c r="N75" s="3195">
        <v>18097</v>
      </c>
      <c r="O75" s="3195">
        <v>220.01</v>
      </c>
      <c r="P75" s="3195">
        <v>1650.03</v>
      </c>
      <c r="Q75" s="3195">
        <v>0</v>
      </c>
      <c r="R75" s="3195" t="s">
        <v>3062</v>
      </c>
    </row>
    <row r="76" spans="1:18" hidden="1">
      <c r="A76" s="3195" t="s">
        <v>3331</v>
      </c>
      <c r="B76" s="3195" t="s">
        <v>3054</v>
      </c>
      <c r="C76" s="3195" t="s">
        <v>3055</v>
      </c>
      <c r="D76" s="3195" t="s">
        <v>2814</v>
      </c>
      <c r="E76" s="3195" t="s">
        <v>3331</v>
      </c>
      <c r="F76" s="3195" t="s">
        <v>3343</v>
      </c>
      <c r="G76" s="3195" t="s">
        <v>3057</v>
      </c>
      <c r="H76" s="3195">
        <v>68481</v>
      </c>
      <c r="I76" s="3195">
        <v>136962</v>
      </c>
      <c r="J76" s="3195" t="s">
        <v>3058</v>
      </c>
      <c r="K76" s="3195" t="s">
        <v>3333</v>
      </c>
      <c r="L76" s="3195" t="s">
        <v>3334</v>
      </c>
      <c r="M76" s="3195" t="s">
        <v>3335</v>
      </c>
      <c r="N76" s="3195">
        <v>22598</v>
      </c>
      <c r="O76" s="3195">
        <v>219.99</v>
      </c>
      <c r="P76" s="3195">
        <v>1649.95</v>
      </c>
      <c r="Q76" s="3195">
        <v>0</v>
      </c>
      <c r="R76" s="3195" t="s">
        <v>3062</v>
      </c>
    </row>
    <row r="77" spans="1:18">
      <c r="A77" s="3195" t="s">
        <v>3344</v>
      </c>
      <c r="B77" s="3195" t="s">
        <v>3054</v>
      </c>
      <c r="C77" s="3195" t="s">
        <v>3055</v>
      </c>
      <c r="D77" s="3195" t="s">
        <v>2814</v>
      </c>
      <c r="E77" s="3195" t="s">
        <v>3344</v>
      </c>
      <c r="F77" s="3195" t="s">
        <v>3345</v>
      </c>
      <c r="G77" s="3195" t="s">
        <v>3338</v>
      </c>
      <c r="H77" s="3195">
        <v>10071</v>
      </c>
      <c r="I77" s="3195">
        <v>18631.349999999999</v>
      </c>
      <c r="J77" s="3195" t="s">
        <v>3346</v>
      </c>
      <c r="K77" s="3195" t="s">
        <v>3347</v>
      </c>
      <c r="L77" s="3195" t="s">
        <v>3348</v>
      </c>
      <c r="M77" s="3195" t="s">
        <v>3349</v>
      </c>
      <c r="N77" s="3195">
        <v>1086</v>
      </c>
      <c r="O77" s="3195">
        <v>71.89</v>
      </c>
      <c r="P77" s="3195">
        <v>582.88</v>
      </c>
      <c r="Q77" s="3195">
        <v>0</v>
      </c>
      <c r="R77" s="3195">
        <v>40</v>
      </c>
    </row>
    <row r="78" spans="1:18" hidden="1">
      <c r="A78" s="3195" t="s">
        <v>3350</v>
      </c>
      <c r="B78" s="3195" t="s">
        <v>3054</v>
      </c>
      <c r="C78" s="3195" t="s">
        <v>3055</v>
      </c>
      <c r="D78" s="3195" t="s">
        <v>2814</v>
      </c>
      <c r="E78" s="3195" t="s">
        <v>3350</v>
      </c>
      <c r="F78" s="3195" t="s">
        <v>3351</v>
      </c>
      <c r="G78" s="3195" t="s">
        <v>3057</v>
      </c>
      <c r="H78" s="3195">
        <v>40593.1</v>
      </c>
      <c r="I78" s="3195">
        <v>81186.2</v>
      </c>
      <c r="J78" s="3195" t="s">
        <v>3352</v>
      </c>
      <c r="K78" s="3195" t="s">
        <v>3353</v>
      </c>
      <c r="L78" s="3195" t="s">
        <v>3354</v>
      </c>
      <c r="M78" s="3195" t="s">
        <v>3355</v>
      </c>
      <c r="N78" s="3195">
        <v>4986</v>
      </c>
      <c r="O78" s="3195">
        <v>81.89</v>
      </c>
      <c r="P78" s="3195">
        <v>614.13</v>
      </c>
      <c r="Q78" s="3195">
        <v>0</v>
      </c>
      <c r="R78" s="3195" t="s">
        <v>3062</v>
      </c>
    </row>
    <row r="79" spans="1:18" hidden="1">
      <c r="A79" s="3195" t="s">
        <v>3356</v>
      </c>
      <c r="B79" s="3195" t="s">
        <v>3054</v>
      </c>
      <c r="C79" s="3195" t="s">
        <v>3055</v>
      </c>
      <c r="D79" s="3195" t="s">
        <v>2814</v>
      </c>
      <c r="E79" s="3195" t="s">
        <v>3356</v>
      </c>
      <c r="F79" s="3195" t="s">
        <v>3357</v>
      </c>
      <c r="G79" s="3195" t="s">
        <v>3057</v>
      </c>
      <c r="H79" s="3195">
        <v>35564.54</v>
      </c>
      <c r="I79" s="3195">
        <v>71129.08</v>
      </c>
      <c r="J79" s="3195" t="s">
        <v>3352</v>
      </c>
      <c r="K79" s="3195" t="s">
        <v>3353</v>
      </c>
      <c r="L79" s="3195" t="s">
        <v>3354</v>
      </c>
      <c r="M79" s="3195" t="s">
        <v>3355</v>
      </c>
      <c r="N79" s="3195">
        <v>4376</v>
      </c>
      <c r="O79" s="3195">
        <v>82.03</v>
      </c>
      <c r="P79" s="3195">
        <v>615.22</v>
      </c>
      <c r="Q79" s="3195">
        <v>0</v>
      </c>
      <c r="R79" s="3195" t="s">
        <v>3062</v>
      </c>
    </row>
    <row r="80" spans="1:18" hidden="1">
      <c r="A80" s="3195" t="s">
        <v>3358</v>
      </c>
      <c r="B80" s="3195" t="s">
        <v>3054</v>
      </c>
      <c r="C80" s="3195" t="s">
        <v>3055</v>
      </c>
      <c r="D80" s="3195" t="s">
        <v>2814</v>
      </c>
      <c r="E80" s="3195" t="s">
        <v>3358</v>
      </c>
      <c r="F80" s="3195" t="s">
        <v>3359</v>
      </c>
      <c r="G80" s="3195" t="s">
        <v>3057</v>
      </c>
      <c r="H80" s="3195">
        <v>53873</v>
      </c>
      <c r="I80" s="3195">
        <v>107746</v>
      </c>
      <c r="J80" s="3195" t="s">
        <v>3058</v>
      </c>
      <c r="K80" s="3195" t="s">
        <v>3360</v>
      </c>
      <c r="L80" s="3195" t="s">
        <v>3361</v>
      </c>
      <c r="M80" s="3195" t="s">
        <v>3362</v>
      </c>
      <c r="N80" s="3195">
        <v>52100</v>
      </c>
      <c r="O80" s="3195">
        <v>644.73</v>
      </c>
      <c r="P80" s="3195">
        <v>4835.4399999999996</v>
      </c>
      <c r="Q80" s="3195">
        <v>0.74</v>
      </c>
      <c r="R80" s="3195" t="s">
        <v>3062</v>
      </c>
    </row>
    <row r="81" spans="1:18" hidden="1">
      <c r="A81" s="3195" t="s">
        <v>3363</v>
      </c>
      <c r="B81" s="3195" t="s">
        <v>3054</v>
      </c>
      <c r="C81" s="3195" t="s">
        <v>3055</v>
      </c>
      <c r="D81" s="3195" t="s">
        <v>2814</v>
      </c>
      <c r="E81" s="3195" t="s">
        <v>3363</v>
      </c>
      <c r="F81" s="3195" t="s">
        <v>3364</v>
      </c>
      <c r="G81" s="3195" t="s">
        <v>3057</v>
      </c>
      <c r="H81" s="3195">
        <v>6737</v>
      </c>
      <c r="I81" s="3195">
        <v>17516.2</v>
      </c>
      <c r="J81" s="3195" t="s">
        <v>3365</v>
      </c>
      <c r="K81" s="3195" t="s">
        <v>3366</v>
      </c>
      <c r="L81" s="3195" t="s">
        <v>3367</v>
      </c>
      <c r="M81" s="3195" t="s">
        <v>3290</v>
      </c>
      <c r="N81" s="3195">
        <v>4550</v>
      </c>
      <c r="O81" s="3195">
        <v>450.25</v>
      </c>
      <c r="P81" s="3195">
        <v>2597.59</v>
      </c>
      <c r="Q81" s="3195">
        <v>0</v>
      </c>
      <c r="R81" s="3195" t="s">
        <v>3062</v>
      </c>
    </row>
    <row r="82" spans="1:18" hidden="1">
      <c r="A82" s="3195" t="s">
        <v>3368</v>
      </c>
      <c r="B82" s="3195" t="s">
        <v>3054</v>
      </c>
      <c r="C82" s="3195" t="s">
        <v>3055</v>
      </c>
      <c r="D82" s="3195" t="s">
        <v>2814</v>
      </c>
      <c r="E82" s="3195" t="s">
        <v>3368</v>
      </c>
      <c r="F82" s="3195" t="s">
        <v>3369</v>
      </c>
      <c r="G82" s="3195" t="s">
        <v>3057</v>
      </c>
      <c r="H82" s="3195">
        <v>476</v>
      </c>
      <c r="I82" s="3195">
        <v>666.4</v>
      </c>
      <c r="J82" s="3195" t="s">
        <v>3370</v>
      </c>
      <c r="K82" s="3195" t="s">
        <v>3366</v>
      </c>
      <c r="L82" s="3195" t="s">
        <v>3367</v>
      </c>
      <c r="M82" s="3195" t="s">
        <v>3371</v>
      </c>
      <c r="N82" s="3195">
        <v>37</v>
      </c>
      <c r="O82" s="3195" t="s">
        <v>3876</v>
      </c>
      <c r="P82" s="3195">
        <v>555.22</v>
      </c>
      <c r="Q82" s="3195">
        <v>0</v>
      </c>
      <c r="R82" s="3195" t="s">
        <v>3062</v>
      </c>
    </row>
    <row r="83" spans="1:18" hidden="1">
      <c r="A83" s="3195" t="s">
        <v>3372</v>
      </c>
      <c r="B83" s="3195" t="s">
        <v>3054</v>
      </c>
      <c r="C83" s="3195" t="s">
        <v>3055</v>
      </c>
      <c r="D83" s="3195" t="s">
        <v>2814</v>
      </c>
      <c r="E83" s="3195" t="s">
        <v>3372</v>
      </c>
      <c r="F83" s="3195" t="s">
        <v>3373</v>
      </c>
      <c r="G83" s="3195" t="s">
        <v>3057</v>
      </c>
      <c r="H83" s="3195">
        <v>4678</v>
      </c>
      <c r="I83" s="3195">
        <v>25729</v>
      </c>
      <c r="J83" s="3195" t="s">
        <v>3169</v>
      </c>
      <c r="K83" s="3195" t="s">
        <v>3366</v>
      </c>
      <c r="L83" s="3195" t="s">
        <v>3367</v>
      </c>
      <c r="M83" s="3195" t="s">
        <v>3374</v>
      </c>
      <c r="N83" s="3195">
        <v>3558</v>
      </c>
      <c r="O83" s="3195">
        <v>507.05</v>
      </c>
      <c r="P83" s="3195">
        <v>1382.88</v>
      </c>
      <c r="Q83" s="3195">
        <v>0</v>
      </c>
      <c r="R83" s="3195" t="s">
        <v>3062</v>
      </c>
    </row>
    <row r="84" spans="1:18" hidden="1">
      <c r="A84" s="3195" t="s">
        <v>3368</v>
      </c>
      <c r="B84" s="3195" t="s">
        <v>3054</v>
      </c>
      <c r="C84" s="3195" t="s">
        <v>3055</v>
      </c>
      <c r="D84" s="3195" t="s">
        <v>2814</v>
      </c>
      <c r="E84" s="3195" t="s">
        <v>3368</v>
      </c>
      <c r="F84" s="3195" t="s">
        <v>3375</v>
      </c>
      <c r="G84" s="3195" t="s">
        <v>3057</v>
      </c>
      <c r="H84" s="3195">
        <v>7447</v>
      </c>
      <c r="I84" s="3195">
        <v>10425.799999999999</v>
      </c>
      <c r="J84" s="3195" t="s">
        <v>3370</v>
      </c>
      <c r="K84" s="3195" t="s">
        <v>3366</v>
      </c>
      <c r="L84" s="3195" t="s">
        <v>3367</v>
      </c>
      <c r="M84" s="3195" t="s">
        <v>3371</v>
      </c>
      <c r="N84" s="3195">
        <v>579</v>
      </c>
      <c r="O84" s="3195">
        <v>51.83</v>
      </c>
      <c r="P84" s="3195">
        <v>555.35</v>
      </c>
      <c r="Q84" s="3195">
        <v>0</v>
      </c>
      <c r="R84" s="3195" t="s">
        <v>3062</v>
      </c>
    </row>
    <row r="85" spans="1:18" hidden="1">
      <c r="A85" s="3195" t="s">
        <v>3376</v>
      </c>
      <c r="B85" s="3195" t="s">
        <v>3054</v>
      </c>
      <c r="C85" s="3195" t="s">
        <v>3055</v>
      </c>
      <c r="D85" s="3195" t="s">
        <v>2814</v>
      </c>
      <c r="E85" s="3195" t="s">
        <v>3376</v>
      </c>
      <c r="F85" s="3195" t="s">
        <v>3377</v>
      </c>
      <c r="G85" s="3195" t="s">
        <v>3057</v>
      </c>
      <c r="H85" s="3195">
        <v>1568</v>
      </c>
      <c r="I85" s="3195">
        <v>3136</v>
      </c>
      <c r="J85" s="3195" t="s">
        <v>3058</v>
      </c>
      <c r="K85" s="3195" t="s">
        <v>3366</v>
      </c>
      <c r="L85" s="3195" t="s">
        <v>3367</v>
      </c>
      <c r="M85" s="3195" t="s">
        <v>3378</v>
      </c>
      <c r="N85" s="3195">
        <v>2350</v>
      </c>
      <c r="O85" s="3195">
        <v>999.15</v>
      </c>
      <c r="P85" s="3195">
        <v>7493.61</v>
      </c>
      <c r="Q85" s="3195">
        <v>0</v>
      </c>
      <c r="R85" s="3195" t="s">
        <v>3062</v>
      </c>
    </row>
    <row r="86" spans="1:18" hidden="1">
      <c r="A86" s="3195" t="s">
        <v>3379</v>
      </c>
      <c r="B86" s="3195" t="s">
        <v>3054</v>
      </c>
      <c r="C86" s="3195" t="s">
        <v>3055</v>
      </c>
      <c r="D86" s="3195" t="s">
        <v>2814</v>
      </c>
      <c r="E86" s="3195" t="s">
        <v>3379</v>
      </c>
      <c r="F86" s="3195" t="s">
        <v>3380</v>
      </c>
      <c r="G86" s="3195" t="s">
        <v>3057</v>
      </c>
      <c r="H86" s="3195">
        <v>2815</v>
      </c>
      <c r="I86" s="3195">
        <v>7037.5</v>
      </c>
      <c r="J86" s="3195" t="s">
        <v>3065</v>
      </c>
      <c r="K86" s="3195" t="s">
        <v>3366</v>
      </c>
      <c r="L86" s="3195" t="s">
        <v>3367</v>
      </c>
      <c r="M86" s="3195" t="s">
        <v>3381</v>
      </c>
      <c r="N86" s="3195">
        <v>4220</v>
      </c>
      <c r="O86" s="3195">
        <v>999.41</v>
      </c>
      <c r="P86" s="3195">
        <v>5996.44</v>
      </c>
      <c r="Q86" s="3195">
        <v>0</v>
      </c>
      <c r="R86" s="3195" t="s">
        <v>3062</v>
      </c>
    </row>
    <row r="87" spans="1:18" hidden="1">
      <c r="A87" s="3195" t="s">
        <v>3382</v>
      </c>
      <c r="B87" s="3195" t="s">
        <v>3054</v>
      </c>
      <c r="C87" s="3195" t="s">
        <v>3055</v>
      </c>
      <c r="D87" s="3195" t="s">
        <v>2814</v>
      </c>
      <c r="E87" s="3195" t="s">
        <v>3382</v>
      </c>
      <c r="F87" s="3195" t="s">
        <v>3383</v>
      </c>
      <c r="G87" s="3195" t="s">
        <v>3057</v>
      </c>
      <c r="H87" s="3195">
        <v>63792</v>
      </c>
      <c r="I87" s="3195">
        <v>127584</v>
      </c>
      <c r="J87" s="3195" t="s">
        <v>3058</v>
      </c>
      <c r="K87" s="3195" t="s">
        <v>3366</v>
      </c>
      <c r="L87" s="3195" t="s">
        <v>3367</v>
      </c>
      <c r="M87" s="3195" t="s">
        <v>3384</v>
      </c>
      <c r="N87" s="3195">
        <v>5231</v>
      </c>
      <c r="O87" s="3195">
        <v>54.67</v>
      </c>
      <c r="P87" s="3195">
        <v>410</v>
      </c>
      <c r="Q87" s="3195">
        <v>0</v>
      </c>
      <c r="R87" s="3195" t="s">
        <v>3062</v>
      </c>
    </row>
    <row r="88" spans="1:18" hidden="1">
      <c r="A88" s="3195" t="s">
        <v>3385</v>
      </c>
      <c r="B88" s="3195" t="s">
        <v>3054</v>
      </c>
      <c r="C88" s="3195" t="s">
        <v>3055</v>
      </c>
      <c r="D88" s="3195" t="s">
        <v>2814</v>
      </c>
      <c r="E88" s="3195" t="s">
        <v>3385</v>
      </c>
      <c r="F88" s="3195" t="s">
        <v>3386</v>
      </c>
      <c r="G88" s="3195" t="s">
        <v>3057</v>
      </c>
      <c r="H88" s="3195">
        <v>52384</v>
      </c>
      <c r="I88" s="3195">
        <v>130960</v>
      </c>
      <c r="J88" s="3195" t="s">
        <v>3065</v>
      </c>
      <c r="K88" s="3195" t="s">
        <v>3366</v>
      </c>
      <c r="L88" s="3195" t="s">
        <v>3367</v>
      </c>
      <c r="M88" s="3195" t="s">
        <v>3381</v>
      </c>
      <c r="N88" s="3195">
        <v>79080</v>
      </c>
      <c r="O88" s="3195">
        <v>1006.41</v>
      </c>
      <c r="P88" s="3195">
        <v>6038.48</v>
      </c>
      <c r="Q88" s="3195">
        <v>0.64</v>
      </c>
      <c r="R88" s="3195" t="s">
        <v>3062</v>
      </c>
    </row>
    <row r="89" spans="1:18" hidden="1">
      <c r="A89" s="3195" t="s">
        <v>3387</v>
      </c>
      <c r="B89" s="3195" t="s">
        <v>3054</v>
      </c>
      <c r="C89" s="3195" t="s">
        <v>3055</v>
      </c>
      <c r="D89" s="3195" t="s">
        <v>2814</v>
      </c>
      <c r="E89" s="3195" t="s">
        <v>3387</v>
      </c>
      <c r="F89" s="3195" t="s">
        <v>3388</v>
      </c>
      <c r="G89" s="3195" t="s">
        <v>3057</v>
      </c>
      <c r="H89" s="3195">
        <v>16086</v>
      </c>
      <c r="I89" s="3195">
        <v>32172</v>
      </c>
      <c r="J89" s="3195" t="s">
        <v>3058</v>
      </c>
      <c r="K89" s="3195" t="s">
        <v>3366</v>
      </c>
      <c r="L89" s="3195" t="s">
        <v>3367</v>
      </c>
      <c r="M89" s="3195" t="s">
        <v>3061</v>
      </c>
      <c r="N89" s="3195">
        <v>1271</v>
      </c>
      <c r="O89" s="3195">
        <v>52.68</v>
      </c>
      <c r="P89" s="3195">
        <v>395.06</v>
      </c>
      <c r="Q89" s="3195">
        <v>0</v>
      </c>
      <c r="R89" s="3195" t="s">
        <v>3062</v>
      </c>
    </row>
    <row r="90" spans="1:18" hidden="1">
      <c r="A90" s="3195" t="s">
        <v>3389</v>
      </c>
      <c r="B90" s="3195" t="s">
        <v>3054</v>
      </c>
      <c r="C90" s="3195" t="s">
        <v>3055</v>
      </c>
      <c r="D90" s="3195" t="s">
        <v>2814</v>
      </c>
      <c r="E90" s="3195" t="s">
        <v>3389</v>
      </c>
      <c r="F90" s="3195" t="s">
        <v>3390</v>
      </c>
      <c r="G90" s="3195" t="s">
        <v>3057</v>
      </c>
      <c r="H90" s="3195">
        <v>6454</v>
      </c>
      <c r="I90" s="3195">
        <v>10326.4</v>
      </c>
      <c r="J90" s="3195" t="s">
        <v>3196</v>
      </c>
      <c r="K90" s="3195" t="s">
        <v>3366</v>
      </c>
      <c r="L90" s="3195" t="s">
        <v>3367</v>
      </c>
      <c r="M90" s="3195" t="s">
        <v>3391</v>
      </c>
      <c r="N90" s="3195">
        <v>1307</v>
      </c>
      <c r="O90" s="3195">
        <v>135.01</v>
      </c>
      <c r="P90" s="3195">
        <v>1265.69</v>
      </c>
      <c r="Q90" s="3195">
        <v>0</v>
      </c>
      <c r="R90" s="3195" t="s">
        <v>3062</v>
      </c>
    </row>
    <row r="91" spans="1:18" hidden="1">
      <c r="A91" s="3195" t="s">
        <v>3392</v>
      </c>
      <c r="B91" s="3195" t="s">
        <v>3054</v>
      </c>
      <c r="C91" s="3195" t="s">
        <v>3055</v>
      </c>
      <c r="D91" s="3195" t="s">
        <v>2814</v>
      </c>
      <c r="E91" s="3195" t="s">
        <v>3392</v>
      </c>
      <c r="F91" s="3195" t="s">
        <v>3393</v>
      </c>
      <c r="G91" s="3195" t="s">
        <v>3057</v>
      </c>
      <c r="H91" s="3195">
        <v>67422</v>
      </c>
      <c r="I91" s="3195">
        <v>148328.4</v>
      </c>
      <c r="J91" s="3195" t="s">
        <v>3113</v>
      </c>
      <c r="K91" s="3195" t="s">
        <v>3366</v>
      </c>
      <c r="L91" s="3195" t="s">
        <v>3367</v>
      </c>
      <c r="M91" s="3195" t="s">
        <v>3394</v>
      </c>
      <c r="N91" s="3195">
        <v>7281</v>
      </c>
      <c r="O91" s="3195">
        <v>71.989999999999995</v>
      </c>
      <c r="P91" s="3195">
        <v>490.87</v>
      </c>
      <c r="Q91" s="3195">
        <v>0</v>
      </c>
      <c r="R91" s="3195" t="s">
        <v>3062</v>
      </c>
    </row>
    <row r="92" spans="1:18" hidden="1">
      <c r="A92" s="3195" t="s">
        <v>3387</v>
      </c>
      <c r="B92" s="3195" t="s">
        <v>3054</v>
      </c>
      <c r="C92" s="3195" t="s">
        <v>3055</v>
      </c>
      <c r="D92" s="3195" t="s">
        <v>2814</v>
      </c>
      <c r="E92" s="3195" t="s">
        <v>3387</v>
      </c>
      <c r="F92" s="3195" t="s">
        <v>3395</v>
      </c>
      <c r="G92" s="3195" t="s">
        <v>3057</v>
      </c>
      <c r="H92" s="3195">
        <v>10565</v>
      </c>
      <c r="I92" s="3195">
        <v>21130</v>
      </c>
      <c r="J92" s="3195" t="s">
        <v>3058</v>
      </c>
      <c r="K92" s="3195" t="s">
        <v>3366</v>
      </c>
      <c r="L92" s="3195" t="s">
        <v>3367</v>
      </c>
      <c r="M92" s="3195" t="s">
        <v>3061</v>
      </c>
      <c r="N92" s="3195">
        <v>835</v>
      </c>
      <c r="O92" s="3195">
        <v>52.69</v>
      </c>
      <c r="P92" s="3195">
        <v>395.17</v>
      </c>
      <c r="Q92" s="3195">
        <v>0</v>
      </c>
      <c r="R92" s="3195" t="s">
        <v>3062</v>
      </c>
    </row>
    <row r="93" spans="1:18" hidden="1">
      <c r="A93" s="3195" t="s">
        <v>3392</v>
      </c>
      <c r="B93" s="3195" t="s">
        <v>3054</v>
      </c>
      <c r="C93" s="3195" t="s">
        <v>3055</v>
      </c>
      <c r="D93" s="3195" t="s">
        <v>2814</v>
      </c>
      <c r="E93" s="3195" t="s">
        <v>3392</v>
      </c>
      <c r="F93" s="3195" t="s">
        <v>3396</v>
      </c>
      <c r="G93" s="3195" t="s">
        <v>3057</v>
      </c>
      <c r="H93" s="3195">
        <v>57586</v>
      </c>
      <c r="I93" s="3195">
        <v>126689.2</v>
      </c>
      <c r="J93" s="3195" t="s">
        <v>3113</v>
      </c>
      <c r="K93" s="3195" t="s">
        <v>3366</v>
      </c>
      <c r="L93" s="3195" t="s">
        <v>3367</v>
      </c>
      <c r="M93" s="3195" t="s">
        <v>3394</v>
      </c>
      <c r="N93" s="3195">
        <v>6219</v>
      </c>
      <c r="O93" s="3195">
        <v>72</v>
      </c>
      <c r="P93" s="3195">
        <v>490.88</v>
      </c>
      <c r="Q93" s="3195">
        <v>0</v>
      </c>
      <c r="R93" s="3195" t="s">
        <v>3062</v>
      </c>
    </row>
    <row r="94" spans="1:18" hidden="1">
      <c r="A94" s="3195" t="s">
        <v>3389</v>
      </c>
      <c r="B94" s="3195" t="s">
        <v>3054</v>
      </c>
      <c r="C94" s="3195" t="s">
        <v>3055</v>
      </c>
      <c r="D94" s="3195" t="s">
        <v>2814</v>
      </c>
      <c r="E94" s="3195" t="s">
        <v>3389</v>
      </c>
      <c r="F94" s="3195" t="s">
        <v>3397</v>
      </c>
      <c r="G94" s="3195" t="s">
        <v>3057</v>
      </c>
      <c r="H94" s="3195">
        <v>896</v>
      </c>
      <c r="I94" s="3195">
        <v>1433.6</v>
      </c>
      <c r="J94" s="3195" t="s">
        <v>3196</v>
      </c>
      <c r="K94" s="3195" t="s">
        <v>3366</v>
      </c>
      <c r="L94" s="3195" t="s">
        <v>3367</v>
      </c>
      <c r="M94" s="3195" t="s">
        <v>3391</v>
      </c>
      <c r="N94" s="3195">
        <v>181</v>
      </c>
      <c r="O94" s="3195">
        <v>134.66999999999999</v>
      </c>
      <c r="P94" s="3195">
        <v>1262.55</v>
      </c>
      <c r="Q94" s="3195">
        <v>0</v>
      </c>
      <c r="R94" s="3195" t="s">
        <v>3062</v>
      </c>
    </row>
    <row r="95" spans="1:18" hidden="1">
      <c r="A95" s="3195" t="s">
        <v>3398</v>
      </c>
      <c r="B95" s="3195" t="s">
        <v>3054</v>
      </c>
      <c r="C95" s="3195" t="s">
        <v>3055</v>
      </c>
      <c r="D95" s="3195" t="s">
        <v>2814</v>
      </c>
      <c r="E95" s="3195" t="s">
        <v>3398</v>
      </c>
      <c r="F95" s="3195" t="s">
        <v>3399</v>
      </c>
      <c r="G95" s="3195" t="s">
        <v>3057</v>
      </c>
      <c r="H95" s="3195">
        <v>2651</v>
      </c>
      <c r="I95" s="3195">
        <v>5036.8999999999996</v>
      </c>
      <c r="J95" s="3195" t="s">
        <v>3289</v>
      </c>
      <c r="K95" s="3195" t="s">
        <v>3366</v>
      </c>
      <c r="L95" s="3195" t="s">
        <v>3367</v>
      </c>
      <c r="M95" s="3195" t="s">
        <v>3290</v>
      </c>
      <c r="N95" s="3195">
        <v>1791</v>
      </c>
      <c r="O95" s="3195">
        <v>450.4</v>
      </c>
      <c r="P95" s="3195">
        <v>3555.76</v>
      </c>
      <c r="Q95" s="3195">
        <v>0</v>
      </c>
      <c r="R95" s="3195" t="s">
        <v>3062</v>
      </c>
    </row>
    <row r="96" spans="1:18" hidden="1">
      <c r="A96" s="3195" t="s">
        <v>3392</v>
      </c>
      <c r="B96" s="3195" t="s">
        <v>3054</v>
      </c>
      <c r="C96" s="3195" t="s">
        <v>3055</v>
      </c>
      <c r="D96" s="3195" t="s">
        <v>2814</v>
      </c>
      <c r="E96" s="3195" t="s">
        <v>3392</v>
      </c>
      <c r="F96" s="3195" t="s">
        <v>3400</v>
      </c>
      <c r="G96" s="3195" t="s">
        <v>3057</v>
      </c>
      <c r="H96" s="3195">
        <v>67505</v>
      </c>
      <c r="I96" s="3195">
        <v>148511</v>
      </c>
      <c r="J96" s="3195" t="s">
        <v>3113</v>
      </c>
      <c r="K96" s="3195" t="s">
        <v>3366</v>
      </c>
      <c r="L96" s="3195" t="s">
        <v>3367</v>
      </c>
      <c r="M96" s="3195" t="s">
        <v>3394</v>
      </c>
      <c r="N96" s="3195">
        <v>7291</v>
      </c>
      <c r="O96" s="3195">
        <v>72</v>
      </c>
      <c r="P96" s="3195">
        <v>490.93</v>
      </c>
      <c r="Q96" s="3195">
        <v>0</v>
      </c>
      <c r="R96" s="3195" t="s">
        <v>3062</v>
      </c>
    </row>
    <row r="97" spans="1:18">
      <c r="A97" s="3195" t="s">
        <v>3401</v>
      </c>
      <c r="B97" s="3195" t="s">
        <v>3054</v>
      </c>
      <c r="C97" s="3195" t="s">
        <v>3055</v>
      </c>
      <c r="D97" s="3195" t="s">
        <v>2814</v>
      </c>
      <c r="E97" s="3195" t="s">
        <v>3401</v>
      </c>
      <c r="F97" s="3195" t="s">
        <v>3402</v>
      </c>
      <c r="G97" s="3195" t="s">
        <v>3403</v>
      </c>
      <c r="H97" s="3195">
        <v>111717</v>
      </c>
      <c r="I97" s="3195">
        <v>206676.5</v>
      </c>
      <c r="J97" s="3195" t="s">
        <v>3346</v>
      </c>
      <c r="K97" s="3195" t="s">
        <v>3404</v>
      </c>
      <c r="L97" s="3195" t="s">
        <v>3405</v>
      </c>
      <c r="M97" s="3195" t="s">
        <v>3219</v>
      </c>
      <c r="N97" s="3195">
        <v>14000</v>
      </c>
      <c r="O97" s="3195">
        <v>83.54</v>
      </c>
      <c r="P97" s="3195">
        <v>677.38</v>
      </c>
      <c r="Q97" s="3195">
        <v>1.45</v>
      </c>
      <c r="R97" s="3195">
        <v>70</v>
      </c>
    </row>
    <row r="98" spans="1:18">
      <c r="A98" s="3195" t="s">
        <v>3344</v>
      </c>
      <c r="B98" s="3195" t="s">
        <v>3054</v>
      </c>
      <c r="C98" s="3195" t="s">
        <v>3055</v>
      </c>
      <c r="D98" s="3195" t="s">
        <v>2814</v>
      </c>
      <c r="E98" s="3195" t="s">
        <v>3344</v>
      </c>
      <c r="F98" s="3195" t="s">
        <v>3406</v>
      </c>
      <c r="G98" s="3195" t="s">
        <v>3080</v>
      </c>
      <c r="H98" s="3195">
        <v>9542</v>
      </c>
      <c r="I98" s="3195">
        <v>16030.56</v>
      </c>
      <c r="J98" s="3195" t="s">
        <v>3407</v>
      </c>
      <c r="K98" s="3195" t="s">
        <v>3408</v>
      </c>
      <c r="L98" s="3195" t="s">
        <v>3409</v>
      </c>
      <c r="M98" s="3195" t="s">
        <v>3410</v>
      </c>
      <c r="N98" s="3195">
        <v>802</v>
      </c>
      <c r="O98" s="3195">
        <v>56.03</v>
      </c>
      <c r="P98" s="3195">
        <v>500.29</v>
      </c>
      <c r="Q98" s="3195">
        <v>0</v>
      </c>
      <c r="R98" s="3195">
        <v>40</v>
      </c>
    </row>
    <row r="99" spans="1:18" hidden="1">
      <c r="A99" s="3195" t="s">
        <v>3411</v>
      </c>
      <c r="B99" s="3195" t="s">
        <v>3054</v>
      </c>
      <c r="C99" s="3195" t="s">
        <v>3055</v>
      </c>
      <c r="D99" s="3195" t="s">
        <v>2814</v>
      </c>
      <c r="E99" s="3195" t="s">
        <v>3411</v>
      </c>
      <c r="F99" s="3195" t="s">
        <v>3412</v>
      </c>
      <c r="G99" s="3195" t="s">
        <v>3269</v>
      </c>
      <c r="H99" s="3195">
        <v>53339.83</v>
      </c>
      <c r="I99" s="3195">
        <v>174954.6</v>
      </c>
      <c r="J99" s="3195" t="s">
        <v>3413</v>
      </c>
      <c r="K99" s="3195" t="s">
        <v>3414</v>
      </c>
      <c r="L99" s="3195" t="s">
        <v>3415</v>
      </c>
      <c r="M99" s="3195" t="s">
        <v>3416</v>
      </c>
      <c r="N99" s="3195">
        <v>35605</v>
      </c>
      <c r="O99" s="3195">
        <v>445.01</v>
      </c>
      <c r="P99" s="3195">
        <v>2035.09</v>
      </c>
      <c r="Q99" s="3195">
        <v>23.61</v>
      </c>
      <c r="R99" s="3195" t="s">
        <v>3062</v>
      </c>
    </row>
    <row r="100" spans="1:18" hidden="1">
      <c r="A100" s="3195" t="s">
        <v>3417</v>
      </c>
      <c r="B100" s="3195" t="s">
        <v>3054</v>
      </c>
      <c r="C100" s="3195" t="s">
        <v>3055</v>
      </c>
      <c r="D100" s="3195" t="s">
        <v>2814</v>
      </c>
      <c r="E100" s="3195" t="s">
        <v>3417</v>
      </c>
      <c r="F100" s="3195" t="s">
        <v>3418</v>
      </c>
      <c r="G100" s="3195" t="s">
        <v>3269</v>
      </c>
      <c r="H100" s="3195">
        <v>67785.55</v>
      </c>
      <c r="I100" s="3195">
        <v>135571.1</v>
      </c>
      <c r="J100" s="3195" t="s">
        <v>3352</v>
      </c>
      <c r="K100" s="3195" t="s">
        <v>3414</v>
      </c>
      <c r="L100" s="3195" t="s">
        <v>3415</v>
      </c>
      <c r="M100" s="3195" t="s">
        <v>3419</v>
      </c>
      <c r="N100" s="3195">
        <v>30808</v>
      </c>
      <c r="O100" s="3195">
        <v>302.99</v>
      </c>
      <c r="P100" s="3195">
        <v>2272.46</v>
      </c>
      <c r="Q100" s="3195">
        <v>0</v>
      </c>
      <c r="R100" s="3195" t="s">
        <v>3062</v>
      </c>
    </row>
    <row r="101" spans="1:18" hidden="1">
      <c r="A101" s="3195" t="s">
        <v>3420</v>
      </c>
      <c r="B101" s="3195" t="s">
        <v>3054</v>
      </c>
      <c r="C101" s="3195" t="s">
        <v>3055</v>
      </c>
      <c r="D101" s="3195" t="s">
        <v>2814</v>
      </c>
      <c r="E101" s="3195" t="s">
        <v>3420</v>
      </c>
      <c r="F101" s="3195" t="s">
        <v>3421</v>
      </c>
      <c r="G101" s="3195" t="s">
        <v>3057</v>
      </c>
      <c r="H101" s="3195">
        <v>21119.66</v>
      </c>
      <c r="I101" s="3195">
        <v>49631.199999999997</v>
      </c>
      <c r="J101" s="3195" t="s">
        <v>3422</v>
      </c>
      <c r="K101" s="3195" t="s">
        <v>3414</v>
      </c>
      <c r="L101" s="3195" t="s">
        <v>3415</v>
      </c>
      <c r="M101" s="3195" t="s">
        <v>3423</v>
      </c>
      <c r="N101" s="3195">
        <v>1426</v>
      </c>
      <c r="O101" s="3195">
        <v>45.01</v>
      </c>
      <c r="P101" s="3195">
        <v>287.31</v>
      </c>
      <c r="Q101" s="3195">
        <v>0</v>
      </c>
      <c r="R101" s="3195" t="s">
        <v>3062</v>
      </c>
    </row>
    <row r="102" spans="1:18" hidden="1">
      <c r="A102" s="3196" t="s">
        <v>3424</v>
      </c>
      <c r="B102" s="3196" t="s">
        <v>3054</v>
      </c>
      <c r="C102" s="3196" t="s">
        <v>3055</v>
      </c>
      <c r="D102" s="3196" t="s">
        <v>2814</v>
      </c>
      <c r="E102" s="3196" t="s">
        <v>3424</v>
      </c>
      <c r="F102" s="3196" t="s">
        <v>3425</v>
      </c>
      <c r="G102" s="3196" t="s">
        <v>3269</v>
      </c>
      <c r="H102" s="3196">
        <v>38982.82</v>
      </c>
      <c r="I102" s="3196">
        <v>62372.51</v>
      </c>
      <c r="J102" s="3196" t="s">
        <v>3426</v>
      </c>
      <c r="K102" s="3196" t="s">
        <v>3414</v>
      </c>
      <c r="L102" s="3196" t="s">
        <v>3415</v>
      </c>
      <c r="M102" s="3196" t="s">
        <v>3419</v>
      </c>
      <c r="N102" s="3196">
        <v>17041</v>
      </c>
      <c r="O102" s="3196">
        <v>291.43</v>
      </c>
      <c r="P102" s="3196">
        <v>2732.13</v>
      </c>
      <c r="Q102" s="3196">
        <v>0</v>
      </c>
      <c r="R102" s="3196" t="s">
        <v>3062</v>
      </c>
    </row>
    <row r="103" spans="1:18" hidden="1">
      <c r="A103" s="3196" t="s">
        <v>3424</v>
      </c>
      <c r="B103" s="3196" t="s">
        <v>3054</v>
      </c>
      <c r="C103" s="3196" t="s">
        <v>3055</v>
      </c>
      <c r="D103" s="3196" t="s">
        <v>2814</v>
      </c>
      <c r="E103" s="3196" t="s">
        <v>3424</v>
      </c>
      <c r="F103" s="3196" t="s">
        <v>3427</v>
      </c>
      <c r="G103" s="3196" t="s">
        <v>3269</v>
      </c>
      <c r="H103" s="3196">
        <v>56610.35</v>
      </c>
      <c r="I103" s="3196">
        <v>90576.56</v>
      </c>
      <c r="J103" s="3196" t="s">
        <v>3426</v>
      </c>
      <c r="K103" s="3196" t="s">
        <v>3414</v>
      </c>
      <c r="L103" s="3196" t="s">
        <v>3415</v>
      </c>
      <c r="M103" s="3196" t="s">
        <v>3419</v>
      </c>
      <c r="N103" s="3196">
        <v>24796</v>
      </c>
      <c r="O103" s="3196">
        <v>292.01</v>
      </c>
      <c r="P103" s="3196">
        <v>2737.57</v>
      </c>
      <c r="Q103" s="3196">
        <v>0</v>
      </c>
      <c r="R103" s="3196" t="s">
        <v>3062</v>
      </c>
    </row>
    <row r="104" spans="1:18" hidden="1">
      <c r="A104" s="3196" t="s">
        <v>3417</v>
      </c>
      <c r="B104" s="3196" t="s">
        <v>3054</v>
      </c>
      <c r="C104" s="3196" t="s">
        <v>3055</v>
      </c>
      <c r="D104" s="3196" t="s">
        <v>2814</v>
      </c>
      <c r="E104" s="3196" t="s">
        <v>3417</v>
      </c>
      <c r="F104" s="3196" t="s">
        <v>3428</v>
      </c>
      <c r="G104" s="3196" t="s">
        <v>3269</v>
      </c>
      <c r="H104" s="3196">
        <v>17405.89</v>
      </c>
      <c r="I104" s="3196">
        <v>34811.78</v>
      </c>
      <c r="J104" s="3196" t="s">
        <v>3352</v>
      </c>
      <c r="K104" s="3196" t="s">
        <v>3414</v>
      </c>
      <c r="L104" s="3196" t="s">
        <v>3415</v>
      </c>
      <c r="M104" s="3196" t="s">
        <v>3419</v>
      </c>
      <c r="N104" s="3196">
        <v>7911</v>
      </c>
      <c r="O104" s="3196">
        <v>303</v>
      </c>
      <c r="P104" s="3196">
        <v>2272.5100000000002</v>
      </c>
      <c r="Q104" s="3196">
        <v>0</v>
      </c>
      <c r="R104" s="3196" t="s">
        <v>3062</v>
      </c>
    </row>
    <row r="105" spans="1:18" s="3199" customFormat="1">
      <c r="A105" s="3199" t="s">
        <v>3429</v>
      </c>
      <c r="B105" s="3199" t="s">
        <v>3054</v>
      </c>
      <c r="C105" s="3199" t="s">
        <v>3055</v>
      </c>
      <c r="D105" s="3199" t="s">
        <v>2814</v>
      </c>
      <c r="E105" s="3199" t="s">
        <v>3429</v>
      </c>
      <c r="F105" s="3199" t="s">
        <v>3430</v>
      </c>
      <c r="G105" s="3199" t="s">
        <v>3055</v>
      </c>
      <c r="H105" s="3199">
        <v>66145</v>
      </c>
      <c r="I105" s="3199">
        <v>132290</v>
      </c>
      <c r="J105" s="3199" t="s">
        <v>3313</v>
      </c>
      <c r="K105" s="3199" t="s">
        <v>3431</v>
      </c>
      <c r="L105" s="3199" t="s">
        <v>3432</v>
      </c>
      <c r="M105" s="3199" t="s">
        <v>3433</v>
      </c>
      <c r="N105" s="3199">
        <v>74032</v>
      </c>
      <c r="O105" s="3199">
        <v>746.16</v>
      </c>
      <c r="P105" s="3199">
        <v>5596.18</v>
      </c>
      <c r="Q105" s="3199">
        <v>55.56</v>
      </c>
      <c r="R105" s="3199">
        <v>70</v>
      </c>
    </row>
    <row r="106" spans="1:18">
      <c r="A106" s="3196" t="s">
        <v>3434</v>
      </c>
      <c r="B106" s="3196" t="s">
        <v>3054</v>
      </c>
      <c r="C106" s="3196" t="s">
        <v>3055</v>
      </c>
      <c r="D106" s="3196" t="s">
        <v>2814</v>
      </c>
      <c r="E106" s="3196" t="s">
        <v>3434</v>
      </c>
      <c r="F106" s="3196" t="s">
        <v>3435</v>
      </c>
      <c r="G106" s="3196" t="s">
        <v>3055</v>
      </c>
      <c r="H106" s="3196">
        <v>29755</v>
      </c>
      <c r="I106" s="3196">
        <v>56534.5</v>
      </c>
      <c r="J106" s="3196" t="s">
        <v>3100</v>
      </c>
      <c r="K106" s="3196" t="s">
        <v>3431</v>
      </c>
      <c r="L106" s="3196" t="s">
        <v>3432</v>
      </c>
      <c r="M106" s="3196" t="s">
        <v>3436</v>
      </c>
      <c r="N106" s="3196">
        <v>26262.400000000001</v>
      </c>
      <c r="O106" s="3196">
        <v>588.41</v>
      </c>
      <c r="P106" s="3196">
        <v>4645.38</v>
      </c>
      <c r="Q106" s="3196">
        <v>45</v>
      </c>
      <c r="R106" s="3196">
        <v>70</v>
      </c>
    </row>
    <row r="107" spans="1:18" s="3199" customFormat="1">
      <c r="A107" s="3199" t="s">
        <v>3437</v>
      </c>
      <c r="B107" s="3199" t="s">
        <v>3054</v>
      </c>
      <c r="C107" s="3199" t="s">
        <v>3055</v>
      </c>
      <c r="D107" s="3199" t="s">
        <v>2814</v>
      </c>
      <c r="E107" s="3199" t="s">
        <v>3437</v>
      </c>
      <c r="F107" s="3199" t="s">
        <v>3438</v>
      </c>
      <c r="G107" s="3199" t="s">
        <v>3055</v>
      </c>
      <c r="H107" s="3199">
        <v>70766</v>
      </c>
      <c r="I107" s="3199">
        <v>165592.44</v>
      </c>
      <c r="J107" s="3199" t="s">
        <v>3439</v>
      </c>
      <c r="K107" s="3199" t="s">
        <v>3431</v>
      </c>
      <c r="L107" s="3199" t="s">
        <v>3432</v>
      </c>
      <c r="M107" s="3199" t="s">
        <v>3440</v>
      </c>
      <c r="N107" s="3199">
        <v>71380</v>
      </c>
      <c r="O107" s="3199">
        <v>672.45</v>
      </c>
      <c r="P107" s="3199">
        <v>4310.57</v>
      </c>
      <c r="Q107" s="3199">
        <v>43.33</v>
      </c>
      <c r="R107" s="3199">
        <v>70</v>
      </c>
    </row>
    <row r="108" spans="1:18">
      <c r="A108" s="3196" t="s">
        <v>3441</v>
      </c>
      <c r="B108" s="3196" t="s">
        <v>3054</v>
      </c>
      <c r="C108" s="3196" t="s">
        <v>3055</v>
      </c>
      <c r="D108" s="3196" t="s">
        <v>2814</v>
      </c>
      <c r="E108" s="3196" t="s">
        <v>3441</v>
      </c>
      <c r="F108" s="3196" t="s">
        <v>3442</v>
      </c>
      <c r="G108" s="3196" t="s">
        <v>3055</v>
      </c>
      <c r="H108" s="3196">
        <v>121940</v>
      </c>
      <c r="I108" s="3196">
        <v>158522</v>
      </c>
      <c r="J108" s="3196" t="s">
        <v>3223</v>
      </c>
      <c r="K108" s="3196" t="s">
        <v>3431</v>
      </c>
      <c r="L108" s="3196" t="s">
        <v>3432</v>
      </c>
      <c r="M108" s="3196" t="s">
        <v>3325</v>
      </c>
      <c r="N108" s="3196">
        <v>104358.8</v>
      </c>
      <c r="O108" s="3196">
        <v>570.54999999999995</v>
      </c>
      <c r="P108" s="3196">
        <v>6583.23</v>
      </c>
      <c r="Q108" s="3196">
        <v>1.23</v>
      </c>
      <c r="R108" s="3196">
        <v>70</v>
      </c>
    </row>
    <row r="109" spans="1:18">
      <c r="A109" s="3196" t="s">
        <v>3443</v>
      </c>
      <c r="B109" s="3196" t="s">
        <v>3054</v>
      </c>
      <c r="C109" s="3196" t="s">
        <v>3055</v>
      </c>
      <c r="D109" s="3196" t="s">
        <v>2814</v>
      </c>
      <c r="E109" s="3196" t="s">
        <v>3443</v>
      </c>
      <c r="F109" s="3196" t="s">
        <v>3444</v>
      </c>
      <c r="G109" s="3196" t="s">
        <v>3055</v>
      </c>
      <c r="H109" s="3196">
        <v>105088</v>
      </c>
      <c r="I109" s="3196">
        <v>136614.39999999999</v>
      </c>
      <c r="J109" s="3196" t="s">
        <v>3223</v>
      </c>
      <c r="K109" s="3196" t="s">
        <v>3431</v>
      </c>
      <c r="L109" s="3196" t="s">
        <v>3432</v>
      </c>
      <c r="M109" s="3196" t="s">
        <v>3445</v>
      </c>
      <c r="N109" s="3196">
        <v>90429.19</v>
      </c>
      <c r="O109" s="3196">
        <v>573.66999999999996</v>
      </c>
      <c r="P109" s="3196">
        <v>6619.3</v>
      </c>
      <c r="Q109" s="3196">
        <v>1.85</v>
      </c>
      <c r="R109" s="3196">
        <v>70</v>
      </c>
    </row>
    <row r="110" spans="1:18" s="3199" customFormat="1">
      <c r="A110" s="3199" t="s">
        <v>3446</v>
      </c>
      <c r="B110" s="3199" t="s">
        <v>3054</v>
      </c>
      <c r="C110" s="3199" t="s">
        <v>3055</v>
      </c>
      <c r="D110" s="3199" t="s">
        <v>2814</v>
      </c>
      <c r="E110" s="3199" t="s">
        <v>3446</v>
      </c>
      <c r="F110" s="3199" t="s">
        <v>3447</v>
      </c>
      <c r="G110" s="3199" t="s">
        <v>3055</v>
      </c>
      <c r="H110" s="3199">
        <v>35069</v>
      </c>
      <c r="I110" s="3199">
        <v>112220.8</v>
      </c>
      <c r="J110" s="3199" t="s">
        <v>3448</v>
      </c>
      <c r="K110" s="3199" t="s">
        <v>3431</v>
      </c>
      <c r="L110" s="3199" t="s">
        <v>3432</v>
      </c>
      <c r="M110" s="3199" t="s">
        <v>3449</v>
      </c>
      <c r="N110" s="3199">
        <v>94976</v>
      </c>
      <c r="O110" s="3199">
        <v>1805.51</v>
      </c>
      <c r="P110" s="3199">
        <v>8463.31</v>
      </c>
      <c r="Q110" s="3199">
        <v>76.67</v>
      </c>
      <c r="R110" s="3199">
        <v>70</v>
      </c>
    </row>
    <row r="111" spans="1:18">
      <c r="A111" s="3196" t="s">
        <v>3450</v>
      </c>
      <c r="B111" s="3196" t="s">
        <v>3054</v>
      </c>
      <c r="C111" s="3196" t="s">
        <v>3055</v>
      </c>
      <c r="D111" s="3196" t="s">
        <v>2814</v>
      </c>
      <c r="E111" s="3196" t="s">
        <v>3450</v>
      </c>
      <c r="F111" s="3196" t="s">
        <v>3451</v>
      </c>
      <c r="G111" s="3196" t="s">
        <v>3055</v>
      </c>
      <c r="H111" s="3196">
        <v>79789</v>
      </c>
      <c r="I111" s="3196">
        <v>107715.15</v>
      </c>
      <c r="J111" s="3196" t="s">
        <v>3452</v>
      </c>
      <c r="K111" s="3196" t="s">
        <v>3431</v>
      </c>
      <c r="L111" s="3196" t="s">
        <v>3432</v>
      </c>
      <c r="M111" s="3196" t="s">
        <v>3453</v>
      </c>
      <c r="N111" s="3196">
        <v>59665.8</v>
      </c>
      <c r="O111" s="3196">
        <v>498.53</v>
      </c>
      <c r="P111" s="3196">
        <v>5539.22</v>
      </c>
      <c r="Q111" s="3196">
        <v>0.73</v>
      </c>
      <c r="R111" s="3196">
        <v>70</v>
      </c>
    </row>
    <row r="112" spans="1:18" s="3199" customFormat="1">
      <c r="A112" s="3199" t="s">
        <v>3454</v>
      </c>
      <c r="B112" s="3199" t="s">
        <v>3054</v>
      </c>
      <c r="C112" s="3199" t="s">
        <v>3055</v>
      </c>
      <c r="D112" s="3199" t="s">
        <v>2814</v>
      </c>
      <c r="E112" s="3199" t="s">
        <v>3454</v>
      </c>
      <c r="F112" s="3199" t="s">
        <v>3455</v>
      </c>
      <c r="G112" s="3199" t="s">
        <v>3055</v>
      </c>
      <c r="H112" s="3199">
        <v>40974</v>
      </c>
      <c r="I112" s="3199">
        <v>86455.14</v>
      </c>
      <c r="J112" s="3199" t="s">
        <v>3456</v>
      </c>
      <c r="K112" s="3199" t="s">
        <v>3431</v>
      </c>
      <c r="L112" s="3199" t="s">
        <v>3432</v>
      </c>
      <c r="M112" s="3199" t="s">
        <v>3457</v>
      </c>
      <c r="N112" s="3199">
        <v>38925</v>
      </c>
      <c r="O112" s="3199">
        <v>633.33000000000004</v>
      </c>
      <c r="P112" s="3199">
        <v>4502.32</v>
      </c>
      <c r="Q112" s="3199">
        <v>50</v>
      </c>
      <c r="R112" s="3199">
        <v>70</v>
      </c>
    </row>
    <row r="113" spans="1:18" hidden="1">
      <c r="A113" s="3196" t="s">
        <v>3458</v>
      </c>
      <c r="B113" s="3196" t="s">
        <v>3054</v>
      </c>
      <c r="C113" s="3196" t="s">
        <v>3055</v>
      </c>
      <c r="D113" s="3196" t="s">
        <v>2814</v>
      </c>
      <c r="E113" s="3196" t="s">
        <v>3458</v>
      </c>
      <c r="F113" s="3196" t="s">
        <v>3459</v>
      </c>
      <c r="G113" s="3196" t="s">
        <v>3269</v>
      </c>
      <c r="H113" s="3196">
        <v>1898.49</v>
      </c>
      <c r="I113" s="3196">
        <v>2297.17</v>
      </c>
      <c r="J113" s="3196" t="s">
        <v>3460</v>
      </c>
      <c r="K113" s="3196" t="s">
        <v>3461</v>
      </c>
      <c r="L113" s="3196" t="s">
        <v>3462</v>
      </c>
      <c r="M113" s="3196" t="s">
        <v>3463</v>
      </c>
      <c r="N113" s="3196">
        <v>854</v>
      </c>
      <c r="O113" s="3196">
        <v>299.89</v>
      </c>
      <c r="P113" s="3196">
        <v>3717.61</v>
      </c>
      <c r="Q113" s="3196">
        <v>0</v>
      </c>
      <c r="R113" s="3196" t="s">
        <v>3062</v>
      </c>
    </row>
    <row r="114" spans="1:18" hidden="1">
      <c r="A114" s="3196" t="s">
        <v>3464</v>
      </c>
      <c r="B114" s="3196" t="s">
        <v>3054</v>
      </c>
      <c r="C114" s="3196" t="s">
        <v>3055</v>
      </c>
      <c r="D114" s="3196" t="s">
        <v>2814</v>
      </c>
      <c r="E114" s="3196" t="s">
        <v>3464</v>
      </c>
      <c r="F114" s="3196" t="s">
        <v>3465</v>
      </c>
      <c r="G114" s="3196" t="s">
        <v>3269</v>
      </c>
      <c r="H114" s="3196">
        <v>6306.51</v>
      </c>
      <c r="I114" s="3196">
        <v>8198.4599999999991</v>
      </c>
      <c r="J114" s="3196" t="s">
        <v>3466</v>
      </c>
      <c r="K114" s="3196" t="s">
        <v>3461</v>
      </c>
      <c r="L114" s="3196" t="s">
        <v>3462</v>
      </c>
      <c r="M114" s="3196" t="s">
        <v>3467</v>
      </c>
      <c r="N114" s="3196">
        <v>2412</v>
      </c>
      <c r="O114" s="3196">
        <v>254.97</v>
      </c>
      <c r="P114" s="3196">
        <v>2942.01</v>
      </c>
      <c r="Q114" s="3196">
        <v>0</v>
      </c>
      <c r="R114" s="3196" t="s">
        <v>3062</v>
      </c>
    </row>
    <row r="115" spans="1:18" hidden="1">
      <c r="A115" s="3196" t="s">
        <v>3468</v>
      </c>
      <c r="B115" s="3196" t="s">
        <v>3054</v>
      </c>
      <c r="C115" s="3196" t="s">
        <v>3055</v>
      </c>
      <c r="D115" s="3196" t="s">
        <v>2814</v>
      </c>
      <c r="E115" s="3196" t="s">
        <v>3468</v>
      </c>
      <c r="F115" s="3196" t="s">
        <v>3469</v>
      </c>
      <c r="G115" s="3196" t="s">
        <v>3269</v>
      </c>
      <c r="H115" s="3196">
        <v>5767.92</v>
      </c>
      <c r="I115" s="3196">
        <v>8075.09</v>
      </c>
      <c r="J115" s="3196" t="s">
        <v>3470</v>
      </c>
      <c r="K115" s="3196" t="s">
        <v>3461</v>
      </c>
      <c r="L115" s="3196" t="s">
        <v>3462</v>
      </c>
      <c r="M115" s="3196" t="s">
        <v>3273</v>
      </c>
      <c r="N115" s="3196">
        <v>2639</v>
      </c>
      <c r="O115" s="3196">
        <v>305.02</v>
      </c>
      <c r="P115" s="3196">
        <v>3268.07</v>
      </c>
      <c r="Q115" s="3196">
        <v>0</v>
      </c>
      <c r="R115" s="3196" t="s">
        <v>3062</v>
      </c>
    </row>
    <row r="116" spans="1:18" s="3201" customFormat="1">
      <c r="A116" s="3201" t="s">
        <v>3471</v>
      </c>
      <c r="B116" s="3201" t="s">
        <v>3054</v>
      </c>
      <c r="C116" s="3201" t="s">
        <v>3055</v>
      </c>
      <c r="D116" s="3201" t="s">
        <v>2814</v>
      </c>
      <c r="E116" s="3201" t="s">
        <v>3471</v>
      </c>
      <c r="F116" s="3201" t="s">
        <v>3472</v>
      </c>
      <c r="G116" s="3201" t="s">
        <v>3176</v>
      </c>
      <c r="H116" s="3201">
        <v>43376</v>
      </c>
      <c r="I116" s="3201">
        <v>114946.4</v>
      </c>
      <c r="J116" s="3201" t="s">
        <v>3473</v>
      </c>
      <c r="K116" s="3201" t="s">
        <v>3474</v>
      </c>
      <c r="L116" s="3201" t="s">
        <v>3475</v>
      </c>
      <c r="M116" s="3201" t="s">
        <v>3476</v>
      </c>
      <c r="N116" s="3201">
        <v>3579</v>
      </c>
      <c r="O116" s="3201">
        <v>55.01</v>
      </c>
      <c r="P116" s="3201">
        <v>311.36</v>
      </c>
      <c r="Q116" s="3201">
        <v>0</v>
      </c>
      <c r="R116" s="3201">
        <v>40</v>
      </c>
    </row>
    <row r="117" spans="1:18" s="3201" customFormat="1">
      <c r="A117" s="3201" t="s">
        <v>3477</v>
      </c>
      <c r="B117" s="3201" t="s">
        <v>3054</v>
      </c>
      <c r="C117" s="3201" t="s">
        <v>3055</v>
      </c>
      <c r="D117" s="3201" t="s">
        <v>2814</v>
      </c>
      <c r="E117" s="3201" t="s">
        <v>3477</v>
      </c>
      <c r="F117" s="3201" t="s">
        <v>3478</v>
      </c>
      <c r="G117" s="3201" t="s">
        <v>3176</v>
      </c>
      <c r="H117" s="3201">
        <v>86040</v>
      </c>
      <c r="I117" s="3201">
        <v>191869.2</v>
      </c>
      <c r="J117" s="3201" t="s">
        <v>3479</v>
      </c>
      <c r="K117" s="3201" t="s">
        <v>3474</v>
      </c>
      <c r="L117" s="3201" t="s">
        <v>3475</v>
      </c>
      <c r="M117" s="3201" t="s">
        <v>3304</v>
      </c>
      <c r="N117" s="3201">
        <v>8002</v>
      </c>
      <c r="O117" s="3201">
        <v>62</v>
      </c>
      <c r="P117" s="3201">
        <v>417.05</v>
      </c>
      <c r="Q117" s="3201">
        <v>0</v>
      </c>
      <c r="R117" s="3201">
        <v>40</v>
      </c>
    </row>
    <row r="118" spans="1:18" s="3201" customFormat="1">
      <c r="A118" s="3201" t="s">
        <v>3344</v>
      </c>
      <c r="B118" s="3201" t="s">
        <v>3054</v>
      </c>
      <c r="C118" s="3201" t="s">
        <v>3055</v>
      </c>
      <c r="D118" s="3201" t="s">
        <v>2814</v>
      </c>
      <c r="E118" s="3201" t="s">
        <v>3344</v>
      </c>
      <c r="F118" s="3201" t="s">
        <v>3480</v>
      </c>
      <c r="G118" s="3201" t="s">
        <v>3176</v>
      </c>
      <c r="H118" s="3201">
        <v>56173</v>
      </c>
      <c r="I118" s="3201">
        <v>107852.16</v>
      </c>
      <c r="J118" s="3201" t="s">
        <v>3481</v>
      </c>
      <c r="K118" s="3201" t="s">
        <v>3474</v>
      </c>
      <c r="L118" s="3201" t="s">
        <v>3475</v>
      </c>
      <c r="M118" s="3201" t="s">
        <v>3482</v>
      </c>
      <c r="N118" s="3201">
        <v>6320</v>
      </c>
      <c r="O118" s="3201">
        <v>75.010000000000005</v>
      </c>
      <c r="P118" s="3201">
        <v>585.99</v>
      </c>
      <c r="Q118" s="3201">
        <v>0</v>
      </c>
      <c r="R118" s="3201">
        <v>40</v>
      </c>
    </row>
    <row r="119" spans="1:18" s="3201" customFormat="1">
      <c r="A119" s="3201" t="s">
        <v>3477</v>
      </c>
      <c r="B119" s="3201" t="s">
        <v>3054</v>
      </c>
      <c r="C119" s="3201" t="s">
        <v>3055</v>
      </c>
      <c r="D119" s="3201" t="s">
        <v>2814</v>
      </c>
      <c r="E119" s="3201" t="s">
        <v>3477</v>
      </c>
      <c r="F119" s="3201" t="s">
        <v>3483</v>
      </c>
      <c r="G119" s="3201" t="s">
        <v>3176</v>
      </c>
      <c r="H119" s="3201">
        <v>105579</v>
      </c>
      <c r="I119" s="3201">
        <v>216436.95</v>
      </c>
      <c r="J119" s="3201" t="s">
        <v>3484</v>
      </c>
      <c r="K119" s="3201" t="s">
        <v>3474</v>
      </c>
      <c r="L119" s="3201" t="s">
        <v>3475</v>
      </c>
      <c r="M119" s="3201" t="s">
        <v>3304</v>
      </c>
      <c r="N119" s="3201">
        <v>9819</v>
      </c>
      <c r="O119" s="3201">
        <v>62</v>
      </c>
      <c r="P119" s="3201">
        <v>453.67</v>
      </c>
      <c r="Q119" s="3201">
        <v>0</v>
      </c>
      <c r="R119" s="3201">
        <v>40</v>
      </c>
    </row>
    <row r="120" spans="1:18" s="3201" customFormat="1">
      <c r="A120" s="3201" t="s">
        <v>3344</v>
      </c>
      <c r="B120" s="3201" t="s">
        <v>3054</v>
      </c>
      <c r="C120" s="3201" t="s">
        <v>3055</v>
      </c>
      <c r="D120" s="3201" t="s">
        <v>2814</v>
      </c>
      <c r="E120" s="3201" t="s">
        <v>3344</v>
      </c>
      <c r="F120" s="3201" t="s">
        <v>3485</v>
      </c>
      <c r="G120" s="3201" t="s">
        <v>3176</v>
      </c>
      <c r="H120" s="3201">
        <v>41507</v>
      </c>
      <c r="I120" s="3201">
        <v>63505.71</v>
      </c>
      <c r="J120" s="3201" t="s">
        <v>3486</v>
      </c>
      <c r="K120" s="3201" t="s">
        <v>3474</v>
      </c>
      <c r="L120" s="3201" t="s">
        <v>3475</v>
      </c>
      <c r="M120" s="3201" t="s">
        <v>3482</v>
      </c>
      <c r="N120" s="3201">
        <v>4670</v>
      </c>
      <c r="O120" s="3201">
        <v>75.010000000000005</v>
      </c>
      <c r="P120" s="3201">
        <v>735.37</v>
      </c>
      <c r="Q120" s="3201">
        <v>0</v>
      </c>
      <c r="R120" s="3201">
        <v>40</v>
      </c>
    </row>
    <row r="121" spans="1:18" hidden="1">
      <c r="A121" s="3196" t="s">
        <v>3487</v>
      </c>
      <c r="B121" s="3196" t="s">
        <v>3054</v>
      </c>
      <c r="C121" s="3196" t="s">
        <v>3055</v>
      </c>
      <c r="D121" s="3196" t="s">
        <v>2814</v>
      </c>
      <c r="E121" s="3196" t="s">
        <v>3487</v>
      </c>
      <c r="F121" s="3196" t="s">
        <v>3488</v>
      </c>
      <c r="G121" s="3196" t="s">
        <v>3057</v>
      </c>
      <c r="H121" s="3196">
        <v>18160</v>
      </c>
      <c r="I121" s="3196">
        <v>49032</v>
      </c>
      <c r="J121" s="3196" t="s">
        <v>3489</v>
      </c>
      <c r="K121" s="3196" t="s">
        <v>3490</v>
      </c>
      <c r="L121" s="3196" t="s">
        <v>3491</v>
      </c>
      <c r="M121" s="3196" t="s">
        <v>3492</v>
      </c>
      <c r="N121" s="3196">
        <v>5448</v>
      </c>
      <c r="O121" s="3196">
        <v>200</v>
      </c>
      <c r="P121" s="3196">
        <v>1111.0999999999999</v>
      </c>
      <c r="Q121" s="3196">
        <v>0</v>
      </c>
      <c r="R121" s="3196" t="s">
        <v>3062</v>
      </c>
    </row>
    <row r="122" spans="1:18" s="3201" customFormat="1">
      <c r="A122" s="3201" t="s">
        <v>3493</v>
      </c>
      <c r="B122" s="3201" t="s">
        <v>3054</v>
      </c>
      <c r="C122" s="3201" t="s">
        <v>3055</v>
      </c>
      <c r="D122" s="3201" t="s">
        <v>2814</v>
      </c>
      <c r="E122" s="3201" t="s">
        <v>3493</v>
      </c>
      <c r="F122" s="3201" t="s">
        <v>3494</v>
      </c>
      <c r="G122" s="3201" t="s">
        <v>3057</v>
      </c>
      <c r="H122" s="3201">
        <v>2615</v>
      </c>
      <c r="I122" s="3201">
        <v>6537.5</v>
      </c>
      <c r="J122" s="3201" t="s">
        <v>3495</v>
      </c>
      <c r="K122" s="3201" t="s">
        <v>3496</v>
      </c>
      <c r="L122" s="3201" t="s">
        <v>3497</v>
      </c>
      <c r="M122" s="3201" t="s">
        <v>3498</v>
      </c>
      <c r="N122" s="3201">
        <v>1180</v>
      </c>
      <c r="O122" s="3201">
        <v>300.83</v>
      </c>
      <c r="P122" s="3201">
        <v>1804.97</v>
      </c>
      <c r="Q122" s="3201">
        <v>0</v>
      </c>
      <c r="R122" s="3201" t="s">
        <v>3062</v>
      </c>
    </row>
    <row r="123" spans="1:18">
      <c r="A123" s="3196" t="s">
        <v>3499</v>
      </c>
      <c r="B123" s="3196" t="s">
        <v>3054</v>
      </c>
      <c r="C123" s="3196" t="s">
        <v>3055</v>
      </c>
      <c r="D123" s="3196" t="s">
        <v>2814</v>
      </c>
      <c r="E123" s="3196" t="s">
        <v>3499</v>
      </c>
      <c r="F123" s="3196" t="s">
        <v>3500</v>
      </c>
      <c r="G123" s="3196" t="s">
        <v>3057</v>
      </c>
      <c r="H123" s="3196">
        <v>30365</v>
      </c>
      <c r="I123" s="3196">
        <v>39474.5</v>
      </c>
      <c r="J123" s="3196" t="s">
        <v>3501</v>
      </c>
      <c r="K123" s="3196" t="s">
        <v>3496</v>
      </c>
      <c r="L123" s="3196" t="s">
        <v>3497</v>
      </c>
      <c r="M123" s="3196" t="s">
        <v>3502</v>
      </c>
      <c r="N123" s="3196">
        <v>2280</v>
      </c>
      <c r="O123" s="3196">
        <v>50.06</v>
      </c>
      <c r="P123" s="3196">
        <v>577.59</v>
      </c>
      <c r="Q123" s="3196">
        <v>0</v>
      </c>
      <c r="R123" s="3196" t="s">
        <v>3062</v>
      </c>
    </row>
    <row r="124" spans="1:18">
      <c r="A124" s="3196" t="s">
        <v>3499</v>
      </c>
      <c r="B124" s="3196" t="s">
        <v>3054</v>
      </c>
      <c r="C124" s="3196" t="s">
        <v>3055</v>
      </c>
      <c r="D124" s="3196" t="s">
        <v>2814</v>
      </c>
      <c r="E124" s="3196" t="s">
        <v>3499</v>
      </c>
      <c r="F124" s="3196" t="s">
        <v>3503</v>
      </c>
      <c r="G124" s="3196" t="s">
        <v>3057</v>
      </c>
      <c r="H124" s="3196">
        <v>29560</v>
      </c>
      <c r="I124" s="3196">
        <v>38428</v>
      </c>
      <c r="J124" s="3196" t="s">
        <v>3501</v>
      </c>
      <c r="K124" s="3196" t="s">
        <v>3496</v>
      </c>
      <c r="L124" s="3196" t="s">
        <v>3497</v>
      </c>
      <c r="M124" s="3196" t="s">
        <v>3502</v>
      </c>
      <c r="N124" s="3196">
        <v>2220</v>
      </c>
      <c r="O124" s="3196">
        <v>50.07</v>
      </c>
      <c r="P124" s="3196">
        <v>577.70000000000005</v>
      </c>
      <c r="Q124" s="3196">
        <v>0</v>
      </c>
      <c r="R124" s="3196" t="s">
        <v>3062</v>
      </c>
    </row>
    <row r="125" spans="1:18">
      <c r="A125" s="3196" t="s">
        <v>3504</v>
      </c>
      <c r="B125" s="3196" t="s">
        <v>3054</v>
      </c>
      <c r="C125" s="3196" t="s">
        <v>3055</v>
      </c>
      <c r="D125" s="3196" t="s">
        <v>2814</v>
      </c>
      <c r="E125" s="3196" t="s">
        <v>3504</v>
      </c>
      <c r="F125" s="3196" t="s">
        <v>3505</v>
      </c>
      <c r="G125" s="3196" t="s">
        <v>3057</v>
      </c>
      <c r="H125" s="3196">
        <v>44892</v>
      </c>
      <c r="I125" s="3196">
        <v>80805.600000000006</v>
      </c>
      <c r="J125" s="3196" t="s">
        <v>3506</v>
      </c>
      <c r="K125" s="3196" t="s">
        <v>3496</v>
      </c>
      <c r="L125" s="3196" t="s">
        <v>3497</v>
      </c>
      <c r="M125" s="3196" t="s">
        <v>3498</v>
      </c>
      <c r="N125" s="3196">
        <v>5390</v>
      </c>
      <c r="O125" s="3196">
        <v>80.040000000000006</v>
      </c>
      <c r="P125" s="3196">
        <v>667.02</v>
      </c>
      <c r="Q125" s="3196">
        <v>0</v>
      </c>
      <c r="R125" s="3196" t="s">
        <v>3062</v>
      </c>
    </row>
    <row r="126" spans="1:18" s="3201" customFormat="1">
      <c r="A126" s="3201" t="s">
        <v>3507</v>
      </c>
      <c r="B126" s="3201" t="s">
        <v>3054</v>
      </c>
      <c r="C126" s="3201" t="s">
        <v>3055</v>
      </c>
      <c r="D126" s="3201" t="s">
        <v>2814</v>
      </c>
      <c r="E126" s="3201" t="s">
        <v>3507</v>
      </c>
      <c r="F126" s="3201" t="s">
        <v>3508</v>
      </c>
      <c r="G126" s="3201" t="s">
        <v>3057</v>
      </c>
      <c r="H126" s="3201">
        <v>9505</v>
      </c>
      <c r="I126" s="3201">
        <v>23762.5</v>
      </c>
      <c r="J126" s="3201" t="s">
        <v>3495</v>
      </c>
      <c r="K126" s="3201" t="s">
        <v>3496</v>
      </c>
      <c r="L126" s="3201" t="s">
        <v>3497</v>
      </c>
      <c r="M126" s="3201" t="s">
        <v>3509</v>
      </c>
      <c r="N126" s="3201">
        <v>2140</v>
      </c>
      <c r="O126" s="3201">
        <v>150.1</v>
      </c>
      <c r="P126" s="3201">
        <v>900.58</v>
      </c>
      <c r="Q126" s="3201">
        <v>0</v>
      </c>
      <c r="R126" s="3201" t="s">
        <v>3062</v>
      </c>
    </row>
    <row r="127" spans="1:18" s="3201" customFormat="1">
      <c r="A127" s="3201" t="s">
        <v>3510</v>
      </c>
      <c r="B127" s="3201" t="s">
        <v>3054</v>
      </c>
      <c r="C127" s="3201" t="s">
        <v>3055</v>
      </c>
      <c r="D127" s="3201" t="s">
        <v>2814</v>
      </c>
      <c r="E127" s="3201" t="s">
        <v>3510</v>
      </c>
      <c r="F127" s="3201" t="s">
        <v>3511</v>
      </c>
      <c r="G127" s="3201" t="s">
        <v>3057</v>
      </c>
      <c r="H127" s="3201">
        <v>29970</v>
      </c>
      <c r="I127" s="3201">
        <v>89910</v>
      </c>
      <c r="J127" s="3201" t="s">
        <v>3512</v>
      </c>
      <c r="K127" s="3201" t="s">
        <v>3496</v>
      </c>
      <c r="L127" s="3201" t="s">
        <v>3497</v>
      </c>
      <c r="M127" s="3201" t="s">
        <v>3498</v>
      </c>
      <c r="N127" s="3201">
        <v>11240</v>
      </c>
      <c r="O127" s="3201">
        <v>250.03</v>
      </c>
      <c r="P127" s="3201">
        <v>1250.1400000000001</v>
      </c>
      <c r="Q127" s="3201">
        <v>0</v>
      </c>
      <c r="R127" s="3201" t="s">
        <v>3062</v>
      </c>
    </row>
    <row r="128" spans="1:18" s="3201" customFormat="1">
      <c r="A128" s="3201" t="s">
        <v>3513</v>
      </c>
      <c r="B128" s="3201" t="s">
        <v>3054</v>
      </c>
      <c r="C128" s="3201" t="s">
        <v>3055</v>
      </c>
      <c r="D128" s="3201" t="s">
        <v>2814</v>
      </c>
      <c r="E128" s="3201" t="s">
        <v>3513</v>
      </c>
      <c r="F128" s="3201" t="s">
        <v>3514</v>
      </c>
      <c r="G128" s="3201" t="s">
        <v>3057</v>
      </c>
      <c r="H128" s="3201">
        <v>2904</v>
      </c>
      <c r="I128" s="3201">
        <v>7260</v>
      </c>
      <c r="J128" s="3201" t="s">
        <v>3495</v>
      </c>
      <c r="K128" s="3201" t="s">
        <v>3496</v>
      </c>
      <c r="L128" s="3201" t="s">
        <v>3497</v>
      </c>
      <c r="M128" s="3201" t="s">
        <v>3498</v>
      </c>
      <c r="N128" s="3201">
        <v>1530</v>
      </c>
      <c r="O128" s="3201">
        <v>351.24</v>
      </c>
      <c r="P128" s="3201">
        <v>2107.44</v>
      </c>
      <c r="Q128" s="3201">
        <v>0</v>
      </c>
      <c r="R128" s="3201" t="s">
        <v>3062</v>
      </c>
    </row>
    <row r="129" spans="1:18">
      <c r="A129" s="3196" t="s">
        <v>3336</v>
      </c>
      <c r="B129" s="3196" t="s">
        <v>3054</v>
      </c>
      <c r="C129" s="3196" t="s">
        <v>3055</v>
      </c>
      <c r="D129" s="3196" t="s">
        <v>2814</v>
      </c>
      <c r="E129" s="3196" t="s">
        <v>3336</v>
      </c>
      <c r="F129" s="3196" t="s">
        <v>3515</v>
      </c>
      <c r="G129" s="3196" t="s">
        <v>3516</v>
      </c>
      <c r="H129" s="3196">
        <v>19339</v>
      </c>
      <c r="I129" s="3196">
        <v>30942.400000000001</v>
      </c>
      <c r="J129" s="3196" t="s">
        <v>3517</v>
      </c>
      <c r="K129" s="3196" t="s">
        <v>3518</v>
      </c>
      <c r="L129" s="3196" t="s">
        <v>3519</v>
      </c>
      <c r="M129" s="3196" t="s">
        <v>3304</v>
      </c>
      <c r="N129" s="3196">
        <v>1002</v>
      </c>
      <c r="O129" s="3196">
        <v>34.54</v>
      </c>
      <c r="P129" s="3196">
        <v>323.82</v>
      </c>
      <c r="Q129" s="3196">
        <v>0</v>
      </c>
      <c r="R129" s="3196">
        <v>40</v>
      </c>
    </row>
    <row r="130" spans="1:18" hidden="1">
      <c r="A130" s="3196" t="s">
        <v>3520</v>
      </c>
      <c r="B130" s="3196" t="s">
        <v>3054</v>
      </c>
      <c r="C130" s="3196" t="s">
        <v>3055</v>
      </c>
      <c r="D130" s="3196" t="s">
        <v>2814</v>
      </c>
      <c r="E130" s="3196" t="s">
        <v>3520</v>
      </c>
      <c r="F130" s="3196" t="s">
        <v>3521</v>
      </c>
      <c r="G130" s="3196" t="s">
        <v>3057</v>
      </c>
      <c r="H130" s="3196">
        <v>61593</v>
      </c>
      <c r="I130" s="3196">
        <v>141663.9</v>
      </c>
      <c r="J130" s="3196" t="s">
        <v>3522</v>
      </c>
      <c r="K130" s="3196" t="s">
        <v>3523</v>
      </c>
      <c r="L130" s="3196" t="s">
        <v>3524</v>
      </c>
      <c r="M130" s="3196" t="s">
        <v>3525</v>
      </c>
      <c r="N130" s="3196">
        <v>18478</v>
      </c>
      <c r="O130" s="3196">
        <v>200</v>
      </c>
      <c r="P130" s="3196">
        <v>1304.3399999999999</v>
      </c>
      <c r="Q130" s="3196">
        <v>0</v>
      </c>
      <c r="R130" s="3196" t="s">
        <v>3062</v>
      </c>
    </row>
    <row r="131" spans="1:18" hidden="1">
      <c r="A131" s="3196" t="s">
        <v>3526</v>
      </c>
      <c r="B131" s="3196" t="s">
        <v>3054</v>
      </c>
      <c r="C131" s="3196" t="s">
        <v>3055</v>
      </c>
      <c r="D131" s="3196" t="s">
        <v>2814</v>
      </c>
      <c r="E131" s="3196" t="s">
        <v>3526</v>
      </c>
      <c r="F131" s="3196" t="s">
        <v>3527</v>
      </c>
      <c r="G131" s="3196" t="s">
        <v>3057</v>
      </c>
      <c r="H131" s="3196">
        <v>26269</v>
      </c>
      <c r="I131" s="3196">
        <v>55164.9</v>
      </c>
      <c r="J131" s="3196" t="s">
        <v>3528</v>
      </c>
      <c r="K131" s="3196" t="s">
        <v>3523</v>
      </c>
      <c r="L131" s="3196" t="s">
        <v>3524</v>
      </c>
      <c r="M131" s="3196" t="s">
        <v>3525</v>
      </c>
      <c r="N131" s="3196">
        <v>7880</v>
      </c>
      <c r="O131" s="3196">
        <v>199.98</v>
      </c>
      <c r="P131" s="3196">
        <v>1428.44</v>
      </c>
      <c r="Q131" s="3196">
        <v>0</v>
      </c>
      <c r="R131" s="3196" t="s">
        <v>3062</v>
      </c>
    </row>
    <row r="132" spans="1:18" hidden="1">
      <c r="A132" s="3196" t="s">
        <v>3529</v>
      </c>
      <c r="B132" s="3196" t="s">
        <v>3054</v>
      </c>
      <c r="C132" s="3196" t="s">
        <v>3055</v>
      </c>
      <c r="D132" s="3196" t="s">
        <v>2814</v>
      </c>
      <c r="E132" s="3196" t="s">
        <v>3529</v>
      </c>
      <c r="F132" s="3196" t="s">
        <v>3530</v>
      </c>
      <c r="G132" s="3196" t="s">
        <v>3057</v>
      </c>
      <c r="H132" s="3196">
        <v>47050</v>
      </c>
      <c r="I132" s="3196">
        <v>98805</v>
      </c>
      <c r="J132" s="3196" t="s">
        <v>3528</v>
      </c>
      <c r="K132" s="3196" t="s">
        <v>3523</v>
      </c>
      <c r="L132" s="3196" t="s">
        <v>3524</v>
      </c>
      <c r="M132" s="3196" t="s">
        <v>3525</v>
      </c>
      <c r="N132" s="3196">
        <v>14116</v>
      </c>
      <c r="O132" s="3196">
        <v>200.01</v>
      </c>
      <c r="P132" s="3196">
        <v>1428.67</v>
      </c>
      <c r="Q132" s="3196">
        <v>0</v>
      </c>
      <c r="R132" s="3196" t="s">
        <v>3062</v>
      </c>
    </row>
    <row r="133" spans="1:18" hidden="1">
      <c r="A133" s="3196" t="s">
        <v>3531</v>
      </c>
      <c r="B133" s="3196" t="s">
        <v>3054</v>
      </c>
      <c r="C133" s="3196" t="s">
        <v>3055</v>
      </c>
      <c r="D133" s="3196" t="s">
        <v>2814</v>
      </c>
      <c r="E133" s="3196" t="s">
        <v>3531</v>
      </c>
      <c r="F133" s="3196" t="s">
        <v>3532</v>
      </c>
      <c r="G133" s="3196" t="s">
        <v>3057</v>
      </c>
      <c r="H133" s="3196">
        <v>44664</v>
      </c>
      <c r="I133" s="3196">
        <v>120592.8</v>
      </c>
      <c r="J133" s="3196" t="s">
        <v>3489</v>
      </c>
      <c r="K133" s="3196" t="s">
        <v>3523</v>
      </c>
      <c r="L133" s="3196" t="s">
        <v>3524</v>
      </c>
      <c r="M133" s="3196" t="s">
        <v>3525</v>
      </c>
      <c r="N133" s="3196">
        <v>13400</v>
      </c>
      <c r="O133" s="3196">
        <v>200.01</v>
      </c>
      <c r="P133" s="3196">
        <v>1111.18</v>
      </c>
      <c r="Q133" s="3196">
        <v>0</v>
      </c>
      <c r="R133" s="3196" t="s">
        <v>3062</v>
      </c>
    </row>
    <row r="134" spans="1:18" hidden="1">
      <c r="A134" s="3196" t="s">
        <v>3533</v>
      </c>
      <c r="B134" s="3196" t="s">
        <v>3054</v>
      </c>
      <c r="C134" s="3196" t="s">
        <v>3055</v>
      </c>
      <c r="D134" s="3196" t="s">
        <v>2814</v>
      </c>
      <c r="E134" s="3196" t="s">
        <v>3533</v>
      </c>
      <c r="F134" s="3196" t="s">
        <v>3534</v>
      </c>
      <c r="G134" s="3196" t="s">
        <v>3057</v>
      </c>
      <c r="H134" s="3196">
        <v>26026</v>
      </c>
      <c r="I134" s="3196">
        <v>62462.400000000001</v>
      </c>
      <c r="J134" s="3196" t="s">
        <v>3535</v>
      </c>
      <c r="K134" s="3196" t="s">
        <v>3523</v>
      </c>
      <c r="L134" s="3196" t="s">
        <v>3524</v>
      </c>
      <c r="M134" s="3196" t="s">
        <v>3525</v>
      </c>
      <c r="N134" s="3196">
        <v>7808</v>
      </c>
      <c r="O134" s="3196">
        <v>200.01</v>
      </c>
      <c r="P134" s="3196">
        <v>1250.02</v>
      </c>
      <c r="Q134" s="3196">
        <v>0</v>
      </c>
      <c r="R134" s="3196" t="s">
        <v>3062</v>
      </c>
    </row>
    <row r="135" spans="1:18" hidden="1">
      <c r="A135" s="3196" t="s">
        <v>3536</v>
      </c>
      <c r="B135" s="3196" t="s">
        <v>3054</v>
      </c>
      <c r="C135" s="3196" t="s">
        <v>3055</v>
      </c>
      <c r="D135" s="3196" t="s">
        <v>2814</v>
      </c>
      <c r="E135" s="3196" t="s">
        <v>3536</v>
      </c>
      <c r="F135" s="3196" t="s">
        <v>3537</v>
      </c>
      <c r="G135" s="3196" t="s">
        <v>3057</v>
      </c>
      <c r="H135" s="3196">
        <v>44909</v>
      </c>
      <c r="I135" s="3196">
        <v>76345.3</v>
      </c>
      <c r="J135" s="3196" t="s">
        <v>3538</v>
      </c>
      <c r="K135" s="3196" t="s">
        <v>3523</v>
      </c>
      <c r="L135" s="3196" t="s">
        <v>3524</v>
      </c>
      <c r="M135" s="3196" t="s">
        <v>3525</v>
      </c>
      <c r="N135" s="3196">
        <v>13472</v>
      </c>
      <c r="O135" s="3196">
        <v>199.99</v>
      </c>
      <c r="P135" s="3196">
        <v>1764.6</v>
      </c>
      <c r="Q135" s="3196">
        <v>0</v>
      </c>
      <c r="R135" s="3196" t="s">
        <v>3062</v>
      </c>
    </row>
    <row r="136" spans="1:18" hidden="1">
      <c r="A136" s="3196" t="s">
        <v>3539</v>
      </c>
      <c r="B136" s="3196" t="s">
        <v>3054</v>
      </c>
      <c r="C136" s="3196" t="s">
        <v>3055</v>
      </c>
      <c r="D136" s="3196" t="s">
        <v>2814</v>
      </c>
      <c r="E136" s="3196" t="s">
        <v>3539</v>
      </c>
      <c r="F136" s="3196" t="s">
        <v>3540</v>
      </c>
      <c r="G136" s="3196" t="s">
        <v>3057</v>
      </c>
      <c r="H136" s="3196">
        <v>36101</v>
      </c>
      <c r="I136" s="3196">
        <v>54151.5</v>
      </c>
      <c r="J136" s="3196" t="s">
        <v>3069</v>
      </c>
      <c r="K136" s="3196" t="s">
        <v>3523</v>
      </c>
      <c r="L136" s="3196" t="s">
        <v>3524</v>
      </c>
      <c r="M136" s="3196" t="s">
        <v>3525</v>
      </c>
      <c r="N136" s="3196">
        <v>10830</v>
      </c>
      <c r="O136" s="3196">
        <v>199.99</v>
      </c>
      <c r="P136" s="3196">
        <v>1999.94</v>
      </c>
      <c r="Q136" s="3196">
        <v>0</v>
      </c>
      <c r="R136" s="3196" t="s">
        <v>3062</v>
      </c>
    </row>
    <row r="137" spans="1:18" hidden="1">
      <c r="A137" s="3196" t="s">
        <v>3541</v>
      </c>
      <c r="B137" s="3196" t="s">
        <v>3054</v>
      </c>
      <c r="C137" s="3196" t="s">
        <v>3055</v>
      </c>
      <c r="D137" s="3196" t="s">
        <v>2814</v>
      </c>
      <c r="E137" s="3196" t="s">
        <v>3541</v>
      </c>
      <c r="F137" s="3196" t="s">
        <v>3542</v>
      </c>
      <c r="G137" s="3196" t="s">
        <v>3057</v>
      </c>
      <c r="H137" s="3196">
        <v>62004</v>
      </c>
      <c r="I137" s="3196">
        <v>155010</v>
      </c>
      <c r="J137" s="3196" t="s">
        <v>3065</v>
      </c>
      <c r="K137" s="3196" t="s">
        <v>3523</v>
      </c>
      <c r="L137" s="3196" t="s">
        <v>3524</v>
      </c>
      <c r="M137" s="3196" t="s">
        <v>3525</v>
      </c>
      <c r="N137" s="3196">
        <v>18602</v>
      </c>
      <c r="O137" s="3196">
        <v>200.01</v>
      </c>
      <c r="P137" s="3196">
        <v>1200.04</v>
      </c>
      <c r="Q137" s="3196">
        <v>0</v>
      </c>
      <c r="R137" s="3196" t="s">
        <v>3062</v>
      </c>
    </row>
    <row r="138" spans="1:18" hidden="1">
      <c r="A138" s="3196" t="s">
        <v>3543</v>
      </c>
      <c r="B138" s="3196" t="s">
        <v>3054</v>
      </c>
      <c r="C138" s="3196" t="s">
        <v>3055</v>
      </c>
      <c r="D138" s="3196" t="s">
        <v>2814</v>
      </c>
      <c r="E138" s="3196" t="s">
        <v>3543</v>
      </c>
      <c r="F138" s="3196" t="s">
        <v>3544</v>
      </c>
      <c r="G138" s="3196" t="s">
        <v>3057</v>
      </c>
      <c r="H138" s="3196">
        <v>64629</v>
      </c>
      <c r="I138" s="3196">
        <v>161572.5</v>
      </c>
      <c r="J138" s="3196" t="s">
        <v>3065</v>
      </c>
      <c r="K138" s="3196" t="s">
        <v>3523</v>
      </c>
      <c r="L138" s="3196" t="s">
        <v>3524</v>
      </c>
      <c r="M138" s="3196" t="s">
        <v>3525</v>
      </c>
      <c r="N138" s="3196">
        <v>19388</v>
      </c>
      <c r="O138" s="3196">
        <v>199.99</v>
      </c>
      <c r="P138" s="3196">
        <v>1199.96</v>
      </c>
      <c r="Q138" s="3196">
        <v>0</v>
      </c>
      <c r="R138" s="3196" t="s">
        <v>3062</v>
      </c>
    </row>
    <row r="139" spans="1:18" hidden="1">
      <c r="A139" s="3196" t="s">
        <v>3545</v>
      </c>
      <c r="B139" s="3196" t="s">
        <v>3054</v>
      </c>
      <c r="C139" s="3196" t="s">
        <v>3055</v>
      </c>
      <c r="D139" s="3196" t="s">
        <v>2814</v>
      </c>
      <c r="E139" s="3196" t="s">
        <v>3545</v>
      </c>
      <c r="F139" s="3196" t="s">
        <v>3546</v>
      </c>
      <c r="G139" s="3196" t="s">
        <v>3057</v>
      </c>
      <c r="H139" s="3196">
        <v>22586</v>
      </c>
      <c r="I139" s="3196">
        <v>31620.400000000001</v>
      </c>
      <c r="J139" s="3196" t="s">
        <v>3370</v>
      </c>
      <c r="K139" s="3196" t="s">
        <v>3523</v>
      </c>
      <c r="L139" s="3196" t="s">
        <v>3524</v>
      </c>
      <c r="M139" s="3196" t="s">
        <v>3525</v>
      </c>
      <c r="N139" s="3196">
        <v>6776</v>
      </c>
      <c r="O139" s="3196">
        <v>200.01</v>
      </c>
      <c r="P139" s="3196">
        <v>2142.92</v>
      </c>
      <c r="Q139" s="3196">
        <v>0</v>
      </c>
      <c r="R139" s="3196" t="s">
        <v>3062</v>
      </c>
    </row>
    <row r="140" spans="1:18" hidden="1">
      <c r="A140" s="3196" t="s">
        <v>3533</v>
      </c>
      <c r="B140" s="3196" t="s">
        <v>3054</v>
      </c>
      <c r="C140" s="3196" t="s">
        <v>3055</v>
      </c>
      <c r="D140" s="3196" t="s">
        <v>2814</v>
      </c>
      <c r="E140" s="3196" t="s">
        <v>3533</v>
      </c>
      <c r="F140" s="3196" t="s">
        <v>3547</v>
      </c>
      <c r="G140" s="3196" t="s">
        <v>3057</v>
      </c>
      <c r="H140" s="3196">
        <v>51714</v>
      </c>
      <c r="I140" s="3196">
        <v>124113.60000000001</v>
      </c>
      <c r="J140" s="3196" t="s">
        <v>3535</v>
      </c>
      <c r="K140" s="3196" t="s">
        <v>3523</v>
      </c>
      <c r="L140" s="3196" t="s">
        <v>3524</v>
      </c>
      <c r="M140" s="3196" t="s">
        <v>3525</v>
      </c>
      <c r="N140" s="3196">
        <v>15514</v>
      </c>
      <c r="O140" s="3196">
        <v>200</v>
      </c>
      <c r="P140" s="3196">
        <v>1249.98</v>
      </c>
      <c r="Q140" s="3196">
        <v>0</v>
      </c>
      <c r="R140" s="3196" t="s">
        <v>3062</v>
      </c>
    </row>
    <row r="141" spans="1:18" hidden="1">
      <c r="A141" s="3196" t="s">
        <v>3548</v>
      </c>
      <c r="B141" s="3196" t="s">
        <v>3054</v>
      </c>
      <c r="C141" s="3196" t="s">
        <v>3055</v>
      </c>
      <c r="D141" s="3196" t="s">
        <v>2814</v>
      </c>
      <c r="E141" s="3196" t="s">
        <v>3548</v>
      </c>
      <c r="F141" s="3196" t="s">
        <v>3549</v>
      </c>
      <c r="G141" s="3196" t="s">
        <v>3057</v>
      </c>
      <c r="H141" s="3196">
        <v>54768</v>
      </c>
      <c r="I141" s="3196">
        <v>115012.8</v>
      </c>
      <c r="J141" s="3196" t="s">
        <v>3528</v>
      </c>
      <c r="K141" s="3196" t="s">
        <v>3523</v>
      </c>
      <c r="L141" s="3196" t="s">
        <v>3524</v>
      </c>
      <c r="M141" s="3196" t="s">
        <v>3525</v>
      </c>
      <c r="N141" s="3196">
        <v>16430</v>
      </c>
      <c r="O141" s="3196">
        <v>200</v>
      </c>
      <c r="P141" s="3196">
        <v>1428.53</v>
      </c>
      <c r="Q141" s="3196">
        <v>0</v>
      </c>
      <c r="R141" s="3196" t="s">
        <v>3062</v>
      </c>
    </row>
    <row r="142" spans="1:18" hidden="1">
      <c r="A142" s="3196" t="s">
        <v>3550</v>
      </c>
      <c r="B142" s="3196" t="s">
        <v>3054</v>
      </c>
      <c r="C142" s="3196" t="s">
        <v>3055</v>
      </c>
      <c r="D142" s="3196" t="s">
        <v>2814</v>
      </c>
      <c r="E142" s="3196" t="s">
        <v>3550</v>
      </c>
      <c r="F142" s="3196" t="s">
        <v>3551</v>
      </c>
      <c r="G142" s="3196" t="s">
        <v>3057</v>
      </c>
      <c r="H142" s="3196">
        <v>56577</v>
      </c>
      <c r="I142" s="3196">
        <v>130127.1</v>
      </c>
      <c r="J142" s="3196" t="s">
        <v>3522</v>
      </c>
      <c r="K142" s="3196" t="s">
        <v>3523</v>
      </c>
      <c r="L142" s="3196" t="s">
        <v>3524</v>
      </c>
      <c r="M142" s="3196" t="s">
        <v>3525</v>
      </c>
      <c r="N142" s="3196">
        <v>16974</v>
      </c>
      <c r="O142" s="3196">
        <v>200.01</v>
      </c>
      <c r="P142" s="3196">
        <v>1304.42</v>
      </c>
      <c r="Q142" s="3196">
        <v>0</v>
      </c>
      <c r="R142" s="3196" t="s">
        <v>3062</v>
      </c>
    </row>
    <row r="143" spans="1:18" hidden="1">
      <c r="A143" s="3196" t="s">
        <v>3552</v>
      </c>
      <c r="B143" s="3196" t="s">
        <v>3054</v>
      </c>
      <c r="C143" s="3196" t="s">
        <v>3055</v>
      </c>
      <c r="D143" s="3196" t="s">
        <v>2814</v>
      </c>
      <c r="E143" s="3196" t="s">
        <v>3552</v>
      </c>
      <c r="F143" s="3196" t="s">
        <v>3553</v>
      </c>
      <c r="G143" s="3196" t="s">
        <v>3057</v>
      </c>
      <c r="H143" s="3196">
        <v>36754</v>
      </c>
      <c r="I143" s="3196">
        <v>73508</v>
      </c>
      <c r="J143" s="3196" t="s">
        <v>3058</v>
      </c>
      <c r="K143" s="3196" t="s">
        <v>3554</v>
      </c>
      <c r="L143" s="3196" t="s">
        <v>3555</v>
      </c>
      <c r="M143" s="3196" t="s">
        <v>3556</v>
      </c>
      <c r="N143" s="3196">
        <v>54000</v>
      </c>
      <c r="O143" s="3196">
        <v>979.49</v>
      </c>
      <c r="P143" s="3196">
        <v>7346.14</v>
      </c>
      <c r="Q143" s="3196">
        <v>44.05</v>
      </c>
      <c r="R143" s="3196" t="s">
        <v>3062</v>
      </c>
    </row>
    <row r="144" spans="1:18" hidden="1">
      <c r="A144" s="3196" t="s">
        <v>3552</v>
      </c>
      <c r="B144" s="3196" t="s">
        <v>3054</v>
      </c>
      <c r="C144" s="3196" t="s">
        <v>3055</v>
      </c>
      <c r="D144" s="3196" t="s">
        <v>2814</v>
      </c>
      <c r="E144" s="3196" t="s">
        <v>3552</v>
      </c>
      <c r="F144" s="3196" t="s">
        <v>3557</v>
      </c>
      <c r="G144" s="3196" t="s">
        <v>3057</v>
      </c>
      <c r="H144" s="3196">
        <v>63581</v>
      </c>
      <c r="I144" s="3196">
        <v>127162</v>
      </c>
      <c r="J144" s="3196" t="s">
        <v>3058</v>
      </c>
      <c r="K144" s="3196" t="s">
        <v>3554</v>
      </c>
      <c r="L144" s="3196" t="s">
        <v>3555</v>
      </c>
      <c r="M144" s="3196" t="s">
        <v>3558</v>
      </c>
      <c r="N144" s="3196">
        <v>88500</v>
      </c>
      <c r="O144" s="3196">
        <v>927.95</v>
      </c>
      <c r="P144" s="3196">
        <v>6959.63</v>
      </c>
      <c r="Q144" s="3196">
        <v>36.46</v>
      </c>
      <c r="R144" s="3196" t="s">
        <v>3062</v>
      </c>
    </row>
    <row r="145" spans="1:18" hidden="1">
      <c r="A145" s="3196" t="s">
        <v>3552</v>
      </c>
      <c r="B145" s="3196" t="s">
        <v>3054</v>
      </c>
      <c r="C145" s="3196" t="s">
        <v>3055</v>
      </c>
      <c r="D145" s="3196" t="s">
        <v>2814</v>
      </c>
      <c r="E145" s="3196" t="s">
        <v>3552</v>
      </c>
      <c r="F145" s="3196" t="s">
        <v>3559</v>
      </c>
      <c r="G145" s="3196" t="s">
        <v>3057</v>
      </c>
      <c r="H145" s="3196">
        <v>56788</v>
      </c>
      <c r="I145" s="3196">
        <v>85182</v>
      </c>
      <c r="J145" s="3196" t="s">
        <v>3069</v>
      </c>
      <c r="K145" s="3196" t="s">
        <v>3554</v>
      </c>
      <c r="L145" s="3196" t="s">
        <v>3555</v>
      </c>
      <c r="M145" s="3196" t="s">
        <v>3558</v>
      </c>
      <c r="N145" s="3196">
        <v>66000</v>
      </c>
      <c r="O145" s="3196">
        <v>774.81</v>
      </c>
      <c r="P145" s="3196">
        <v>7748.11</v>
      </c>
      <c r="Q145" s="3196">
        <v>51.93</v>
      </c>
      <c r="R145" s="3196" t="s">
        <v>3062</v>
      </c>
    </row>
    <row r="146" spans="1:18" hidden="1">
      <c r="A146" s="3196" t="s">
        <v>3552</v>
      </c>
      <c r="B146" s="3196" t="s">
        <v>3054</v>
      </c>
      <c r="C146" s="3196" t="s">
        <v>3055</v>
      </c>
      <c r="D146" s="3196" t="s">
        <v>2814</v>
      </c>
      <c r="E146" s="3196" t="s">
        <v>3552</v>
      </c>
      <c r="F146" s="3196" t="s">
        <v>3560</v>
      </c>
      <c r="G146" s="3196" t="s">
        <v>3057</v>
      </c>
      <c r="H146" s="3196">
        <v>47644</v>
      </c>
      <c r="I146" s="3196">
        <v>80994.8</v>
      </c>
      <c r="J146" s="3196" t="s">
        <v>3538</v>
      </c>
      <c r="K146" s="3196" t="s">
        <v>3554</v>
      </c>
      <c r="L146" s="3196" t="s">
        <v>3555</v>
      </c>
      <c r="M146" s="3196" t="s">
        <v>3558</v>
      </c>
      <c r="N146" s="3196">
        <v>55300</v>
      </c>
      <c r="O146" s="3196">
        <v>773.79</v>
      </c>
      <c r="P146" s="3196">
        <v>6827.6</v>
      </c>
      <c r="Q146" s="3196">
        <v>33.869999999999997</v>
      </c>
      <c r="R146" s="3196" t="s">
        <v>3062</v>
      </c>
    </row>
    <row r="147" spans="1:18">
      <c r="A147" s="3196" t="s">
        <v>3561</v>
      </c>
      <c r="B147" s="3196" t="s">
        <v>3054</v>
      </c>
      <c r="C147" s="3196" t="s">
        <v>3055</v>
      </c>
      <c r="D147" s="3196" t="s">
        <v>2814</v>
      </c>
      <c r="E147" s="3196" t="s">
        <v>3561</v>
      </c>
      <c r="F147" s="3196" t="s">
        <v>3562</v>
      </c>
      <c r="G147" s="3196" t="s">
        <v>3055</v>
      </c>
      <c r="H147" s="3196">
        <v>3901</v>
      </c>
      <c r="I147" s="3196">
        <v>4096.05</v>
      </c>
      <c r="J147" s="3196" t="s">
        <v>3563</v>
      </c>
      <c r="K147" s="3196" t="s">
        <v>3564</v>
      </c>
      <c r="L147" s="3196" t="s">
        <v>3565</v>
      </c>
      <c r="M147" s="3196" t="s">
        <v>3566</v>
      </c>
      <c r="N147" s="3196">
        <v>3500</v>
      </c>
      <c r="O147" s="3196">
        <v>598.14</v>
      </c>
      <c r="P147" s="3196">
        <v>8544.81</v>
      </c>
      <c r="Q147" s="3196">
        <v>0</v>
      </c>
      <c r="R147" s="3196">
        <v>70</v>
      </c>
    </row>
    <row r="148" spans="1:18" s="3199" customFormat="1">
      <c r="A148" s="3199" t="s">
        <v>3567</v>
      </c>
      <c r="B148" s="3199" t="s">
        <v>3054</v>
      </c>
      <c r="C148" s="3199" t="s">
        <v>3055</v>
      </c>
      <c r="D148" s="3199" t="s">
        <v>2814</v>
      </c>
      <c r="E148" s="3199" t="s">
        <v>3567</v>
      </c>
      <c r="F148" s="3199" t="s">
        <v>3568</v>
      </c>
      <c r="G148" s="3199" t="s">
        <v>3055</v>
      </c>
      <c r="H148" s="3199">
        <v>14763</v>
      </c>
      <c r="I148" s="3199">
        <v>48717.9</v>
      </c>
      <c r="J148" s="3199" t="s">
        <v>3569</v>
      </c>
      <c r="K148" s="3199" t="s">
        <v>3564</v>
      </c>
      <c r="L148" s="3199" t="s">
        <v>3565</v>
      </c>
      <c r="M148" s="3199" t="s">
        <v>3570</v>
      </c>
      <c r="N148" s="3199">
        <v>6190</v>
      </c>
      <c r="O148" s="3199">
        <v>279.52999999999997</v>
      </c>
      <c r="P148" s="3199">
        <v>1270.57</v>
      </c>
      <c r="Q148" s="3199">
        <v>0</v>
      </c>
      <c r="R148" s="3199">
        <v>70</v>
      </c>
    </row>
    <row r="149" spans="1:18" s="3199" customFormat="1">
      <c r="A149" s="3199" t="s">
        <v>3571</v>
      </c>
      <c r="B149" s="3199" t="s">
        <v>3054</v>
      </c>
      <c r="C149" s="3199" t="s">
        <v>3055</v>
      </c>
      <c r="D149" s="3199" t="s">
        <v>2814</v>
      </c>
      <c r="E149" s="3199" t="s">
        <v>3571</v>
      </c>
      <c r="F149" s="3199" t="s">
        <v>3572</v>
      </c>
      <c r="G149" s="3199" t="s">
        <v>3055</v>
      </c>
      <c r="H149" s="3199">
        <v>38615</v>
      </c>
      <c r="I149" s="3199">
        <v>94606.75</v>
      </c>
      <c r="J149" s="3199" t="s">
        <v>3573</v>
      </c>
      <c r="K149" s="3199" t="s">
        <v>3564</v>
      </c>
      <c r="L149" s="3199" t="s">
        <v>3565</v>
      </c>
      <c r="M149" s="3199" t="s">
        <v>3570</v>
      </c>
      <c r="N149" s="3199">
        <v>16000</v>
      </c>
      <c r="O149" s="3199">
        <v>276.23</v>
      </c>
      <c r="P149" s="3199">
        <v>1691.21</v>
      </c>
      <c r="Q149" s="3199">
        <v>0</v>
      </c>
      <c r="R149" s="3199">
        <v>70</v>
      </c>
    </row>
    <row r="150" spans="1:18">
      <c r="A150" s="3196" t="s">
        <v>3574</v>
      </c>
      <c r="B150" s="3196" t="s">
        <v>3054</v>
      </c>
      <c r="C150" s="3196" t="s">
        <v>3055</v>
      </c>
      <c r="D150" s="3196" t="s">
        <v>2814</v>
      </c>
      <c r="E150" s="3196" t="s">
        <v>3574</v>
      </c>
      <c r="F150" s="3196" t="s">
        <v>3575</v>
      </c>
      <c r="G150" s="3196" t="s">
        <v>3055</v>
      </c>
      <c r="H150" s="3196">
        <v>6700</v>
      </c>
      <c r="I150" s="3196">
        <v>8844</v>
      </c>
      <c r="J150" s="3196" t="s">
        <v>3576</v>
      </c>
      <c r="K150" s="3196" t="s">
        <v>3564</v>
      </c>
      <c r="L150" s="3196" t="s">
        <v>3565</v>
      </c>
      <c r="M150" s="3196" t="s">
        <v>3577</v>
      </c>
      <c r="N150" s="3196">
        <v>4160</v>
      </c>
      <c r="O150" s="3196">
        <v>413.93</v>
      </c>
      <c r="P150" s="3196">
        <v>4703.75</v>
      </c>
      <c r="Q150" s="3196">
        <v>60</v>
      </c>
      <c r="R150" s="3196">
        <v>70</v>
      </c>
    </row>
    <row r="151" spans="1:18" s="3199" customFormat="1">
      <c r="A151" s="3199" t="s">
        <v>3578</v>
      </c>
      <c r="B151" s="3199" t="s">
        <v>3054</v>
      </c>
      <c r="C151" s="3199" t="s">
        <v>3055</v>
      </c>
      <c r="D151" s="3199" t="s">
        <v>2814</v>
      </c>
      <c r="E151" s="3199" t="s">
        <v>3578</v>
      </c>
      <c r="F151" s="3199" t="s">
        <v>3579</v>
      </c>
      <c r="G151" s="3199" t="s">
        <v>3055</v>
      </c>
      <c r="H151" s="3199">
        <v>27200</v>
      </c>
      <c r="I151" s="3199">
        <v>95200</v>
      </c>
      <c r="J151" s="3199" t="s">
        <v>3580</v>
      </c>
      <c r="K151" s="3199" t="s">
        <v>3564</v>
      </c>
      <c r="L151" s="3199" t="s">
        <v>3565</v>
      </c>
      <c r="M151" s="3199" t="s">
        <v>3570</v>
      </c>
      <c r="N151" s="3199">
        <v>10600</v>
      </c>
      <c r="O151" s="3199">
        <v>259.8</v>
      </c>
      <c r="P151" s="3199">
        <v>1113.45</v>
      </c>
      <c r="Q151" s="3199">
        <v>0</v>
      </c>
      <c r="R151" s="3199">
        <v>70</v>
      </c>
    </row>
    <row r="152" spans="1:18">
      <c r="A152" s="3197" t="s">
        <v>3581</v>
      </c>
      <c r="B152" s="3197" t="s">
        <v>3054</v>
      </c>
      <c r="C152" s="3197" t="s">
        <v>3055</v>
      </c>
      <c r="D152" s="3197" t="s">
        <v>2814</v>
      </c>
      <c r="E152" s="3197" t="s">
        <v>3581</v>
      </c>
      <c r="F152" s="3197" t="s">
        <v>3582</v>
      </c>
      <c r="G152" s="3197" t="s">
        <v>3055</v>
      </c>
      <c r="H152" s="3197">
        <v>4962</v>
      </c>
      <c r="I152" s="3197">
        <v>7939.2</v>
      </c>
      <c r="J152" s="3197" t="s">
        <v>3517</v>
      </c>
      <c r="K152" s="3197" t="s">
        <v>3564</v>
      </c>
      <c r="L152" s="3197" t="s">
        <v>3565</v>
      </c>
      <c r="M152" s="3197" t="s">
        <v>3106</v>
      </c>
      <c r="N152" s="3197">
        <v>900</v>
      </c>
      <c r="O152" s="3197">
        <v>120.92</v>
      </c>
      <c r="P152" s="3197">
        <v>1133.6099999999999</v>
      </c>
      <c r="Q152" s="3197">
        <v>0</v>
      </c>
      <c r="R152" s="3197">
        <v>70</v>
      </c>
    </row>
    <row r="153" spans="1:18" hidden="1">
      <c r="A153" s="3197" t="s">
        <v>3583</v>
      </c>
      <c r="B153" s="3197" t="s">
        <v>3054</v>
      </c>
      <c r="C153" s="3197" t="s">
        <v>3055</v>
      </c>
      <c r="D153" s="3197" t="s">
        <v>2814</v>
      </c>
      <c r="E153" s="3197" t="s">
        <v>3584</v>
      </c>
      <c r="F153" s="3197" t="s">
        <v>3585</v>
      </c>
      <c r="G153" s="3197" t="s">
        <v>3055</v>
      </c>
      <c r="H153" s="3197">
        <v>29616</v>
      </c>
      <c r="I153" s="3197">
        <v>59232</v>
      </c>
      <c r="J153" s="3197" t="s">
        <v>3586</v>
      </c>
      <c r="K153" s="3197" t="s">
        <v>3587</v>
      </c>
      <c r="L153" s="3197" t="s">
        <v>3588</v>
      </c>
      <c r="M153" s="3197" t="s">
        <v>3558</v>
      </c>
      <c r="N153" s="3197">
        <v>56500</v>
      </c>
      <c r="O153" s="3197">
        <v>1271.8399999999999</v>
      </c>
      <c r="P153" s="3197">
        <v>9538.76</v>
      </c>
      <c r="Q153" s="3197">
        <v>69.59</v>
      </c>
      <c r="R153" s="3197">
        <v>70</v>
      </c>
    </row>
    <row r="154" spans="1:18" hidden="1">
      <c r="A154" s="3197" t="s">
        <v>3589</v>
      </c>
      <c r="B154" s="3197" t="s">
        <v>3054</v>
      </c>
      <c r="C154" s="3197" t="s">
        <v>3055</v>
      </c>
      <c r="D154" s="3197" t="s">
        <v>2814</v>
      </c>
      <c r="E154" s="3197" t="s">
        <v>3590</v>
      </c>
      <c r="F154" s="3197" t="s">
        <v>3591</v>
      </c>
      <c r="G154" s="3197" t="s">
        <v>3055</v>
      </c>
      <c r="H154" s="3197">
        <v>29865</v>
      </c>
      <c r="I154" s="3197">
        <v>113487</v>
      </c>
      <c r="J154" s="3197" t="s">
        <v>3592</v>
      </c>
      <c r="K154" s="3197" t="s">
        <v>3587</v>
      </c>
      <c r="L154" s="3197" t="s">
        <v>3588</v>
      </c>
      <c r="M154" s="3197" t="s">
        <v>3593</v>
      </c>
      <c r="N154" s="3197">
        <v>31800</v>
      </c>
      <c r="O154" s="3197">
        <v>709.86</v>
      </c>
      <c r="P154" s="3197">
        <v>2802.07</v>
      </c>
      <c r="Q154" s="3197">
        <v>0.75</v>
      </c>
      <c r="R154" s="3197">
        <v>70</v>
      </c>
    </row>
    <row r="155" spans="1:18" hidden="1">
      <c r="A155" s="3197" t="s">
        <v>3584</v>
      </c>
      <c r="B155" s="3197" t="s">
        <v>3054</v>
      </c>
      <c r="C155" s="3197" t="s">
        <v>3055</v>
      </c>
      <c r="D155" s="3197" t="s">
        <v>2814</v>
      </c>
      <c r="E155" s="3197" t="s">
        <v>3584</v>
      </c>
      <c r="F155" s="3197" t="s">
        <v>3585</v>
      </c>
      <c r="G155" s="3197" t="s">
        <v>3057</v>
      </c>
      <c r="H155" s="3197">
        <v>29616</v>
      </c>
      <c r="I155" s="3197">
        <v>59232</v>
      </c>
      <c r="J155" s="3197" t="s">
        <v>3058</v>
      </c>
      <c r="K155" s="3197" t="s">
        <v>3587</v>
      </c>
      <c r="L155" s="3197" t="s">
        <v>3588</v>
      </c>
      <c r="M155" s="3197" t="s">
        <v>3378</v>
      </c>
      <c r="N155" s="3197">
        <v>56515</v>
      </c>
      <c r="O155" s="3197">
        <v>1272.17</v>
      </c>
      <c r="P155" s="3197">
        <v>9541.2900000000009</v>
      </c>
      <c r="Q155" s="3197">
        <v>69.64</v>
      </c>
      <c r="R155" s="3197" t="s">
        <v>3062</v>
      </c>
    </row>
    <row r="156" spans="1:18" hidden="1">
      <c r="A156" s="3197" t="s">
        <v>3584</v>
      </c>
      <c r="B156" s="3197" t="s">
        <v>3054</v>
      </c>
      <c r="C156" s="3197" t="s">
        <v>3055</v>
      </c>
      <c r="D156" s="3197" t="s">
        <v>2814</v>
      </c>
      <c r="E156" s="3197" t="s">
        <v>3584</v>
      </c>
      <c r="F156" s="3197" t="s">
        <v>3594</v>
      </c>
      <c r="G156" s="3197" t="s">
        <v>3057</v>
      </c>
      <c r="H156" s="3197">
        <v>28535</v>
      </c>
      <c r="I156" s="3197">
        <v>57070</v>
      </c>
      <c r="J156" s="3197" t="s">
        <v>3058</v>
      </c>
      <c r="K156" s="3197" t="s">
        <v>3587</v>
      </c>
      <c r="L156" s="3197" t="s">
        <v>3588</v>
      </c>
      <c r="M156" s="3197" t="s">
        <v>3378</v>
      </c>
      <c r="N156" s="3197">
        <v>49300</v>
      </c>
      <c r="O156" s="3197">
        <v>1151.8</v>
      </c>
      <c r="P156" s="3197">
        <v>8638.51</v>
      </c>
      <c r="Q156" s="3197">
        <v>53.58</v>
      </c>
      <c r="R156" s="3197" t="s">
        <v>3062</v>
      </c>
    </row>
    <row r="157" spans="1:18" hidden="1">
      <c r="A157" s="3197" t="s">
        <v>3595</v>
      </c>
      <c r="B157" s="3197" t="s">
        <v>3054</v>
      </c>
      <c r="C157" s="3197" t="s">
        <v>3055</v>
      </c>
      <c r="D157" s="3197" t="s">
        <v>2814</v>
      </c>
      <c r="E157" s="3197" t="s">
        <v>3584</v>
      </c>
      <c r="F157" s="3197" t="s">
        <v>3594</v>
      </c>
      <c r="G157" s="3197" t="s">
        <v>3055</v>
      </c>
      <c r="H157" s="3197">
        <v>28535</v>
      </c>
      <c r="I157" s="3197">
        <v>57070</v>
      </c>
      <c r="J157" s="3197" t="s">
        <v>3586</v>
      </c>
      <c r="K157" s="3197" t="s">
        <v>3587</v>
      </c>
      <c r="L157" s="3197" t="s">
        <v>3588</v>
      </c>
      <c r="M157" s="3197" t="s">
        <v>3378</v>
      </c>
      <c r="N157" s="3197">
        <v>49300</v>
      </c>
      <c r="O157" s="3197">
        <v>1151.8</v>
      </c>
      <c r="P157" s="3197">
        <v>8638.51</v>
      </c>
      <c r="Q157" s="3197">
        <v>53.58</v>
      </c>
      <c r="R157" s="3197">
        <v>70</v>
      </c>
    </row>
    <row r="158" spans="1:18" hidden="1">
      <c r="A158" s="3197" t="s">
        <v>3590</v>
      </c>
      <c r="B158" s="3197" t="s">
        <v>3054</v>
      </c>
      <c r="C158" s="3197" t="s">
        <v>3055</v>
      </c>
      <c r="D158" s="3197" t="s">
        <v>2814</v>
      </c>
      <c r="E158" s="3197" t="s">
        <v>3590</v>
      </c>
      <c r="F158" s="3197" t="s">
        <v>3591</v>
      </c>
      <c r="G158" s="3197" t="s">
        <v>3057</v>
      </c>
      <c r="H158" s="3197">
        <v>29865</v>
      </c>
      <c r="I158" s="3197">
        <v>113487</v>
      </c>
      <c r="J158" s="3197" t="s">
        <v>3596</v>
      </c>
      <c r="K158" s="3197" t="s">
        <v>3587</v>
      </c>
      <c r="L158" s="3197" t="s">
        <v>3588</v>
      </c>
      <c r="M158" s="3197" t="s">
        <v>3597</v>
      </c>
      <c r="N158" s="3197">
        <v>31762</v>
      </c>
      <c r="O158" s="3197">
        <v>709.01</v>
      </c>
      <c r="P158" s="3197">
        <v>2798.73</v>
      </c>
      <c r="Q158" s="3197">
        <v>0.63</v>
      </c>
      <c r="R158" s="3197" t="s">
        <v>3062</v>
      </c>
    </row>
    <row r="159" spans="1:18" s="3201" customFormat="1">
      <c r="A159" s="3201" t="s">
        <v>3598</v>
      </c>
      <c r="B159" s="3201" t="s">
        <v>3054</v>
      </c>
      <c r="C159" s="3201" t="s">
        <v>3055</v>
      </c>
      <c r="D159" s="3201" t="s">
        <v>2814</v>
      </c>
      <c r="E159" s="3201" t="s">
        <v>3598</v>
      </c>
      <c r="F159" s="3201" t="s">
        <v>3599</v>
      </c>
      <c r="G159" s="3201" t="s">
        <v>3055</v>
      </c>
      <c r="H159" s="3201">
        <v>58092</v>
      </c>
      <c r="I159" s="3201">
        <v>127802.4</v>
      </c>
      <c r="J159" s="3201" t="s">
        <v>3317</v>
      </c>
      <c r="K159" s="3201" t="s">
        <v>3600</v>
      </c>
      <c r="L159" s="3201" t="s">
        <v>3601</v>
      </c>
      <c r="M159" s="3201" t="s">
        <v>3208</v>
      </c>
      <c r="N159" s="3201">
        <v>31300</v>
      </c>
      <c r="O159" s="3201">
        <v>359.2</v>
      </c>
      <c r="P159" s="3201">
        <v>2449.09</v>
      </c>
      <c r="Q159" s="3201">
        <v>2.62</v>
      </c>
      <c r="R159" s="3201">
        <v>70</v>
      </c>
    </row>
    <row r="160" spans="1:18" s="3201" customFormat="1">
      <c r="A160" s="3201" t="s">
        <v>3602</v>
      </c>
      <c r="B160" s="3201" t="s">
        <v>3054</v>
      </c>
      <c r="C160" s="3201" t="s">
        <v>3055</v>
      </c>
      <c r="D160" s="3201" t="s">
        <v>2814</v>
      </c>
      <c r="E160" s="3201" t="s">
        <v>3602</v>
      </c>
      <c r="F160" s="3201" t="s">
        <v>3603</v>
      </c>
      <c r="G160" s="3201" t="s">
        <v>3055</v>
      </c>
      <c r="H160" s="3201">
        <v>10590</v>
      </c>
      <c r="I160" s="3201">
        <v>37065</v>
      </c>
      <c r="J160" s="3201" t="s">
        <v>3604</v>
      </c>
      <c r="K160" s="3201" t="s">
        <v>3600</v>
      </c>
      <c r="L160" s="3201" t="s">
        <v>3601</v>
      </c>
      <c r="M160" s="3201" t="s">
        <v>3605</v>
      </c>
      <c r="N160" s="3201">
        <v>6070</v>
      </c>
      <c r="O160" s="3201">
        <v>382.12</v>
      </c>
      <c r="P160" s="3201">
        <v>1637.66</v>
      </c>
      <c r="Q160" s="3201">
        <v>27.25</v>
      </c>
      <c r="R160" s="3201">
        <v>70</v>
      </c>
    </row>
    <row r="161" spans="1:18" s="3201" customFormat="1">
      <c r="A161" s="3201" t="s">
        <v>3598</v>
      </c>
      <c r="B161" s="3201" t="s">
        <v>3054</v>
      </c>
      <c r="C161" s="3201" t="s">
        <v>3055</v>
      </c>
      <c r="D161" s="3201" t="s">
        <v>2814</v>
      </c>
      <c r="E161" s="3201" t="s">
        <v>3598</v>
      </c>
      <c r="F161" s="3201" t="s">
        <v>3606</v>
      </c>
      <c r="G161" s="3201" t="s">
        <v>3055</v>
      </c>
      <c r="H161" s="3201">
        <v>69062</v>
      </c>
      <c r="I161" s="3201">
        <v>151936.4</v>
      </c>
      <c r="J161" s="3201" t="s">
        <v>3317</v>
      </c>
      <c r="K161" s="3201" t="s">
        <v>3600</v>
      </c>
      <c r="L161" s="3201" t="s">
        <v>3601</v>
      </c>
      <c r="M161" s="3201" t="s">
        <v>3436</v>
      </c>
      <c r="N161" s="3201">
        <v>36860</v>
      </c>
      <c r="O161" s="3201">
        <v>355.82</v>
      </c>
      <c r="P161" s="3201">
        <v>2426.0100000000002</v>
      </c>
      <c r="Q161" s="3201">
        <v>1.65</v>
      </c>
      <c r="R161" s="3201">
        <v>70</v>
      </c>
    </row>
    <row r="162" spans="1:18" s="3201" customFormat="1">
      <c r="A162" s="3201" t="s">
        <v>3607</v>
      </c>
      <c r="B162" s="3201" t="s">
        <v>3054</v>
      </c>
      <c r="C162" s="3201" t="s">
        <v>3055</v>
      </c>
      <c r="D162" s="3201" t="s">
        <v>2814</v>
      </c>
      <c r="E162" s="3201" t="s">
        <v>3607</v>
      </c>
      <c r="F162" s="3201" t="s">
        <v>3608</v>
      </c>
      <c r="G162" s="3201" t="s">
        <v>3055</v>
      </c>
      <c r="H162" s="3201">
        <v>88498</v>
      </c>
      <c r="I162" s="3201">
        <v>221245</v>
      </c>
      <c r="J162" s="3201" t="s">
        <v>3110</v>
      </c>
      <c r="K162" s="3201" t="s">
        <v>3600</v>
      </c>
      <c r="L162" s="3201" t="s">
        <v>3601</v>
      </c>
      <c r="M162" s="3201" t="s">
        <v>3609</v>
      </c>
      <c r="N162" s="3201">
        <v>54700</v>
      </c>
      <c r="O162" s="3201">
        <v>412.06</v>
      </c>
      <c r="P162" s="3201">
        <v>2472.36</v>
      </c>
      <c r="Q162" s="3201">
        <v>3.01</v>
      </c>
      <c r="R162" s="3201">
        <v>70</v>
      </c>
    </row>
    <row r="163" spans="1:18" s="3201" customFormat="1" hidden="1">
      <c r="A163" s="3201" t="s">
        <v>3610</v>
      </c>
      <c r="B163" s="3201" t="s">
        <v>3054</v>
      </c>
      <c r="C163" s="3201" t="s">
        <v>3055</v>
      </c>
      <c r="D163" s="3201" t="s">
        <v>2814</v>
      </c>
      <c r="E163" s="3201" t="s">
        <v>3610</v>
      </c>
      <c r="F163" s="3201" t="s">
        <v>3611</v>
      </c>
      <c r="G163" s="3201" t="s">
        <v>3269</v>
      </c>
      <c r="H163" s="3201">
        <v>40282.879999999997</v>
      </c>
      <c r="I163" s="3201">
        <v>80162.929999999993</v>
      </c>
      <c r="J163" s="3201" t="s">
        <v>3612</v>
      </c>
      <c r="K163" s="3201" t="s">
        <v>3613</v>
      </c>
      <c r="L163" s="3201" t="s">
        <v>3614</v>
      </c>
      <c r="M163" s="3201" t="s">
        <v>3615</v>
      </c>
      <c r="N163" s="3201">
        <v>14905</v>
      </c>
      <c r="O163" s="3201">
        <v>246.67</v>
      </c>
      <c r="P163" s="3201">
        <v>1859.33</v>
      </c>
      <c r="Q163" s="3201">
        <v>0</v>
      </c>
      <c r="R163" s="3201" t="s">
        <v>3062</v>
      </c>
    </row>
    <row r="164" spans="1:18" s="3201" customFormat="1" hidden="1">
      <c r="A164" s="3201" t="s">
        <v>3616</v>
      </c>
      <c r="B164" s="3201" t="s">
        <v>3054</v>
      </c>
      <c r="C164" s="3201" t="s">
        <v>3055</v>
      </c>
      <c r="D164" s="3201" t="s">
        <v>2814</v>
      </c>
      <c r="E164" s="3201" t="s">
        <v>3617</v>
      </c>
      <c r="F164" s="3201" t="s">
        <v>3618</v>
      </c>
      <c r="G164" s="3201" t="s">
        <v>3057</v>
      </c>
      <c r="H164" s="3201">
        <v>10037</v>
      </c>
      <c r="I164" s="3201">
        <v>25092.5</v>
      </c>
      <c r="J164" s="3201" t="s">
        <v>3065</v>
      </c>
      <c r="K164" s="3201" t="s">
        <v>3619</v>
      </c>
      <c r="L164" s="3201" t="s">
        <v>3620</v>
      </c>
      <c r="M164" s="3201" t="s">
        <v>3621</v>
      </c>
      <c r="N164" s="3201">
        <v>16924.88</v>
      </c>
      <c r="O164" s="3201">
        <v>1124.17</v>
      </c>
      <c r="P164" s="3201">
        <v>6745</v>
      </c>
      <c r="Q164" s="3201">
        <v>167.59</v>
      </c>
      <c r="R164" s="3201" t="s">
        <v>3062</v>
      </c>
    </row>
    <row r="165" spans="1:18" s="3201" customFormat="1" hidden="1">
      <c r="A165" s="3201" t="s">
        <v>3622</v>
      </c>
      <c r="B165" s="3201" t="s">
        <v>3054</v>
      </c>
      <c r="C165" s="3201" t="s">
        <v>3055</v>
      </c>
      <c r="D165" s="3201" t="s">
        <v>2814</v>
      </c>
      <c r="E165" s="3201" t="s">
        <v>3617</v>
      </c>
      <c r="F165" s="3201" t="s">
        <v>3623</v>
      </c>
      <c r="G165" s="3201" t="s">
        <v>3057</v>
      </c>
      <c r="H165" s="3201">
        <v>6956</v>
      </c>
      <c r="I165" s="3201">
        <v>17390</v>
      </c>
      <c r="J165" s="3201" t="s">
        <v>3065</v>
      </c>
      <c r="K165" s="3201" t="s">
        <v>3619</v>
      </c>
      <c r="L165" s="3201" t="s">
        <v>3620</v>
      </c>
      <c r="M165" s="3201" t="s">
        <v>3621</v>
      </c>
      <c r="N165" s="3201">
        <v>5528.27</v>
      </c>
      <c r="O165" s="3201">
        <v>529.83000000000004</v>
      </c>
      <c r="P165" s="3201">
        <v>3179</v>
      </c>
      <c r="Q165" s="3201">
        <v>76.680000000000007</v>
      </c>
      <c r="R165" s="3201" t="s">
        <v>3062</v>
      </c>
    </row>
    <row r="166" spans="1:18" s="3201" customFormat="1" hidden="1">
      <c r="A166" s="3201" t="s">
        <v>3624</v>
      </c>
      <c r="B166" s="3201" t="s">
        <v>3054</v>
      </c>
      <c r="C166" s="3201" t="s">
        <v>3055</v>
      </c>
      <c r="D166" s="3201" t="s">
        <v>2814</v>
      </c>
      <c r="E166" s="3201" t="s">
        <v>3624</v>
      </c>
      <c r="F166" s="3201" t="s">
        <v>3625</v>
      </c>
      <c r="G166" s="3201" t="s">
        <v>3057</v>
      </c>
      <c r="H166" s="3201">
        <v>17998</v>
      </c>
      <c r="I166" s="3201">
        <v>35996</v>
      </c>
      <c r="J166" s="3201" t="s">
        <v>3058</v>
      </c>
      <c r="K166" s="3201" t="s">
        <v>3619</v>
      </c>
      <c r="L166" s="3201" t="s">
        <v>3620</v>
      </c>
      <c r="M166" s="3201" t="s">
        <v>3626</v>
      </c>
      <c r="N166" s="3201">
        <v>22148.34</v>
      </c>
      <c r="O166" s="3201">
        <v>820.4</v>
      </c>
      <c r="P166" s="3201">
        <v>6153</v>
      </c>
      <c r="Q166" s="3201">
        <v>26.2</v>
      </c>
      <c r="R166" s="3201" t="s">
        <v>3062</v>
      </c>
    </row>
    <row r="167" spans="1:18" s="3201" customFormat="1" hidden="1">
      <c r="A167" s="3201" t="s">
        <v>3627</v>
      </c>
      <c r="B167" s="3201" t="s">
        <v>3054</v>
      </c>
      <c r="C167" s="3201" t="s">
        <v>3055</v>
      </c>
      <c r="D167" s="3201" t="s">
        <v>2814</v>
      </c>
      <c r="E167" s="3201" t="s">
        <v>3627</v>
      </c>
      <c r="F167" s="3201" t="s">
        <v>3628</v>
      </c>
      <c r="G167" s="3201" t="s">
        <v>3057</v>
      </c>
      <c r="H167" s="3201">
        <v>31969</v>
      </c>
      <c r="I167" s="3201">
        <v>89513.2</v>
      </c>
      <c r="J167" s="3201" t="s">
        <v>3190</v>
      </c>
      <c r="K167" s="3201" t="s">
        <v>3619</v>
      </c>
      <c r="L167" s="3201" t="s">
        <v>3620</v>
      </c>
      <c r="M167" s="3201" t="s">
        <v>3629</v>
      </c>
      <c r="N167" s="3201">
        <v>31571.29</v>
      </c>
      <c r="O167" s="3201">
        <v>658.37</v>
      </c>
      <c r="P167" s="3201">
        <v>3527</v>
      </c>
      <c r="Q167" s="3201">
        <v>1.29</v>
      </c>
      <c r="R167" s="3201" t="s">
        <v>3062</v>
      </c>
    </row>
    <row r="168" spans="1:18" s="3201" customFormat="1">
      <c r="A168" s="3201" t="s">
        <v>3630</v>
      </c>
      <c r="B168" s="3201" t="s">
        <v>3054</v>
      </c>
      <c r="C168" s="3201" t="s">
        <v>3055</v>
      </c>
      <c r="D168" s="3201" t="s">
        <v>2814</v>
      </c>
      <c r="E168" s="3201" t="s">
        <v>3631</v>
      </c>
      <c r="F168" s="3201" t="s">
        <v>3630</v>
      </c>
      <c r="G168" s="3201" t="s">
        <v>922</v>
      </c>
      <c r="H168" s="3201">
        <v>28859</v>
      </c>
      <c r="I168" s="3201">
        <v>44731.45</v>
      </c>
      <c r="J168" s="3201" t="s">
        <v>3632</v>
      </c>
      <c r="K168" s="3201" t="s">
        <v>3633</v>
      </c>
      <c r="L168" s="3201" t="s">
        <v>3634</v>
      </c>
      <c r="M168" s="3201" t="s">
        <v>3304</v>
      </c>
      <c r="N168" s="3201">
        <v>1602</v>
      </c>
      <c r="O168" s="3201">
        <v>37.01</v>
      </c>
      <c r="P168" s="3201">
        <v>358.13</v>
      </c>
      <c r="Q168" s="3201">
        <v>2.23</v>
      </c>
      <c r="R168" s="3201">
        <v>70</v>
      </c>
    </row>
    <row r="169" spans="1:18">
      <c r="A169" s="3197" t="s">
        <v>3635</v>
      </c>
      <c r="B169" s="3197" t="s">
        <v>3054</v>
      </c>
      <c r="C169" s="3197" t="s">
        <v>3055</v>
      </c>
      <c r="D169" s="3197" t="s">
        <v>2814</v>
      </c>
      <c r="E169" s="3197" t="s">
        <v>3636</v>
      </c>
      <c r="F169" s="3197" t="s">
        <v>3635</v>
      </c>
      <c r="G169" s="3197" t="s">
        <v>922</v>
      </c>
      <c r="H169" s="3197">
        <v>24563</v>
      </c>
      <c r="I169" s="3197">
        <v>42985.25</v>
      </c>
      <c r="J169" s="3197" t="s">
        <v>3637</v>
      </c>
      <c r="K169" s="3197" t="s">
        <v>3633</v>
      </c>
      <c r="L169" s="3197" t="s">
        <v>3634</v>
      </c>
      <c r="M169" s="3197" t="s">
        <v>3304</v>
      </c>
      <c r="N169" s="3197">
        <v>1401</v>
      </c>
      <c r="O169" s="3197">
        <v>38.020000000000003</v>
      </c>
      <c r="P169" s="3197">
        <v>325.93</v>
      </c>
      <c r="Q169" s="3197">
        <v>2.19</v>
      </c>
      <c r="R169" s="3197">
        <v>70</v>
      </c>
    </row>
    <row r="170" spans="1:18" s="3201" customFormat="1">
      <c r="A170" s="3201" t="s">
        <v>3638</v>
      </c>
      <c r="B170" s="3201" t="s">
        <v>3054</v>
      </c>
      <c r="C170" s="3201" t="s">
        <v>3055</v>
      </c>
      <c r="D170" s="3201" t="s">
        <v>2814</v>
      </c>
      <c r="E170" s="3201" t="s">
        <v>3639</v>
      </c>
      <c r="F170" s="3201" t="s">
        <v>3638</v>
      </c>
      <c r="G170" s="3201" t="s">
        <v>922</v>
      </c>
      <c r="H170" s="3201">
        <v>67245</v>
      </c>
      <c r="I170" s="3201">
        <v>143904.29999999999</v>
      </c>
      <c r="J170" s="3201" t="s">
        <v>3640</v>
      </c>
      <c r="K170" s="3201" t="s">
        <v>3633</v>
      </c>
      <c r="L170" s="3201" t="s">
        <v>3634</v>
      </c>
      <c r="M170" s="3201" t="s">
        <v>3641</v>
      </c>
      <c r="N170" s="3201">
        <v>5730</v>
      </c>
      <c r="O170" s="3201">
        <v>56.81</v>
      </c>
      <c r="P170" s="3201">
        <v>398.18</v>
      </c>
      <c r="Q170" s="3201">
        <v>2.0499999999999998</v>
      </c>
      <c r="R170" s="3201">
        <v>70</v>
      </c>
    </row>
    <row r="171" spans="1:18" s="3201" customFormat="1">
      <c r="A171" s="3201" t="s">
        <v>3642</v>
      </c>
      <c r="B171" s="3201" t="s">
        <v>3054</v>
      </c>
      <c r="C171" s="3201" t="s">
        <v>3055</v>
      </c>
      <c r="D171" s="3201" t="s">
        <v>2814</v>
      </c>
      <c r="E171" s="3201" t="s">
        <v>3639</v>
      </c>
      <c r="F171" s="3201" t="s">
        <v>3642</v>
      </c>
      <c r="G171" s="3201" t="s">
        <v>922</v>
      </c>
      <c r="H171" s="3201">
        <v>78196</v>
      </c>
      <c r="I171" s="3201">
        <v>160301.79999999999</v>
      </c>
      <c r="J171" s="3201" t="s">
        <v>3484</v>
      </c>
      <c r="K171" s="3201" t="s">
        <v>3633</v>
      </c>
      <c r="L171" s="3201" t="s">
        <v>3634</v>
      </c>
      <c r="M171" s="3201" t="s">
        <v>3410</v>
      </c>
      <c r="N171" s="3201">
        <v>6553</v>
      </c>
      <c r="O171" s="3201">
        <v>55.87</v>
      </c>
      <c r="P171" s="3201">
        <v>408.79</v>
      </c>
      <c r="Q171" s="3201">
        <v>2.1</v>
      </c>
      <c r="R171" s="3201">
        <v>70</v>
      </c>
    </row>
    <row r="172" spans="1:18" s="3201" customFormat="1" hidden="1">
      <c r="A172" s="3201" t="s">
        <v>3643</v>
      </c>
      <c r="B172" s="3201" t="s">
        <v>3054</v>
      </c>
      <c r="C172" s="3201" t="s">
        <v>3055</v>
      </c>
      <c r="D172" s="3201" t="s">
        <v>2814</v>
      </c>
      <c r="E172" s="3201" t="s">
        <v>3643</v>
      </c>
      <c r="F172" s="3201" t="s">
        <v>3644</v>
      </c>
      <c r="G172" s="3201" t="s">
        <v>3269</v>
      </c>
      <c r="H172" s="3201">
        <v>5262.36</v>
      </c>
      <c r="I172" s="3201">
        <v>13155.9</v>
      </c>
      <c r="J172" s="3201" t="s">
        <v>3645</v>
      </c>
      <c r="K172" s="3201" t="s">
        <v>3646</v>
      </c>
      <c r="L172" s="3201" t="s">
        <v>3647</v>
      </c>
      <c r="M172" s="3201" t="s">
        <v>3273</v>
      </c>
      <c r="N172" s="3201">
        <v>3776</v>
      </c>
      <c r="O172" s="3201">
        <v>478.37</v>
      </c>
      <c r="P172" s="3201">
        <v>2870.19</v>
      </c>
      <c r="Q172" s="3201">
        <v>49.49</v>
      </c>
      <c r="R172" s="3201" t="s">
        <v>3062</v>
      </c>
    </row>
    <row r="173" spans="1:18" s="3201" customFormat="1">
      <c r="A173" s="3201" t="s">
        <v>3648</v>
      </c>
      <c r="B173" s="3201" t="s">
        <v>3054</v>
      </c>
      <c r="C173" s="3201" t="s">
        <v>3055</v>
      </c>
      <c r="D173" s="3201" t="s">
        <v>2814</v>
      </c>
      <c r="E173" s="3201" t="s">
        <v>3649</v>
      </c>
      <c r="F173" s="3201" t="s">
        <v>3650</v>
      </c>
      <c r="G173" s="3201" t="s">
        <v>922</v>
      </c>
      <c r="H173" s="3201">
        <v>162780</v>
      </c>
      <c r="I173" s="3201">
        <v>266959.2</v>
      </c>
      <c r="J173" s="3201" t="s">
        <v>3651</v>
      </c>
      <c r="K173" s="3201" t="s">
        <v>3652</v>
      </c>
      <c r="L173" s="3201" t="s">
        <v>3653</v>
      </c>
      <c r="M173" s="3201" t="s">
        <v>3654</v>
      </c>
      <c r="N173" s="3201">
        <v>252220.5</v>
      </c>
      <c r="O173" s="3201">
        <v>1032.97</v>
      </c>
      <c r="P173" s="3201">
        <v>9447.89</v>
      </c>
      <c r="Q173" s="3201">
        <v>110</v>
      </c>
      <c r="R173" s="3201">
        <v>70</v>
      </c>
    </row>
    <row r="174" spans="1:18" s="3201" customFormat="1">
      <c r="A174" s="3201" t="s">
        <v>3655</v>
      </c>
      <c r="B174" s="3201" t="s">
        <v>3054</v>
      </c>
      <c r="C174" s="3201" t="s">
        <v>3055</v>
      </c>
      <c r="D174" s="3201" t="s">
        <v>2814</v>
      </c>
      <c r="E174" s="3201" t="s">
        <v>3656</v>
      </c>
      <c r="F174" s="3201" t="s">
        <v>3657</v>
      </c>
      <c r="G174" s="3201" t="s">
        <v>922</v>
      </c>
      <c r="H174" s="3201">
        <v>75795</v>
      </c>
      <c r="I174" s="3201">
        <v>128851.5</v>
      </c>
      <c r="J174" s="3201" t="s">
        <v>3658</v>
      </c>
      <c r="K174" s="3201" t="s">
        <v>3652</v>
      </c>
      <c r="L174" s="3201" t="s">
        <v>3653</v>
      </c>
      <c r="M174" s="3201" t="s">
        <v>3659</v>
      </c>
      <c r="N174" s="3201">
        <v>100510.8</v>
      </c>
      <c r="O174" s="3201">
        <v>884.06</v>
      </c>
      <c r="P174" s="3201">
        <v>7800.51</v>
      </c>
      <c r="Q174" s="3201">
        <v>149.19999999999999</v>
      </c>
      <c r="R174" s="3201">
        <v>70</v>
      </c>
    </row>
    <row r="175" spans="1:18" s="3201" customFormat="1">
      <c r="A175" s="3201" t="s">
        <v>3660</v>
      </c>
      <c r="B175" s="3201" t="s">
        <v>3054</v>
      </c>
      <c r="C175" s="3201" t="s">
        <v>3078</v>
      </c>
      <c r="D175" s="3201" t="s">
        <v>2814</v>
      </c>
      <c r="E175" s="3201" t="s">
        <v>3661</v>
      </c>
      <c r="F175" s="3201" t="s">
        <v>3662</v>
      </c>
      <c r="G175" s="3201" t="s">
        <v>3300</v>
      </c>
      <c r="H175" s="3201">
        <v>45737</v>
      </c>
      <c r="I175" s="3201">
        <v>64031.8</v>
      </c>
      <c r="J175" s="3201" t="s">
        <v>3663</v>
      </c>
      <c r="K175" s="3201" t="s">
        <v>3652</v>
      </c>
      <c r="L175" s="3201" t="s">
        <v>3653</v>
      </c>
      <c r="M175" s="3201" t="s">
        <v>3664</v>
      </c>
      <c r="N175" s="3201">
        <v>38451.980000000003</v>
      </c>
      <c r="O175" s="3201">
        <v>560.48</v>
      </c>
      <c r="P175" s="3201">
        <v>6005.14</v>
      </c>
      <c r="Q175" s="3201">
        <v>186.19</v>
      </c>
      <c r="R175" s="3201">
        <v>70</v>
      </c>
    </row>
    <row r="176" spans="1:18" s="3201" customFormat="1">
      <c r="A176" s="3201" t="s">
        <v>3665</v>
      </c>
      <c r="B176" s="3201" t="s">
        <v>3054</v>
      </c>
      <c r="C176" s="3201" t="s">
        <v>3055</v>
      </c>
      <c r="D176" s="3201" t="s">
        <v>2814</v>
      </c>
      <c r="E176" s="3201" t="s">
        <v>3649</v>
      </c>
      <c r="F176" s="3201" t="s">
        <v>3666</v>
      </c>
      <c r="G176" s="3201" t="s">
        <v>922</v>
      </c>
      <c r="H176" s="3201">
        <v>148955</v>
      </c>
      <c r="I176" s="3201">
        <v>275566.8</v>
      </c>
      <c r="J176" s="3201" t="s">
        <v>3346</v>
      </c>
      <c r="K176" s="3201" t="s">
        <v>3652</v>
      </c>
      <c r="L176" s="3201" t="s">
        <v>3653</v>
      </c>
      <c r="M176" s="3201" t="s">
        <v>3667</v>
      </c>
      <c r="N176" s="3201">
        <v>233899.5</v>
      </c>
      <c r="O176" s="3201">
        <v>1046.8499999999999</v>
      </c>
      <c r="P176" s="3201">
        <v>8487.94</v>
      </c>
      <c r="Q176" s="3201">
        <v>88.67</v>
      </c>
      <c r="R176" s="3201">
        <v>70</v>
      </c>
    </row>
    <row r="177" spans="1:18" s="3201" customFormat="1" hidden="1">
      <c r="A177" s="3201" t="s">
        <v>3668</v>
      </c>
      <c r="B177" s="3201" t="s">
        <v>3054</v>
      </c>
      <c r="C177" s="3201" t="s">
        <v>3055</v>
      </c>
      <c r="D177" s="3201" t="s">
        <v>2814</v>
      </c>
      <c r="E177" s="3201" t="s">
        <v>3668</v>
      </c>
      <c r="F177" s="3201" t="s">
        <v>3669</v>
      </c>
      <c r="G177" s="3201" t="s">
        <v>3057</v>
      </c>
      <c r="H177" s="3201">
        <v>34530</v>
      </c>
      <c r="I177" s="3201">
        <v>69060</v>
      </c>
      <c r="J177" s="3201" t="s">
        <v>3058</v>
      </c>
      <c r="K177" s="3201" t="s">
        <v>3670</v>
      </c>
      <c r="L177" s="3201" t="s">
        <v>3671</v>
      </c>
      <c r="M177" s="3201" t="s">
        <v>3672</v>
      </c>
      <c r="N177" s="3201">
        <v>2849</v>
      </c>
      <c r="O177" s="3201">
        <v>55.01</v>
      </c>
      <c r="P177" s="3201">
        <v>412.54</v>
      </c>
      <c r="Q177" s="3201">
        <v>0</v>
      </c>
      <c r="R177" s="3201" t="s">
        <v>3062</v>
      </c>
    </row>
    <row r="178" spans="1:18" s="3201" customFormat="1" hidden="1">
      <c r="A178" s="3201" t="s">
        <v>3673</v>
      </c>
      <c r="B178" s="3201" t="s">
        <v>3054</v>
      </c>
      <c r="C178" s="3201" t="s">
        <v>3055</v>
      </c>
      <c r="D178" s="3201" t="s">
        <v>2814</v>
      </c>
      <c r="E178" s="3201" t="s">
        <v>3673</v>
      </c>
      <c r="F178" s="3201" t="s">
        <v>3674</v>
      </c>
      <c r="G178" s="3201" t="s">
        <v>3057</v>
      </c>
      <c r="H178" s="3201">
        <v>22409</v>
      </c>
      <c r="I178" s="3201">
        <v>56022.5</v>
      </c>
      <c r="J178" s="3201" t="s">
        <v>3065</v>
      </c>
      <c r="K178" s="3201" t="s">
        <v>3670</v>
      </c>
      <c r="L178" s="3201" t="s">
        <v>3671</v>
      </c>
      <c r="M178" s="3201" t="s">
        <v>3675</v>
      </c>
      <c r="N178" s="3201">
        <v>12644</v>
      </c>
      <c r="O178" s="3201">
        <v>376.16</v>
      </c>
      <c r="P178" s="3201">
        <v>2256.94</v>
      </c>
      <c r="Q178" s="3201">
        <v>235.92</v>
      </c>
      <c r="R178" s="3201" t="s">
        <v>3062</v>
      </c>
    </row>
    <row r="179" spans="1:18" s="3201" customFormat="1" hidden="1">
      <c r="A179" s="3201" t="s">
        <v>3676</v>
      </c>
      <c r="B179" s="3201" t="s">
        <v>3054</v>
      </c>
      <c r="C179" s="3201" t="s">
        <v>3055</v>
      </c>
      <c r="D179" s="3201" t="s">
        <v>2814</v>
      </c>
      <c r="E179" s="3201" t="s">
        <v>3676</v>
      </c>
      <c r="F179" s="3201" t="s">
        <v>3677</v>
      </c>
      <c r="G179" s="3201" t="s">
        <v>3057</v>
      </c>
      <c r="H179" s="3201">
        <v>2556</v>
      </c>
      <c r="I179" s="3201">
        <v>8946</v>
      </c>
      <c r="J179" s="3201" t="s">
        <v>3122</v>
      </c>
      <c r="K179" s="3201" t="s">
        <v>3670</v>
      </c>
      <c r="L179" s="3201" t="s">
        <v>3671</v>
      </c>
      <c r="M179" s="3201" t="s">
        <v>3290</v>
      </c>
      <c r="N179" s="3201">
        <v>1724</v>
      </c>
      <c r="O179" s="3201">
        <v>449.66</v>
      </c>
      <c r="P179" s="3201">
        <v>1927.11</v>
      </c>
      <c r="Q179" s="3201">
        <v>0</v>
      </c>
      <c r="R179" s="3201" t="s">
        <v>3062</v>
      </c>
    </row>
    <row r="180" spans="1:18" s="3201" customFormat="1" hidden="1">
      <c r="A180" s="3201" t="s">
        <v>3678</v>
      </c>
      <c r="B180" s="3201" t="s">
        <v>3054</v>
      </c>
      <c r="C180" s="3201" t="s">
        <v>3055</v>
      </c>
      <c r="D180" s="3201" t="s">
        <v>2814</v>
      </c>
      <c r="E180" s="3201" t="s">
        <v>3678</v>
      </c>
      <c r="F180" s="3201" t="s">
        <v>3679</v>
      </c>
      <c r="G180" s="3201" t="s">
        <v>3057</v>
      </c>
      <c r="H180" s="3201">
        <v>409</v>
      </c>
      <c r="I180" s="3201">
        <v>1881.4</v>
      </c>
      <c r="J180" s="3201" t="s">
        <v>3680</v>
      </c>
      <c r="K180" s="3201" t="s">
        <v>3670</v>
      </c>
      <c r="L180" s="3201" t="s">
        <v>3671</v>
      </c>
      <c r="M180" s="3201" t="s">
        <v>3681</v>
      </c>
      <c r="N180" s="3201">
        <v>275</v>
      </c>
      <c r="O180" s="3201">
        <v>448.25</v>
      </c>
      <c r="P180" s="3201">
        <v>1461.68</v>
      </c>
      <c r="Q180" s="3201">
        <v>0</v>
      </c>
      <c r="R180" s="3201" t="s">
        <v>3062</v>
      </c>
    </row>
    <row r="181" spans="1:18" s="3201" customFormat="1" hidden="1">
      <c r="A181" s="3201" t="s">
        <v>3682</v>
      </c>
      <c r="B181" s="3201" t="s">
        <v>3054</v>
      </c>
      <c r="C181" s="3201" t="s">
        <v>3055</v>
      </c>
      <c r="D181" s="3201" t="s">
        <v>2814</v>
      </c>
      <c r="E181" s="3201" t="s">
        <v>3682</v>
      </c>
      <c r="F181" s="3201" t="s">
        <v>3683</v>
      </c>
      <c r="G181" s="3201" t="s">
        <v>3057</v>
      </c>
      <c r="H181" s="3201">
        <v>52159</v>
      </c>
      <c r="I181" s="3201">
        <v>130397.5</v>
      </c>
      <c r="J181" s="3201" t="s">
        <v>3065</v>
      </c>
      <c r="K181" s="3201" t="s">
        <v>3670</v>
      </c>
      <c r="L181" s="3201" t="s">
        <v>3671</v>
      </c>
      <c r="M181" s="3201" t="s">
        <v>3684</v>
      </c>
      <c r="N181" s="3201">
        <v>57105</v>
      </c>
      <c r="O181" s="3201">
        <v>729.88</v>
      </c>
      <c r="P181" s="3201">
        <v>4379.3</v>
      </c>
      <c r="Q181" s="3201">
        <v>176.47</v>
      </c>
      <c r="R181" s="3201" t="s">
        <v>3062</v>
      </c>
    </row>
    <row r="182" spans="1:18" s="3201" customFormat="1" hidden="1">
      <c r="A182" s="3201" t="s">
        <v>3685</v>
      </c>
      <c r="B182" s="3201" t="s">
        <v>3054</v>
      </c>
      <c r="C182" s="3201" t="s">
        <v>3055</v>
      </c>
      <c r="D182" s="3201" t="s">
        <v>2814</v>
      </c>
      <c r="E182" s="3201" t="s">
        <v>3685</v>
      </c>
      <c r="F182" s="3201" t="s">
        <v>3686</v>
      </c>
      <c r="G182" s="3201" t="s">
        <v>3057</v>
      </c>
      <c r="H182" s="3201">
        <v>274</v>
      </c>
      <c r="I182" s="3201">
        <v>493.2</v>
      </c>
      <c r="J182" s="3201" t="s">
        <v>3293</v>
      </c>
      <c r="K182" s="3201" t="s">
        <v>3670</v>
      </c>
      <c r="L182" s="3201" t="s">
        <v>3671</v>
      </c>
      <c r="M182" s="3201" t="s">
        <v>3290</v>
      </c>
      <c r="N182" s="3201">
        <v>185</v>
      </c>
      <c r="O182" s="3201">
        <v>450.12</v>
      </c>
      <c r="P182" s="3201">
        <v>3751.01</v>
      </c>
      <c r="Q182" s="3201">
        <v>0</v>
      </c>
      <c r="R182" s="3201" t="s">
        <v>3062</v>
      </c>
    </row>
    <row r="183" spans="1:18" s="3201" customFormat="1" hidden="1">
      <c r="A183" s="3201" t="s">
        <v>3687</v>
      </c>
      <c r="B183" s="3201" t="s">
        <v>3054</v>
      </c>
      <c r="C183" s="3201" t="s">
        <v>3055</v>
      </c>
      <c r="D183" s="3201" t="s">
        <v>2814</v>
      </c>
      <c r="E183" s="3201" t="s">
        <v>3687</v>
      </c>
      <c r="F183" s="3201" t="s">
        <v>3688</v>
      </c>
      <c r="G183" s="3201" t="s">
        <v>3057</v>
      </c>
      <c r="H183" s="3201">
        <v>13713</v>
      </c>
      <c r="I183" s="3201">
        <v>30168.6</v>
      </c>
      <c r="J183" s="3201" t="s">
        <v>3113</v>
      </c>
      <c r="K183" s="3201" t="s">
        <v>3670</v>
      </c>
      <c r="L183" s="3201" t="s">
        <v>3671</v>
      </c>
      <c r="M183" s="3201" t="s">
        <v>3689</v>
      </c>
      <c r="N183" s="3201">
        <v>20020</v>
      </c>
      <c r="O183" s="3201">
        <v>973.29</v>
      </c>
      <c r="P183" s="3201">
        <v>6636.03</v>
      </c>
      <c r="Q183" s="3201">
        <v>178.06</v>
      </c>
      <c r="R183" s="3201" t="s">
        <v>3062</v>
      </c>
    </row>
    <row r="184" spans="1:18" s="3201" customFormat="1" hidden="1">
      <c r="A184" s="3201" t="s">
        <v>3690</v>
      </c>
      <c r="B184" s="3201" t="s">
        <v>3054</v>
      </c>
      <c r="C184" s="3201" t="s">
        <v>3055</v>
      </c>
      <c r="D184" s="3201" t="s">
        <v>2814</v>
      </c>
      <c r="E184" s="3201" t="s">
        <v>3690</v>
      </c>
      <c r="F184" s="3201" t="s">
        <v>3691</v>
      </c>
      <c r="G184" s="3201" t="s">
        <v>3057</v>
      </c>
      <c r="H184" s="3201">
        <v>19999</v>
      </c>
      <c r="I184" s="3201">
        <v>23998.799999999999</v>
      </c>
      <c r="J184" s="3201" t="s">
        <v>3692</v>
      </c>
      <c r="K184" s="3201" t="s">
        <v>3670</v>
      </c>
      <c r="L184" s="3201" t="s">
        <v>3671</v>
      </c>
      <c r="M184" s="3201" t="s">
        <v>3672</v>
      </c>
      <c r="N184" s="3201">
        <v>1800</v>
      </c>
      <c r="O184" s="3201">
        <v>60</v>
      </c>
      <c r="P184" s="3201">
        <v>750.03</v>
      </c>
      <c r="Q184" s="3201">
        <v>0</v>
      </c>
      <c r="R184" s="3201" t="s">
        <v>3062</v>
      </c>
    </row>
    <row r="185" spans="1:18" s="3201" customFormat="1" hidden="1">
      <c r="A185" s="3201" t="s">
        <v>3693</v>
      </c>
      <c r="B185" s="3201" t="s">
        <v>3054</v>
      </c>
      <c r="C185" s="3201" t="s">
        <v>3055</v>
      </c>
      <c r="D185" s="3201" t="s">
        <v>2814</v>
      </c>
      <c r="E185" s="3201" t="s">
        <v>3693</v>
      </c>
      <c r="F185" s="3201" t="s">
        <v>3694</v>
      </c>
      <c r="G185" s="3201" t="s">
        <v>3057</v>
      </c>
      <c r="H185" s="3201">
        <v>24969</v>
      </c>
      <c r="I185" s="3201">
        <v>87391.5</v>
      </c>
      <c r="J185" s="3201" t="s">
        <v>3122</v>
      </c>
      <c r="K185" s="3201" t="s">
        <v>3670</v>
      </c>
      <c r="L185" s="3201" t="s">
        <v>3671</v>
      </c>
      <c r="M185" s="3201" t="s">
        <v>3290</v>
      </c>
      <c r="N185" s="3201">
        <v>28873</v>
      </c>
      <c r="O185" s="3201">
        <v>770.9</v>
      </c>
      <c r="P185" s="3201">
        <v>3303.86</v>
      </c>
      <c r="Q185" s="3201">
        <v>71.319999999999993</v>
      </c>
      <c r="R185" s="3201" t="s">
        <v>3062</v>
      </c>
    </row>
    <row r="186" spans="1:18" s="3201" customFormat="1" hidden="1">
      <c r="A186" s="3201" t="s">
        <v>3695</v>
      </c>
      <c r="B186" s="3201" t="s">
        <v>3054</v>
      </c>
      <c r="C186" s="3201" t="s">
        <v>3055</v>
      </c>
      <c r="D186" s="3201" t="s">
        <v>2814</v>
      </c>
      <c r="E186" s="3201" t="s">
        <v>3695</v>
      </c>
      <c r="F186" s="3201" t="s">
        <v>3696</v>
      </c>
      <c r="G186" s="3201" t="s">
        <v>3057</v>
      </c>
      <c r="H186" s="3201">
        <v>69332</v>
      </c>
      <c r="I186" s="3201">
        <v>173330</v>
      </c>
      <c r="J186" s="3201" t="s">
        <v>3065</v>
      </c>
      <c r="K186" s="3201" t="s">
        <v>3697</v>
      </c>
      <c r="L186" s="3201" t="s">
        <v>3698</v>
      </c>
      <c r="M186" s="3201" t="s">
        <v>3699</v>
      </c>
      <c r="N186" s="3201">
        <v>62560</v>
      </c>
      <c r="O186" s="3201">
        <v>601.54999999999995</v>
      </c>
      <c r="P186" s="3201">
        <v>3609.3</v>
      </c>
      <c r="Q186" s="3201">
        <v>264.57</v>
      </c>
      <c r="R186" s="3201" t="s">
        <v>3062</v>
      </c>
    </row>
    <row r="187" spans="1:18" s="3201" customFormat="1" hidden="1">
      <c r="A187" s="3201" t="s">
        <v>3700</v>
      </c>
      <c r="B187" s="3201" t="s">
        <v>3054</v>
      </c>
      <c r="C187" s="3201" t="s">
        <v>3055</v>
      </c>
      <c r="D187" s="3201" t="s">
        <v>2814</v>
      </c>
      <c r="E187" s="3201" t="s">
        <v>3701</v>
      </c>
      <c r="F187" s="3201" t="s">
        <v>3702</v>
      </c>
      <c r="G187" s="3201" t="s">
        <v>3057</v>
      </c>
      <c r="H187" s="3201">
        <v>8378</v>
      </c>
      <c r="I187" s="3201">
        <v>20945</v>
      </c>
      <c r="J187" s="3201" t="s">
        <v>3703</v>
      </c>
      <c r="K187" s="3201" t="s">
        <v>3704</v>
      </c>
      <c r="L187" s="3201" t="s">
        <v>3705</v>
      </c>
      <c r="M187" s="3201" t="s">
        <v>3706</v>
      </c>
      <c r="N187" s="3201">
        <v>8315</v>
      </c>
      <c r="O187" s="3201">
        <v>661.65</v>
      </c>
      <c r="P187" s="3201">
        <v>3969.92</v>
      </c>
      <c r="Q187" s="3201">
        <v>32.299999999999997</v>
      </c>
      <c r="R187" s="3201" t="s">
        <v>3062</v>
      </c>
    </row>
    <row r="188" spans="1:18" s="3201" customFormat="1" hidden="1">
      <c r="A188" s="3201" t="s">
        <v>3707</v>
      </c>
      <c r="B188" s="3201" t="s">
        <v>3054</v>
      </c>
      <c r="C188" s="3201" t="s">
        <v>3055</v>
      </c>
      <c r="D188" s="3201" t="s">
        <v>2814</v>
      </c>
      <c r="E188" s="3201" t="s">
        <v>3708</v>
      </c>
      <c r="F188" s="3201" t="s">
        <v>3709</v>
      </c>
      <c r="G188" s="3201" t="s">
        <v>3057</v>
      </c>
      <c r="H188" s="3201">
        <v>590</v>
      </c>
      <c r="I188" s="3201">
        <v>649</v>
      </c>
      <c r="J188" s="3201" t="s">
        <v>3710</v>
      </c>
      <c r="K188" s="3201" t="s">
        <v>3704</v>
      </c>
      <c r="L188" s="3201" t="s">
        <v>3705</v>
      </c>
      <c r="M188" s="3201" t="s">
        <v>3711</v>
      </c>
      <c r="N188" s="3201">
        <v>53</v>
      </c>
      <c r="O188" s="3201">
        <v>59.89</v>
      </c>
      <c r="P188" s="3201">
        <v>816.63</v>
      </c>
      <c r="Q188" s="3201">
        <v>0</v>
      </c>
      <c r="R188" s="3201" t="s">
        <v>3062</v>
      </c>
    </row>
    <row r="189" spans="1:18" s="3201" customFormat="1" hidden="1">
      <c r="A189" s="3201" t="s">
        <v>3712</v>
      </c>
      <c r="B189" s="3201" t="s">
        <v>3054</v>
      </c>
      <c r="C189" s="3201" t="s">
        <v>3055</v>
      </c>
      <c r="D189" s="3201" t="s">
        <v>2814</v>
      </c>
      <c r="E189" s="3201" t="s">
        <v>3713</v>
      </c>
      <c r="F189" s="3201" t="s">
        <v>3714</v>
      </c>
      <c r="G189" s="3201" t="s">
        <v>3057</v>
      </c>
      <c r="H189" s="3201">
        <v>11536</v>
      </c>
      <c r="I189" s="3201">
        <v>28840</v>
      </c>
      <c r="J189" s="3201" t="s">
        <v>3703</v>
      </c>
      <c r="K189" s="3201" t="s">
        <v>3704</v>
      </c>
      <c r="L189" s="3201" t="s">
        <v>2814</v>
      </c>
      <c r="M189" s="3201" t="s">
        <v>3286</v>
      </c>
      <c r="N189" s="3201">
        <v>11245</v>
      </c>
      <c r="O189" s="3201">
        <v>649.85</v>
      </c>
      <c r="P189" s="3201">
        <v>3899.09</v>
      </c>
      <c r="Q189" s="3201">
        <v>0</v>
      </c>
      <c r="R189" s="3201" t="s">
        <v>3062</v>
      </c>
    </row>
    <row r="190" spans="1:18" s="3201" customFormat="1" hidden="1">
      <c r="A190" s="3201" t="s">
        <v>3715</v>
      </c>
      <c r="B190" s="3201" t="s">
        <v>3054</v>
      </c>
      <c r="C190" s="3201" t="s">
        <v>3055</v>
      </c>
      <c r="D190" s="3201" t="s">
        <v>2814</v>
      </c>
      <c r="E190" s="3201" t="s">
        <v>3708</v>
      </c>
      <c r="F190" s="3201" t="s">
        <v>3716</v>
      </c>
      <c r="G190" s="3201" t="s">
        <v>3057</v>
      </c>
      <c r="H190" s="3201">
        <v>618</v>
      </c>
      <c r="I190" s="3201">
        <v>679.8</v>
      </c>
      <c r="J190" s="3201" t="s">
        <v>3710</v>
      </c>
      <c r="K190" s="3201" t="s">
        <v>3704</v>
      </c>
      <c r="L190" s="3201" t="s">
        <v>3705</v>
      </c>
      <c r="M190" s="3201" t="s">
        <v>3711</v>
      </c>
      <c r="N190" s="3201">
        <v>56</v>
      </c>
      <c r="O190" s="3201">
        <v>60.41</v>
      </c>
      <c r="P190" s="3201">
        <v>823.76</v>
      </c>
      <c r="Q190" s="3201">
        <v>0</v>
      </c>
      <c r="R190" s="3201" t="s">
        <v>3062</v>
      </c>
    </row>
    <row r="191" spans="1:18" s="3201" customFormat="1" hidden="1">
      <c r="A191" s="3201" t="s">
        <v>3717</v>
      </c>
      <c r="B191" s="3201" t="s">
        <v>3054</v>
      </c>
      <c r="C191" s="3201" t="s">
        <v>3055</v>
      </c>
      <c r="D191" s="3201" t="s">
        <v>2814</v>
      </c>
      <c r="E191" s="3201" t="s">
        <v>3718</v>
      </c>
      <c r="F191" s="3201" t="s">
        <v>3719</v>
      </c>
      <c r="G191" s="3201" t="s">
        <v>3057</v>
      </c>
      <c r="H191" s="3201">
        <v>18256</v>
      </c>
      <c r="I191" s="3201">
        <v>45640</v>
      </c>
      <c r="J191" s="3201" t="s">
        <v>3703</v>
      </c>
      <c r="K191" s="3201" t="s">
        <v>3704</v>
      </c>
      <c r="L191" s="3201" t="s">
        <v>3705</v>
      </c>
      <c r="M191" s="3201" t="s">
        <v>3381</v>
      </c>
      <c r="N191" s="3201">
        <v>19486</v>
      </c>
      <c r="O191" s="3201">
        <v>711.58</v>
      </c>
      <c r="P191" s="3201">
        <v>4269.5</v>
      </c>
      <c r="Q191" s="3201">
        <v>1.67</v>
      </c>
      <c r="R191" s="3201" t="s">
        <v>3062</v>
      </c>
    </row>
    <row r="192" spans="1:18" s="3201" customFormat="1" hidden="1">
      <c r="A192" s="3201" t="s">
        <v>3720</v>
      </c>
      <c r="B192" s="3201" t="s">
        <v>3054</v>
      </c>
      <c r="C192" s="3201" t="s">
        <v>3055</v>
      </c>
      <c r="D192" s="3201" t="s">
        <v>2814</v>
      </c>
      <c r="E192" s="3201" t="s">
        <v>3721</v>
      </c>
      <c r="F192" s="3201" t="s">
        <v>3722</v>
      </c>
      <c r="G192" s="3201" t="s">
        <v>3057</v>
      </c>
      <c r="H192" s="3201">
        <v>6166</v>
      </c>
      <c r="I192" s="3201">
        <v>12332</v>
      </c>
      <c r="J192" s="3201" t="s">
        <v>3723</v>
      </c>
      <c r="K192" s="3201" t="s">
        <v>3704</v>
      </c>
      <c r="L192" s="3201" t="s">
        <v>3705</v>
      </c>
      <c r="M192" s="3201" t="s">
        <v>3724</v>
      </c>
      <c r="N192" s="3201">
        <v>6013</v>
      </c>
      <c r="O192" s="3201">
        <v>650.12</v>
      </c>
      <c r="P192" s="3201">
        <v>4875.93</v>
      </c>
      <c r="Q192" s="3201">
        <v>0</v>
      </c>
      <c r="R192" s="3201" t="s">
        <v>3062</v>
      </c>
    </row>
    <row r="193" spans="1:18" s="3201" customFormat="1" hidden="1">
      <c r="A193" s="3201" t="s">
        <v>3725</v>
      </c>
      <c r="B193" s="3201" t="s">
        <v>3054</v>
      </c>
      <c r="C193" s="3201" t="s">
        <v>3055</v>
      </c>
      <c r="D193" s="3201" t="s">
        <v>2814</v>
      </c>
      <c r="E193" s="3201" t="s">
        <v>3718</v>
      </c>
      <c r="F193" s="3201" t="s">
        <v>3726</v>
      </c>
      <c r="G193" s="3201" t="s">
        <v>3057</v>
      </c>
      <c r="H193" s="3201">
        <v>80</v>
      </c>
      <c r="I193" s="3201">
        <v>200</v>
      </c>
      <c r="J193" s="3201" t="s">
        <v>3703</v>
      </c>
      <c r="K193" s="3201" t="s">
        <v>3704</v>
      </c>
      <c r="L193" s="3201" t="s">
        <v>3705</v>
      </c>
      <c r="M193" s="3201" t="s">
        <v>3381</v>
      </c>
      <c r="N193" s="3201">
        <v>84</v>
      </c>
      <c r="O193" s="3201">
        <v>700</v>
      </c>
      <c r="P193" s="3201">
        <v>4200</v>
      </c>
      <c r="Q193" s="3201">
        <v>0</v>
      </c>
      <c r="R193" s="3201" t="s">
        <v>3062</v>
      </c>
    </row>
    <row r="194" spans="1:18" s="3201" customFormat="1">
      <c r="A194" s="3201" t="s">
        <v>3727</v>
      </c>
      <c r="B194" s="3201" t="s">
        <v>3054</v>
      </c>
      <c r="C194" s="3201" t="s">
        <v>3055</v>
      </c>
      <c r="D194" s="3201" t="s">
        <v>2814</v>
      </c>
      <c r="E194" s="3201" t="s">
        <v>3728</v>
      </c>
      <c r="F194" s="3201" t="s">
        <v>3729</v>
      </c>
      <c r="G194" s="3201" t="s">
        <v>922</v>
      </c>
      <c r="H194" s="3201">
        <v>31332.799999999999</v>
      </c>
      <c r="I194" s="3201">
        <v>38539.339999999997</v>
      </c>
      <c r="J194" s="3201" t="s">
        <v>3730</v>
      </c>
      <c r="K194" s="3201" t="s">
        <v>3731</v>
      </c>
      <c r="L194" s="3201" t="s">
        <v>3732</v>
      </c>
      <c r="M194" s="3201" t="s">
        <v>3733</v>
      </c>
      <c r="N194" s="3201">
        <v>5900</v>
      </c>
      <c r="O194" s="3201">
        <v>125.53</v>
      </c>
      <c r="P194" s="3201">
        <v>1530.9</v>
      </c>
      <c r="Q194" s="3201">
        <v>0</v>
      </c>
      <c r="R194" s="3201">
        <v>70</v>
      </c>
    </row>
    <row r="195" spans="1:18" s="3201" customFormat="1">
      <c r="A195" s="3201" t="s">
        <v>3734</v>
      </c>
      <c r="B195" s="3201" t="s">
        <v>3054</v>
      </c>
      <c r="C195" s="3201" t="s">
        <v>3055</v>
      </c>
      <c r="D195" s="3201" t="s">
        <v>2814</v>
      </c>
      <c r="E195" s="3201" t="s">
        <v>3734</v>
      </c>
      <c r="F195" s="3201" t="s">
        <v>3735</v>
      </c>
      <c r="G195" s="3201" t="s">
        <v>3057</v>
      </c>
      <c r="H195" s="3201">
        <v>37399</v>
      </c>
      <c r="I195" s="3201">
        <v>93497.5</v>
      </c>
      <c r="J195" s="3201" t="s">
        <v>3495</v>
      </c>
      <c r="K195" s="3201" t="s">
        <v>3736</v>
      </c>
      <c r="L195" s="3201" t="s">
        <v>3737</v>
      </c>
      <c r="M195" s="3201" t="s">
        <v>3664</v>
      </c>
      <c r="N195" s="3201">
        <v>33770</v>
      </c>
      <c r="O195" s="3201">
        <v>601.98</v>
      </c>
      <c r="P195" s="3201">
        <v>3611.86</v>
      </c>
      <c r="Q195" s="3201">
        <v>150.71</v>
      </c>
      <c r="R195" s="3201" t="s">
        <v>3062</v>
      </c>
    </row>
    <row r="196" spans="1:18" s="3201" customFormat="1">
      <c r="A196" s="3201" t="s">
        <v>3738</v>
      </c>
      <c r="B196" s="3201" t="s">
        <v>3054</v>
      </c>
      <c r="C196" s="3201" t="s">
        <v>3055</v>
      </c>
      <c r="D196" s="3201" t="s">
        <v>2814</v>
      </c>
      <c r="E196" s="3201" t="s">
        <v>3738</v>
      </c>
      <c r="F196" s="3201" t="s">
        <v>3739</v>
      </c>
      <c r="G196" s="3201" t="s">
        <v>3057</v>
      </c>
      <c r="H196" s="3201">
        <v>33491</v>
      </c>
      <c r="I196" s="3201">
        <v>83727.5</v>
      </c>
      <c r="J196" s="3201" t="s">
        <v>3495</v>
      </c>
      <c r="K196" s="3201" t="s">
        <v>3736</v>
      </c>
      <c r="L196" s="3201" t="s">
        <v>3740</v>
      </c>
      <c r="M196" s="3201" t="s">
        <v>3664</v>
      </c>
      <c r="N196" s="3201">
        <v>42960</v>
      </c>
      <c r="O196" s="3201">
        <v>855.16</v>
      </c>
      <c r="P196" s="3201">
        <v>5130.93</v>
      </c>
      <c r="Q196" s="3201">
        <v>256.22000000000003</v>
      </c>
      <c r="R196" s="3201" t="s">
        <v>3062</v>
      </c>
    </row>
    <row r="197" spans="1:18" s="3201" customFormat="1">
      <c r="A197" s="3201" t="s">
        <v>3741</v>
      </c>
      <c r="B197" s="3201" t="s">
        <v>3054</v>
      </c>
      <c r="C197" s="3201" t="s">
        <v>3055</v>
      </c>
      <c r="D197" s="3201" t="s">
        <v>2814</v>
      </c>
      <c r="E197" s="3201" t="s">
        <v>3741</v>
      </c>
      <c r="F197" s="3201" t="s">
        <v>3742</v>
      </c>
      <c r="G197" s="3201" t="s">
        <v>3057</v>
      </c>
      <c r="H197" s="3201">
        <v>58122</v>
      </c>
      <c r="I197" s="3201">
        <v>174366</v>
      </c>
      <c r="J197" s="3201" t="s">
        <v>3743</v>
      </c>
      <c r="K197" s="3201" t="s">
        <v>3736</v>
      </c>
      <c r="L197" s="3201" t="s">
        <v>3744</v>
      </c>
      <c r="M197" s="3201" t="s">
        <v>3745</v>
      </c>
      <c r="N197" s="3201">
        <v>5240</v>
      </c>
      <c r="O197" s="3201">
        <v>60.1</v>
      </c>
      <c r="P197" s="3201">
        <v>300.51</v>
      </c>
      <c r="Q197" s="3201">
        <v>0</v>
      </c>
      <c r="R197" s="3201" t="s">
        <v>3062</v>
      </c>
    </row>
    <row r="198" spans="1:18" s="3201" customFormat="1">
      <c r="A198" s="3201" t="s">
        <v>3746</v>
      </c>
      <c r="B198" s="3201" t="s">
        <v>3054</v>
      </c>
      <c r="C198" s="3201" t="s">
        <v>3055</v>
      </c>
      <c r="D198" s="3201" t="s">
        <v>2814</v>
      </c>
      <c r="E198" s="3201" t="s">
        <v>3746</v>
      </c>
      <c r="F198" s="3201" t="s">
        <v>3747</v>
      </c>
      <c r="G198" s="3201" t="s">
        <v>3057</v>
      </c>
      <c r="H198" s="3201">
        <v>15590</v>
      </c>
      <c r="I198" s="3201">
        <v>46770</v>
      </c>
      <c r="J198" s="3201" t="s">
        <v>3743</v>
      </c>
      <c r="K198" s="3201" t="s">
        <v>3736</v>
      </c>
      <c r="L198" s="3201" t="s">
        <v>3748</v>
      </c>
      <c r="M198" s="3201" t="s">
        <v>3749</v>
      </c>
      <c r="N198" s="3201">
        <v>3510</v>
      </c>
      <c r="O198" s="3201">
        <v>150.1</v>
      </c>
      <c r="P198" s="3201">
        <v>750.48</v>
      </c>
      <c r="Q198" s="3201">
        <v>0</v>
      </c>
      <c r="R198" s="3201" t="s">
        <v>3062</v>
      </c>
    </row>
    <row r="199" spans="1:18" s="3201" customFormat="1">
      <c r="A199" s="3201" t="s">
        <v>3738</v>
      </c>
      <c r="B199" s="3201" t="s">
        <v>3054</v>
      </c>
      <c r="C199" s="3201" t="s">
        <v>3055</v>
      </c>
      <c r="D199" s="3201" t="s">
        <v>2814</v>
      </c>
      <c r="E199" s="3201" t="s">
        <v>3738</v>
      </c>
      <c r="F199" s="3201" t="s">
        <v>3750</v>
      </c>
      <c r="G199" s="3201" t="s">
        <v>3057</v>
      </c>
      <c r="H199" s="3201">
        <v>62381</v>
      </c>
      <c r="I199" s="3201">
        <v>155952.5</v>
      </c>
      <c r="J199" s="3201" t="s">
        <v>3495</v>
      </c>
      <c r="K199" s="3201" t="s">
        <v>3736</v>
      </c>
      <c r="L199" s="3201" t="s">
        <v>3751</v>
      </c>
      <c r="M199" s="3201" t="s">
        <v>3664</v>
      </c>
      <c r="N199" s="3201">
        <v>52640</v>
      </c>
      <c r="O199" s="3201">
        <v>562.55999999999995</v>
      </c>
      <c r="P199" s="3201">
        <v>3375.38</v>
      </c>
      <c r="Q199" s="3201">
        <v>142.13</v>
      </c>
      <c r="R199" s="3201" t="s">
        <v>3062</v>
      </c>
    </row>
    <row r="200" spans="1:18" s="3201" customFormat="1">
      <c r="A200" s="3201" t="s">
        <v>3741</v>
      </c>
      <c r="B200" s="3201" t="s">
        <v>3054</v>
      </c>
      <c r="C200" s="3201" t="s">
        <v>3055</v>
      </c>
      <c r="D200" s="3201" t="s">
        <v>2814</v>
      </c>
      <c r="E200" s="3201" t="s">
        <v>3741</v>
      </c>
      <c r="F200" s="3201" t="s">
        <v>3752</v>
      </c>
      <c r="G200" s="3201" t="s">
        <v>3057</v>
      </c>
      <c r="H200" s="3201">
        <v>61337</v>
      </c>
      <c r="I200" s="3201">
        <v>184011</v>
      </c>
      <c r="J200" s="3201" t="s">
        <v>3743</v>
      </c>
      <c r="K200" s="3201" t="s">
        <v>3736</v>
      </c>
      <c r="L200" s="3201" t="s">
        <v>3753</v>
      </c>
      <c r="M200" s="3201" t="s">
        <v>3745</v>
      </c>
      <c r="N200" s="3201">
        <v>5530</v>
      </c>
      <c r="O200" s="3201">
        <v>60.11</v>
      </c>
      <c r="P200" s="3201">
        <v>300.52</v>
      </c>
      <c r="Q200" s="3201">
        <v>0</v>
      </c>
      <c r="R200" s="3201" t="s">
        <v>3062</v>
      </c>
    </row>
    <row r="201" spans="1:18" s="3201" customFormat="1">
      <c r="A201" s="3201" t="s">
        <v>3754</v>
      </c>
      <c r="B201" s="3201" t="s">
        <v>3054</v>
      </c>
      <c r="C201" s="3201" t="s">
        <v>3055</v>
      </c>
      <c r="D201" s="3201" t="s">
        <v>2814</v>
      </c>
      <c r="E201" s="3201" t="s">
        <v>3754</v>
      </c>
      <c r="F201" s="3201" t="s">
        <v>3755</v>
      </c>
      <c r="G201" s="3201" t="s">
        <v>3057</v>
      </c>
      <c r="H201" s="3201">
        <v>17218</v>
      </c>
      <c r="I201" s="3201">
        <v>27548.799999999999</v>
      </c>
      <c r="J201" s="3201" t="s">
        <v>3756</v>
      </c>
      <c r="K201" s="3201" t="s">
        <v>3736</v>
      </c>
      <c r="L201" s="3201" t="s">
        <v>3757</v>
      </c>
      <c r="M201" s="3201" t="s">
        <v>3498</v>
      </c>
      <c r="N201" s="3201">
        <v>5170</v>
      </c>
      <c r="O201" s="3201">
        <v>200.18</v>
      </c>
      <c r="P201" s="3201">
        <v>1876.67</v>
      </c>
      <c r="Q201" s="3201">
        <v>0</v>
      </c>
      <c r="R201" s="3201" t="s">
        <v>3062</v>
      </c>
    </row>
    <row r="202" spans="1:18" s="3201" customFormat="1">
      <c r="A202" s="3201" t="s">
        <v>3741</v>
      </c>
      <c r="B202" s="3201" t="s">
        <v>3054</v>
      </c>
      <c r="C202" s="3201" t="s">
        <v>3055</v>
      </c>
      <c r="D202" s="3201" t="s">
        <v>2814</v>
      </c>
      <c r="E202" s="3201" t="s">
        <v>3741</v>
      </c>
      <c r="F202" s="3201" t="s">
        <v>3758</v>
      </c>
      <c r="G202" s="3201" t="s">
        <v>3057</v>
      </c>
      <c r="H202" s="3201">
        <v>41871</v>
      </c>
      <c r="I202" s="3201">
        <v>125613</v>
      </c>
      <c r="J202" s="3201" t="s">
        <v>3743</v>
      </c>
      <c r="K202" s="3201" t="s">
        <v>3736</v>
      </c>
      <c r="L202" s="3201" t="s">
        <v>3759</v>
      </c>
      <c r="M202" s="3201" t="s">
        <v>3745</v>
      </c>
      <c r="N202" s="3201">
        <v>3770</v>
      </c>
      <c r="O202" s="3201">
        <v>60.03</v>
      </c>
      <c r="P202" s="3201">
        <v>300.12</v>
      </c>
      <c r="Q202" s="3201">
        <v>0</v>
      </c>
      <c r="R202" s="3201" t="s">
        <v>3062</v>
      </c>
    </row>
    <row r="203" spans="1:18" s="3201" customFormat="1">
      <c r="A203" s="3201" t="s">
        <v>3738</v>
      </c>
      <c r="B203" s="3201" t="s">
        <v>3054</v>
      </c>
      <c r="C203" s="3201" t="s">
        <v>3055</v>
      </c>
      <c r="D203" s="3201" t="s">
        <v>2814</v>
      </c>
      <c r="E203" s="3201" t="s">
        <v>3738</v>
      </c>
      <c r="F203" s="3201" t="s">
        <v>3760</v>
      </c>
      <c r="G203" s="3201" t="s">
        <v>3057</v>
      </c>
      <c r="H203" s="3201">
        <v>58070</v>
      </c>
      <c r="I203" s="3201">
        <v>145175</v>
      </c>
      <c r="J203" s="3201" t="s">
        <v>3495</v>
      </c>
      <c r="K203" s="3201" t="s">
        <v>3736</v>
      </c>
      <c r="L203" s="3201" t="s">
        <v>3761</v>
      </c>
      <c r="M203" s="3201" t="s">
        <v>3664</v>
      </c>
      <c r="N203" s="3201">
        <v>51810</v>
      </c>
      <c r="O203" s="3201">
        <v>594.79999999999995</v>
      </c>
      <c r="P203" s="3201">
        <v>3568.8</v>
      </c>
      <c r="Q203" s="3201">
        <v>147.78</v>
      </c>
      <c r="R203" s="3201" t="s">
        <v>3062</v>
      </c>
    </row>
    <row r="204" spans="1:18" s="3201" customFormat="1">
      <c r="A204" s="3201" t="s">
        <v>3734</v>
      </c>
      <c r="B204" s="3201" t="s">
        <v>3054</v>
      </c>
      <c r="C204" s="3201" t="s">
        <v>3055</v>
      </c>
      <c r="D204" s="3201" t="s">
        <v>2814</v>
      </c>
      <c r="E204" s="3201" t="s">
        <v>3734</v>
      </c>
      <c r="F204" s="3201" t="s">
        <v>3762</v>
      </c>
      <c r="G204" s="3201" t="s">
        <v>3057</v>
      </c>
      <c r="H204" s="3201">
        <v>44718</v>
      </c>
      <c r="I204" s="3201">
        <v>111795</v>
      </c>
      <c r="J204" s="3201" t="s">
        <v>3495</v>
      </c>
      <c r="K204" s="3201" t="s">
        <v>3736</v>
      </c>
      <c r="L204" s="3201" t="s">
        <v>3763</v>
      </c>
      <c r="M204" s="3201" t="s">
        <v>3664</v>
      </c>
      <c r="N204" s="3201">
        <v>36400</v>
      </c>
      <c r="O204" s="3201">
        <v>542.66</v>
      </c>
      <c r="P204" s="3201">
        <v>3255.96</v>
      </c>
      <c r="Q204" s="3201">
        <v>126.09</v>
      </c>
      <c r="R204" s="3201" t="s">
        <v>3062</v>
      </c>
    </row>
    <row r="205" spans="1:18" s="3201" customFormat="1">
      <c r="A205" s="3201" t="s">
        <v>3741</v>
      </c>
      <c r="B205" s="3201" t="s">
        <v>3054</v>
      </c>
      <c r="C205" s="3201" t="s">
        <v>3055</v>
      </c>
      <c r="D205" s="3201" t="s">
        <v>2814</v>
      </c>
      <c r="E205" s="3201" t="s">
        <v>3741</v>
      </c>
      <c r="F205" s="3201" t="s">
        <v>3764</v>
      </c>
      <c r="G205" s="3201" t="s">
        <v>3057</v>
      </c>
      <c r="H205" s="3201">
        <v>53544</v>
      </c>
      <c r="I205" s="3201">
        <v>160632</v>
      </c>
      <c r="J205" s="3201" t="s">
        <v>3743</v>
      </c>
      <c r="K205" s="3201" t="s">
        <v>3736</v>
      </c>
      <c r="L205" s="3201" t="s">
        <v>3765</v>
      </c>
      <c r="M205" s="3201" t="s">
        <v>3745</v>
      </c>
      <c r="N205" s="3201">
        <v>4820</v>
      </c>
      <c r="O205" s="3201">
        <v>60.01</v>
      </c>
      <c r="P205" s="3201">
        <v>300.06</v>
      </c>
      <c r="Q205" s="3201">
        <v>0</v>
      </c>
      <c r="R205" s="3201" t="s">
        <v>3062</v>
      </c>
    </row>
    <row r="206" spans="1:18" s="3201" customFormat="1">
      <c r="A206" s="3201" t="s">
        <v>3741</v>
      </c>
      <c r="B206" s="3201" t="s">
        <v>3054</v>
      </c>
      <c r="C206" s="3201" t="s">
        <v>3055</v>
      </c>
      <c r="D206" s="3201" t="s">
        <v>2814</v>
      </c>
      <c r="E206" s="3201" t="s">
        <v>3741</v>
      </c>
      <c r="F206" s="3201" t="s">
        <v>3766</v>
      </c>
      <c r="G206" s="3201" t="s">
        <v>3057</v>
      </c>
      <c r="H206" s="3201">
        <v>42448</v>
      </c>
      <c r="I206" s="3201">
        <v>127344</v>
      </c>
      <c r="J206" s="3201" t="s">
        <v>3743</v>
      </c>
      <c r="K206" s="3201" t="s">
        <v>3736</v>
      </c>
      <c r="L206" s="3201" t="s">
        <v>3767</v>
      </c>
      <c r="M206" s="3201" t="s">
        <v>3745</v>
      </c>
      <c r="N206" s="3201">
        <v>3830</v>
      </c>
      <c r="O206" s="3201">
        <v>60.15</v>
      </c>
      <c r="P206" s="3201">
        <v>300.75</v>
      </c>
      <c r="Q206" s="3201">
        <v>0</v>
      </c>
      <c r="R206" s="3201" t="s">
        <v>3062</v>
      </c>
    </row>
    <row r="207" spans="1:18" s="3201" customFormat="1" hidden="1">
      <c r="A207" s="3201" t="s">
        <v>3768</v>
      </c>
      <c r="B207" s="3201" t="s">
        <v>3054</v>
      </c>
      <c r="C207" s="3201" t="s">
        <v>3055</v>
      </c>
      <c r="D207" s="3201" t="s">
        <v>2814</v>
      </c>
      <c r="E207" s="3201" t="s">
        <v>3768</v>
      </c>
      <c r="F207" s="3201" t="s">
        <v>3769</v>
      </c>
      <c r="G207" s="3201" t="s">
        <v>3269</v>
      </c>
      <c r="H207" s="3201">
        <v>1423.15</v>
      </c>
      <c r="I207" s="3201">
        <v>4269.45</v>
      </c>
      <c r="J207" s="3201" t="s">
        <v>3770</v>
      </c>
      <c r="K207" s="3201" t="s">
        <v>3771</v>
      </c>
      <c r="L207" s="3201" t="s">
        <v>3772</v>
      </c>
      <c r="M207" s="3201" t="s">
        <v>3773</v>
      </c>
      <c r="N207" s="3201">
        <v>598</v>
      </c>
      <c r="O207" s="3201">
        <v>280.13</v>
      </c>
      <c r="P207" s="3201">
        <v>1400.65</v>
      </c>
      <c r="Q207" s="3201">
        <v>0</v>
      </c>
      <c r="R207" s="3201" t="s">
        <v>3062</v>
      </c>
    </row>
    <row r="208" spans="1:18" s="3201" customFormat="1" hidden="1">
      <c r="A208" s="3201" t="s">
        <v>3774</v>
      </c>
      <c r="B208" s="3201" t="s">
        <v>3054</v>
      </c>
      <c r="C208" s="3201" t="s">
        <v>3055</v>
      </c>
      <c r="D208" s="3201" t="s">
        <v>2814</v>
      </c>
      <c r="E208" s="3201" t="s">
        <v>3774</v>
      </c>
      <c r="F208" s="3201" t="s">
        <v>3775</v>
      </c>
      <c r="G208" s="3201" t="s">
        <v>3269</v>
      </c>
      <c r="H208" s="3201">
        <v>7454.56</v>
      </c>
      <c r="I208" s="3201">
        <v>9690.93</v>
      </c>
      <c r="J208" s="3201" t="s">
        <v>3466</v>
      </c>
      <c r="K208" s="3201" t="s">
        <v>3771</v>
      </c>
      <c r="L208" s="3201" t="s">
        <v>3772</v>
      </c>
      <c r="M208" s="3201" t="s">
        <v>3467</v>
      </c>
      <c r="N208" s="3201">
        <v>2684</v>
      </c>
      <c r="O208" s="3201">
        <v>240.03</v>
      </c>
      <c r="P208" s="3201">
        <v>2769.59</v>
      </c>
      <c r="Q208" s="3201">
        <v>0</v>
      </c>
      <c r="R208" s="3201" t="s">
        <v>3062</v>
      </c>
    </row>
    <row r="209" spans="1:18" s="3201" customFormat="1" hidden="1">
      <c r="A209" s="3201" t="s">
        <v>3776</v>
      </c>
      <c r="B209" s="3201" t="s">
        <v>3054</v>
      </c>
      <c r="C209" s="3201" t="s">
        <v>3055</v>
      </c>
      <c r="D209" s="3201" t="s">
        <v>2814</v>
      </c>
      <c r="E209" s="3201" t="s">
        <v>3776</v>
      </c>
      <c r="F209" s="3201" t="s">
        <v>3777</v>
      </c>
      <c r="G209" s="3201" t="s">
        <v>3269</v>
      </c>
      <c r="H209" s="3201">
        <v>37681.67</v>
      </c>
      <c r="I209" s="3201">
        <v>67827.009999999995</v>
      </c>
      <c r="J209" s="3201" t="s">
        <v>3778</v>
      </c>
      <c r="K209" s="3201" t="s">
        <v>3771</v>
      </c>
      <c r="L209" s="3201" t="s">
        <v>3772</v>
      </c>
      <c r="M209" s="3201" t="s">
        <v>3779</v>
      </c>
      <c r="N209" s="3201">
        <v>13000</v>
      </c>
      <c r="O209" s="3201">
        <v>230</v>
      </c>
      <c r="P209" s="3201">
        <v>1916.64</v>
      </c>
      <c r="Q209" s="3201">
        <v>0</v>
      </c>
      <c r="R209" s="3201" t="s">
        <v>3062</v>
      </c>
    </row>
    <row r="210" spans="1:18" s="3201" customFormat="1">
      <c r="A210" s="3201" t="s">
        <v>3243</v>
      </c>
      <c r="B210" s="3201" t="s">
        <v>3054</v>
      </c>
      <c r="C210" s="3201" t="s">
        <v>3055</v>
      </c>
      <c r="D210" s="3201" t="s">
        <v>2814</v>
      </c>
      <c r="E210" s="3201" t="s">
        <v>3243</v>
      </c>
      <c r="F210" s="3201" t="s">
        <v>3780</v>
      </c>
      <c r="G210" s="3201" t="s">
        <v>3057</v>
      </c>
      <c r="H210" s="3201">
        <v>9271</v>
      </c>
      <c r="I210" s="3201">
        <v>27813</v>
      </c>
      <c r="J210" s="3201" t="s">
        <v>3743</v>
      </c>
      <c r="K210" s="3201" t="s">
        <v>3781</v>
      </c>
      <c r="L210" s="3201" t="s">
        <v>3782</v>
      </c>
      <c r="M210" s="3201" t="s">
        <v>3783</v>
      </c>
      <c r="N210" s="3201">
        <v>4440</v>
      </c>
      <c r="O210" s="3201">
        <v>319.27999999999997</v>
      </c>
      <c r="P210" s="3201">
        <v>1596.38</v>
      </c>
      <c r="Q210" s="3201">
        <v>32.93</v>
      </c>
      <c r="R210" s="3201" t="s">
        <v>3062</v>
      </c>
    </row>
    <row r="211" spans="1:18" s="3201" customFormat="1">
      <c r="A211" s="3201" t="s">
        <v>3513</v>
      </c>
      <c r="B211" s="3201" t="s">
        <v>3054</v>
      </c>
      <c r="C211" s="3201" t="s">
        <v>3055</v>
      </c>
      <c r="D211" s="3201" t="s">
        <v>2814</v>
      </c>
      <c r="E211" s="3201" t="s">
        <v>3513</v>
      </c>
      <c r="F211" s="3201" t="s">
        <v>3784</v>
      </c>
      <c r="G211" s="3201" t="s">
        <v>3057</v>
      </c>
      <c r="H211" s="3201">
        <v>10538</v>
      </c>
      <c r="I211" s="3201">
        <v>26345</v>
      </c>
      <c r="J211" s="3201" t="s">
        <v>3495</v>
      </c>
      <c r="K211" s="3201" t="s">
        <v>3781</v>
      </c>
      <c r="L211" s="3201" t="s">
        <v>3785</v>
      </c>
      <c r="M211" s="3201" t="s">
        <v>3498</v>
      </c>
      <c r="N211" s="3201">
        <v>4110</v>
      </c>
      <c r="O211" s="3201">
        <v>260.01</v>
      </c>
      <c r="P211" s="3201">
        <v>1560.06</v>
      </c>
      <c r="Q211" s="3201">
        <v>0</v>
      </c>
      <c r="R211" s="3201" t="s">
        <v>3062</v>
      </c>
    </row>
    <row r="212" spans="1:18" s="3201" customFormat="1">
      <c r="A212" s="3201" t="s">
        <v>3786</v>
      </c>
      <c r="B212" s="3201" t="s">
        <v>3054</v>
      </c>
      <c r="C212" s="3201" t="s">
        <v>3055</v>
      </c>
      <c r="D212" s="3201" t="s">
        <v>2814</v>
      </c>
      <c r="E212" s="3201" t="s">
        <v>3786</v>
      </c>
      <c r="F212" s="3201" t="s">
        <v>3787</v>
      </c>
      <c r="G212" s="3201" t="s">
        <v>3057</v>
      </c>
      <c r="H212" s="3201">
        <v>32327</v>
      </c>
      <c r="I212" s="3201">
        <v>96981</v>
      </c>
      <c r="J212" s="3201" t="s">
        <v>3743</v>
      </c>
      <c r="K212" s="3201" t="s">
        <v>3781</v>
      </c>
      <c r="L212" s="3201" t="s">
        <v>3788</v>
      </c>
      <c r="M212" s="3201" t="s">
        <v>3783</v>
      </c>
      <c r="N212" s="3201">
        <v>14540</v>
      </c>
      <c r="O212" s="3201">
        <v>299.85000000000002</v>
      </c>
      <c r="P212" s="3201">
        <v>1499.25</v>
      </c>
      <c r="Q212" s="3201">
        <v>24.91</v>
      </c>
      <c r="R212" s="3201" t="s">
        <v>3062</v>
      </c>
    </row>
    <row r="213" spans="1:18" s="3201" customFormat="1">
      <c r="A213" s="3201" t="s">
        <v>3789</v>
      </c>
      <c r="B213" s="3201" t="s">
        <v>3054</v>
      </c>
      <c r="C213" s="3201" t="s">
        <v>3055</v>
      </c>
      <c r="D213" s="3201" t="s">
        <v>2814</v>
      </c>
      <c r="E213" s="3201" t="s">
        <v>3789</v>
      </c>
      <c r="F213" s="3201" t="s">
        <v>3790</v>
      </c>
      <c r="G213" s="3201" t="s">
        <v>3057</v>
      </c>
      <c r="H213" s="3201">
        <v>19135</v>
      </c>
      <c r="I213" s="3201">
        <v>57405</v>
      </c>
      <c r="J213" s="3201" t="s">
        <v>3743</v>
      </c>
      <c r="K213" s="3201" t="s">
        <v>3781</v>
      </c>
      <c r="L213" s="3201" t="s">
        <v>3791</v>
      </c>
      <c r="M213" s="3201" t="s">
        <v>3783</v>
      </c>
      <c r="N213" s="3201">
        <v>8690</v>
      </c>
      <c r="O213" s="3201">
        <v>302.76</v>
      </c>
      <c r="P213" s="3201">
        <v>1513.8</v>
      </c>
      <c r="Q213" s="3201">
        <v>26.12</v>
      </c>
      <c r="R213" s="3201" t="s">
        <v>3062</v>
      </c>
    </row>
    <row r="214" spans="1:18" s="3201" customFormat="1">
      <c r="A214" s="3201" t="s">
        <v>3243</v>
      </c>
      <c r="B214" s="3201" t="s">
        <v>3054</v>
      </c>
      <c r="C214" s="3201" t="s">
        <v>3055</v>
      </c>
      <c r="D214" s="3201" t="s">
        <v>2814</v>
      </c>
      <c r="E214" s="3201" t="s">
        <v>3243</v>
      </c>
      <c r="F214" s="3201" t="s">
        <v>3792</v>
      </c>
      <c r="G214" s="3201" t="s">
        <v>3057</v>
      </c>
      <c r="H214" s="3201">
        <v>66123</v>
      </c>
      <c r="I214" s="3201">
        <v>198369</v>
      </c>
      <c r="J214" s="3201" t="s">
        <v>3743</v>
      </c>
      <c r="K214" s="3201" t="s">
        <v>3781</v>
      </c>
      <c r="L214" s="3201" t="s">
        <v>3793</v>
      </c>
      <c r="M214" s="3201" t="s">
        <v>3783</v>
      </c>
      <c r="N214" s="3201">
        <v>31810</v>
      </c>
      <c r="O214" s="3201">
        <v>320.72000000000003</v>
      </c>
      <c r="P214" s="3201">
        <v>1603.57</v>
      </c>
      <c r="Q214" s="3201">
        <v>33.6</v>
      </c>
      <c r="R214" s="3201" t="s">
        <v>3062</v>
      </c>
    </row>
    <row r="215" spans="1:18" s="3201" customFormat="1">
      <c r="A215" s="3201" t="s">
        <v>3794</v>
      </c>
      <c r="B215" s="3201" t="s">
        <v>3054</v>
      </c>
      <c r="C215" s="3201" t="s">
        <v>3055</v>
      </c>
      <c r="D215" s="3201" t="s">
        <v>2814</v>
      </c>
      <c r="E215" s="3201" t="s">
        <v>3794</v>
      </c>
      <c r="F215" s="3201" t="s">
        <v>3795</v>
      </c>
      <c r="G215" s="3201" t="s">
        <v>3057</v>
      </c>
      <c r="H215" s="3201">
        <v>7460</v>
      </c>
      <c r="I215" s="3201">
        <v>22380</v>
      </c>
      <c r="J215" s="3201" t="s">
        <v>3743</v>
      </c>
      <c r="K215" s="3201" t="s">
        <v>3781</v>
      </c>
      <c r="L215" s="3201" t="s">
        <v>3796</v>
      </c>
      <c r="M215" s="3201" t="s">
        <v>3783</v>
      </c>
      <c r="N215" s="3201">
        <v>3140</v>
      </c>
      <c r="O215" s="3201">
        <v>280.61</v>
      </c>
      <c r="P215" s="3201">
        <v>1403.03</v>
      </c>
      <c r="Q215" s="3201">
        <v>16.73</v>
      </c>
      <c r="R215" s="3201" t="s">
        <v>3062</v>
      </c>
    </row>
    <row r="216" spans="1:18" s="3201" customFormat="1">
      <c r="A216" s="3201" t="s">
        <v>3797</v>
      </c>
      <c r="B216" s="3201" t="s">
        <v>3054</v>
      </c>
      <c r="C216" s="3201" t="s">
        <v>3055</v>
      </c>
      <c r="D216" s="3201" t="s">
        <v>2814</v>
      </c>
      <c r="E216" s="3201" t="s">
        <v>3797</v>
      </c>
      <c r="F216" s="3201" t="s">
        <v>3798</v>
      </c>
      <c r="G216" s="3201" t="s">
        <v>3057</v>
      </c>
      <c r="H216" s="3201">
        <v>21371</v>
      </c>
      <c r="I216" s="3201">
        <v>53427.5</v>
      </c>
      <c r="J216" s="3201" t="s">
        <v>3495</v>
      </c>
      <c r="K216" s="3201" t="s">
        <v>3781</v>
      </c>
      <c r="L216" s="3201" t="s">
        <v>3799</v>
      </c>
      <c r="M216" s="3201" t="s">
        <v>3509</v>
      </c>
      <c r="N216" s="3201">
        <v>4810</v>
      </c>
      <c r="O216" s="3201">
        <v>150.05000000000001</v>
      </c>
      <c r="P216" s="3201">
        <v>900.28</v>
      </c>
      <c r="Q216" s="3201">
        <v>0</v>
      </c>
      <c r="R216" s="3201" t="s">
        <v>3062</v>
      </c>
    </row>
    <row r="217" spans="1:18" s="3201" customFormat="1" hidden="1">
      <c r="A217" s="3201" t="s">
        <v>3800</v>
      </c>
      <c r="B217" s="3201" t="s">
        <v>3054</v>
      </c>
      <c r="C217" s="3201" t="s">
        <v>3055</v>
      </c>
      <c r="D217" s="3201" t="s">
        <v>2814</v>
      </c>
      <c r="E217" s="3201" t="s">
        <v>3800</v>
      </c>
      <c r="F217" s="3201" t="s">
        <v>3801</v>
      </c>
      <c r="G217" s="3201" t="s">
        <v>3057</v>
      </c>
      <c r="H217" s="3201">
        <v>6311</v>
      </c>
      <c r="I217" s="3201">
        <v>6626.55</v>
      </c>
      <c r="J217" s="3201" t="s">
        <v>3184</v>
      </c>
      <c r="K217" s="3201" t="s">
        <v>3802</v>
      </c>
      <c r="L217" s="3201" t="s">
        <v>3803</v>
      </c>
      <c r="M217" s="3201" t="s">
        <v>3804</v>
      </c>
      <c r="N217" s="3201">
        <v>778</v>
      </c>
      <c r="O217" s="3201">
        <v>82.18</v>
      </c>
      <c r="P217" s="3201">
        <v>1174.05</v>
      </c>
      <c r="Q217" s="3201">
        <v>0</v>
      </c>
      <c r="R217" s="3201" t="s">
        <v>3062</v>
      </c>
    </row>
    <row r="218" spans="1:18" s="3201" customFormat="1" hidden="1">
      <c r="A218" s="3201" t="s">
        <v>3805</v>
      </c>
      <c r="B218" s="3201" t="s">
        <v>3054</v>
      </c>
      <c r="C218" s="3201" t="s">
        <v>3055</v>
      </c>
      <c r="D218" s="3201" t="s">
        <v>2814</v>
      </c>
      <c r="E218" s="3201" t="s">
        <v>3805</v>
      </c>
      <c r="F218" s="3201" t="s">
        <v>3806</v>
      </c>
      <c r="G218" s="3201" t="s">
        <v>3057</v>
      </c>
      <c r="H218" s="3201">
        <v>8563</v>
      </c>
      <c r="I218" s="3201">
        <v>8991.15</v>
      </c>
      <c r="J218" s="3201" t="s">
        <v>3184</v>
      </c>
      <c r="K218" s="3201" t="s">
        <v>3802</v>
      </c>
      <c r="L218" s="3201" t="s">
        <v>3803</v>
      </c>
      <c r="M218" s="3201" t="s">
        <v>3804</v>
      </c>
      <c r="N218" s="3201">
        <v>1055</v>
      </c>
      <c r="O218" s="3201">
        <v>82.14</v>
      </c>
      <c r="P218" s="3201">
        <v>1173.3800000000001</v>
      </c>
      <c r="Q218" s="3201">
        <v>0</v>
      </c>
      <c r="R218" s="3201" t="s">
        <v>3062</v>
      </c>
    </row>
    <row r="219" spans="1:18" s="3201" customFormat="1" hidden="1">
      <c r="A219" s="3201" t="s">
        <v>3807</v>
      </c>
      <c r="B219" s="3201" t="s">
        <v>3054</v>
      </c>
      <c r="C219" s="3201" t="s">
        <v>3055</v>
      </c>
      <c r="D219" s="3201" t="s">
        <v>2814</v>
      </c>
      <c r="E219" s="3201" t="s">
        <v>3807</v>
      </c>
      <c r="F219" s="3201" t="s">
        <v>3808</v>
      </c>
      <c r="G219" s="3201" t="s">
        <v>3057</v>
      </c>
      <c r="H219" s="3201">
        <v>7988</v>
      </c>
      <c r="I219" s="3201">
        <v>8387.4</v>
      </c>
      <c r="J219" s="3201" t="s">
        <v>3184</v>
      </c>
      <c r="K219" s="3201" t="s">
        <v>3802</v>
      </c>
      <c r="L219" s="3201" t="s">
        <v>3803</v>
      </c>
      <c r="M219" s="3201" t="s">
        <v>3804</v>
      </c>
      <c r="N219" s="3201">
        <v>985</v>
      </c>
      <c r="O219" s="3201">
        <v>82.21</v>
      </c>
      <c r="P219" s="3201">
        <v>1174.3800000000001</v>
      </c>
      <c r="Q219" s="3201">
        <v>0</v>
      </c>
      <c r="R219" s="3201" t="s">
        <v>3062</v>
      </c>
    </row>
    <row r="220" spans="1:18" s="3201" customFormat="1" hidden="1">
      <c r="A220" s="3201" t="s">
        <v>3807</v>
      </c>
      <c r="B220" s="3201" t="s">
        <v>3054</v>
      </c>
      <c r="C220" s="3201" t="s">
        <v>3055</v>
      </c>
      <c r="D220" s="3201" t="s">
        <v>2814</v>
      </c>
      <c r="E220" s="3201" t="s">
        <v>3807</v>
      </c>
      <c r="F220" s="3201" t="s">
        <v>3809</v>
      </c>
      <c r="G220" s="3201" t="s">
        <v>3057</v>
      </c>
      <c r="H220" s="3201">
        <v>13157</v>
      </c>
      <c r="I220" s="3201">
        <v>13814.85</v>
      </c>
      <c r="J220" s="3201" t="s">
        <v>3184</v>
      </c>
      <c r="K220" s="3201" t="s">
        <v>3802</v>
      </c>
      <c r="L220" s="3201" t="s">
        <v>3803</v>
      </c>
      <c r="M220" s="3201" t="s">
        <v>3804</v>
      </c>
      <c r="N220" s="3201">
        <v>1623</v>
      </c>
      <c r="O220" s="3201">
        <v>82.24</v>
      </c>
      <c r="P220" s="3201">
        <v>1174.81</v>
      </c>
      <c r="Q220" s="3201">
        <v>0</v>
      </c>
      <c r="R220" s="3201" t="s">
        <v>3062</v>
      </c>
    </row>
    <row r="221" spans="1:18" s="3201" customFormat="1" hidden="1">
      <c r="A221" s="3201" t="s">
        <v>3810</v>
      </c>
      <c r="B221" s="3201" t="s">
        <v>3054</v>
      </c>
      <c r="C221" s="3201" t="s">
        <v>3055</v>
      </c>
      <c r="D221" s="3201" t="s">
        <v>2814</v>
      </c>
      <c r="E221" s="3201" t="s">
        <v>3810</v>
      </c>
      <c r="F221" s="3201" t="s">
        <v>3811</v>
      </c>
      <c r="G221" s="3201" t="s">
        <v>3057</v>
      </c>
      <c r="H221" s="3201">
        <v>20423</v>
      </c>
      <c r="I221" s="3201">
        <v>32676.799999999999</v>
      </c>
      <c r="J221" s="3201" t="s">
        <v>3196</v>
      </c>
      <c r="K221" s="3201" t="s">
        <v>3802</v>
      </c>
      <c r="L221" s="3201" t="s">
        <v>3803</v>
      </c>
      <c r="M221" s="3201" t="s">
        <v>3804</v>
      </c>
      <c r="N221" s="3201">
        <v>3498</v>
      </c>
      <c r="O221" s="3201">
        <v>114.18</v>
      </c>
      <c r="P221" s="3201">
        <v>1070.48</v>
      </c>
      <c r="Q221" s="3201">
        <v>0</v>
      </c>
      <c r="R221" s="3201" t="s">
        <v>3062</v>
      </c>
    </row>
    <row r="222" spans="1:18" s="3201" customFormat="1" hidden="1">
      <c r="A222" s="3201" t="s">
        <v>3805</v>
      </c>
      <c r="B222" s="3201" t="s">
        <v>3054</v>
      </c>
      <c r="C222" s="3201" t="s">
        <v>3055</v>
      </c>
      <c r="D222" s="3201" t="s">
        <v>2814</v>
      </c>
      <c r="E222" s="3201" t="s">
        <v>3805</v>
      </c>
      <c r="F222" s="3201" t="s">
        <v>3812</v>
      </c>
      <c r="G222" s="3201" t="s">
        <v>3057</v>
      </c>
      <c r="H222" s="3201">
        <v>15670</v>
      </c>
      <c r="I222" s="3201">
        <v>18804</v>
      </c>
      <c r="J222" s="3201" t="s">
        <v>3692</v>
      </c>
      <c r="K222" s="3201" t="s">
        <v>3802</v>
      </c>
      <c r="L222" s="3201" t="s">
        <v>3803</v>
      </c>
      <c r="M222" s="3201" t="s">
        <v>3804</v>
      </c>
      <c r="N222" s="3201">
        <v>2685</v>
      </c>
      <c r="O222" s="3201">
        <v>114.23</v>
      </c>
      <c r="P222" s="3201">
        <v>1427.89</v>
      </c>
      <c r="Q222" s="3201">
        <v>0</v>
      </c>
      <c r="R222" s="3201" t="s">
        <v>3062</v>
      </c>
    </row>
    <row r="223" spans="1:18" s="3201" customFormat="1" hidden="1">
      <c r="A223" s="3201" t="s">
        <v>3810</v>
      </c>
      <c r="B223" s="3201" t="s">
        <v>3054</v>
      </c>
      <c r="C223" s="3201" t="s">
        <v>3055</v>
      </c>
      <c r="D223" s="3201" t="s">
        <v>2814</v>
      </c>
      <c r="E223" s="3201" t="s">
        <v>3810</v>
      </c>
      <c r="F223" s="3201" t="s">
        <v>3813</v>
      </c>
      <c r="G223" s="3201" t="s">
        <v>3057</v>
      </c>
      <c r="H223" s="3201">
        <v>2718</v>
      </c>
      <c r="I223" s="3201">
        <v>2989.8</v>
      </c>
      <c r="J223" s="3201" t="s">
        <v>3161</v>
      </c>
      <c r="K223" s="3201" t="s">
        <v>3802</v>
      </c>
      <c r="L223" s="3201" t="s">
        <v>3803</v>
      </c>
      <c r="M223" s="3201" t="s">
        <v>3804</v>
      </c>
      <c r="N223" s="3201">
        <v>394</v>
      </c>
      <c r="O223" s="3201">
        <v>96.64</v>
      </c>
      <c r="P223" s="3201">
        <v>1317.8</v>
      </c>
      <c r="Q223" s="3201">
        <v>0</v>
      </c>
      <c r="R223" s="3201" t="s">
        <v>3062</v>
      </c>
    </row>
    <row r="224" spans="1:18" s="3201" customFormat="1" hidden="1">
      <c r="A224" s="3201" t="s">
        <v>3814</v>
      </c>
      <c r="B224" s="3201" t="s">
        <v>3054</v>
      </c>
      <c r="C224" s="3201" t="s">
        <v>3055</v>
      </c>
      <c r="D224" s="3201" t="s">
        <v>2814</v>
      </c>
      <c r="E224" s="3201" t="s">
        <v>3814</v>
      </c>
      <c r="F224" s="3201" t="s">
        <v>3815</v>
      </c>
      <c r="G224" s="3201" t="s">
        <v>3057</v>
      </c>
      <c r="H224" s="3201">
        <v>55493</v>
      </c>
      <c r="I224" s="3201">
        <v>61042.3</v>
      </c>
      <c r="J224" s="3201" t="s">
        <v>3161</v>
      </c>
      <c r="K224" s="3201" t="s">
        <v>3802</v>
      </c>
      <c r="L224" s="3201" t="s">
        <v>3803</v>
      </c>
      <c r="M224" s="3201" t="s">
        <v>3804</v>
      </c>
      <c r="N224" s="3201">
        <v>7586</v>
      </c>
      <c r="O224" s="3201">
        <v>91.13</v>
      </c>
      <c r="P224" s="3201">
        <v>1242.74</v>
      </c>
      <c r="Q224" s="3201">
        <v>0</v>
      </c>
      <c r="R224" s="3201" t="s">
        <v>3062</v>
      </c>
    </row>
    <row r="225" spans="1:18" s="3201" customFormat="1" hidden="1">
      <c r="A225" s="3201" t="s">
        <v>3810</v>
      </c>
      <c r="B225" s="3201" t="s">
        <v>3054</v>
      </c>
      <c r="C225" s="3201" t="s">
        <v>3055</v>
      </c>
      <c r="D225" s="3201" t="s">
        <v>2814</v>
      </c>
      <c r="E225" s="3201" t="s">
        <v>3810</v>
      </c>
      <c r="F225" s="3201" t="s">
        <v>3816</v>
      </c>
      <c r="G225" s="3201" t="s">
        <v>3057</v>
      </c>
      <c r="H225" s="3201">
        <v>21548</v>
      </c>
      <c r="I225" s="3201">
        <v>34476.800000000003</v>
      </c>
      <c r="J225" s="3201" t="s">
        <v>3196</v>
      </c>
      <c r="K225" s="3201" t="s">
        <v>3802</v>
      </c>
      <c r="L225" s="3201" t="s">
        <v>3803</v>
      </c>
      <c r="M225" s="3201" t="s">
        <v>3804</v>
      </c>
      <c r="N225" s="3201">
        <v>3691</v>
      </c>
      <c r="O225" s="3201">
        <v>114.19</v>
      </c>
      <c r="P225" s="3201">
        <v>1070.56</v>
      </c>
      <c r="Q225" s="3201">
        <v>0</v>
      </c>
      <c r="R225" s="3201" t="s">
        <v>3062</v>
      </c>
    </row>
    <row r="226" spans="1:18" s="3201" customFormat="1" hidden="1">
      <c r="A226" s="3201" t="s">
        <v>3810</v>
      </c>
      <c r="B226" s="3201" t="s">
        <v>3054</v>
      </c>
      <c r="C226" s="3201" t="s">
        <v>3055</v>
      </c>
      <c r="D226" s="3201" t="s">
        <v>2814</v>
      </c>
      <c r="E226" s="3201" t="s">
        <v>3810</v>
      </c>
      <c r="F226" s="3201" t="s">
        <v>3817</v>
      </c>
      <c r="G226" s="3201" t="s">
        <v>3057</v>
      </c>
      <c r="H226" s="3201">
        <v>16012</v>
      </c>
      <c r="I226" s="3201">
        <v>16812.599999999999</v>
      </c>
      <c r="J226" s="3201" t="s">
        <v>3184</v>
      </c>
      <c r="K226" s="3201" t="s">
        <v>3802</v>
      </c>
      <c r="L226" s="3201" t="s">
        <v>3803</v>
      </c>
      <c r="M226" s="3201" t="s">
        <v>3804</v>
      </c>
      <c r="N226" s="3201">
        <v>1974</v>
      </c>
      <c r="O226" s="3201">
        <v>82.19</v>
      </c>
      <c r="P226" s="3201">
        <v>1174.1099999999999</v>
      </c>
      <c r="Q226" s="3201">
        <v>0</v>
      </c>
      <c r="R226" s="3201" t="s">
        <v>3062</v>
      </c>
    </row>
    <row r="227" spans="1:18" s="3201" customFormat="1" hidden="1">
      <c r="A227" s="3201" t="s">
        <v>3818</v>
      </c>
      <c r="B227" s="3201" t="s">
        <v>3054</v>
      </c>
      <c r="C227" s="3201" t="s">
        <v>3055</v>
      </c>
      <c r="D227" s="3201" t="s">
        <v>2814</v>
      </c>
      <c r="E227" s="3201" t="s">
        <v>3818</v>
      </c>
      <c r="F227" s="3201" t="s">
        <v>3819</v>
      </c>
      <c r="G227" s="3201" t="s">
        <v>3057</v>
      </c>
      <c r="H227" s="3201">
        <v>24872</v>
      </c>
      <c r="I227" s="3201">
        <v>39795.199999999997</v>
      </c>
      <c r="J227" s="3201" t="s">
        <v>3196</v>
      </c>
      <c r="K227" s="3201" t="s">
        <v>3802</v>
      </c>
      <c r="L227" s="3201" t="s">
        <v>3803</v>
      </c>
      <c r="M227" s="3201" t="s">
        <v>3804</v>
      </c>
      <c r="N227" s="3201">
        <v>3440</v>
      </c>
      <c r="O227" s="3201">
        <v>92.21</v>
      </c>
      <c r="P227" s="3201">
        <v>864.42</v>
      </c>
      <c r="Q227" s="3201">
        <v>0</v>
      </c>
      <c r="R227" s="3201" t="s">
        <v>3062</v>
      </c>
    </row>
    <row r="228" spans="1:18" s="3201" customFormat="1" hidden="1">
      <c r="A228" s="3201" t="s">
        <v>3814</v>
      </c>
      <c r="B228" s="3201" t="s">
        <v>3054</v>
      </c>
      <c r="C228" s="3201" t="s">
        <v>3055</v>
      </c>
      <c r="D228" s="3201" t="s">
        <v>2814</v>
      </c>
      <c r="E228" s="3201" t="s">
        <v>3814</v>
      </c>
      <c r="F228" s="3201" t="s">
        <v>3820</v>
      </c>
      <c r="G228" s="3201" t="s">
        <v>3057</v>
      </c>
      <c r="H228" s="3201">
        <v>22061</v>
      </c>
      <c r="I228" s="3201">
        <v>24267.1</v>
      </c>
      <c r="J228" s="3201" t="s">
        <v>3161</v>
      </c>
      <c r="K228" s="3201" t="s">
        <v>3802</v>
      </c>
      <c r="L228" s="3201" t="s">
        <v>3803</v>
      </c>
      <c r="M228" s="3201" t="s">
        <v>3804</v>
      </c>
      <c r="N228" s="3201">
        <v>3015</v>
      </c>
      <c r="O228" s="3201">
        <v>91.11</v>
      </c>
      <c r="P228" s="3201">
        <v>1242.42</v>
      </c>
      <c r="Q228" s="3201">
        <v>0</v>
      </c>
      <c r="R228" s="3201" t="s">
        <v>3062</v>
      </c>
    </row>
    <row r="229" spans="1:18" s="3201" customFormat="1" hidden="1">
      <c r="A229" s="3201" t="s">
        <v>3821</v>
      </c>
      <c r="B229" s="3201" t="s">
        <v>3054</v>
      </c>
      <c r="C229" s="3201" t="s">
        <v>3055</v>
      </c>
      <c r="D229" s="3201" t="s">
        <v>2814</v>
      </c>
      <c r="E229" s="3201" t="s">
        <v>3821</v>
      </c>
      <c r="F229" s="3201" t="s">
        <v>3822</v>
      </c>
      <c r="G229" s="3201" t="s">
        <v>3057</v>
      </c>
      <c r="H229" s="3201">
        <v>50313</v>
      </c>
      <c r="I229" s="3201">
        <v>60375.6</v>
      </c>
      <c r="J229" s="3201" t="s">
        <v>3692</v>
      </c>
      <c r="K229" s="3201" t="s">
        <v>3802</v>
      </c>
      <c r="L229" s="3201" t="s">
        <v>3803</v>
      </c>
      <c r="M229" s="3201" t="s">
        <v>3804</v>
      </c>
      <c r="N229" s="3201">
        <v>7290</v>
      </c>
      <c r="O229" s="3201">
        <v>96.6</v>
      </c>
      <c r="P229" s="3201">
        <v>1207.44</v>
      </c>
      <c r="Q229" s="3201">
        <v>0</v>
      </c>
      <c r="R229" s="3201" t="s">
        <v>3062</v>
      </c>
    </row>
    <row r="230" spans="1:18" s="3201" customFormat="1" hidden="1">
      <c r="A230" s="3201" t="s">
        <v>3810</v>
      </c>
      <c r="B230" s="3201" t="s">
        <v>3054</v>
      </c>
      <c r="C230" s="3201" t="s">
        <v>3055</v>
      </c>
      <c r="D230" s="3201" t="s">
        <v>2814</v>
      </c>
      <c r="E230" s="3201" t="s">
        <v>3810</v>
      </c>
      <c r="F230" s="3201" t="s">
        <v>3823</v>
      </c>
      <c r="G230" s="3201" t="s">
        <v>3057</v>
      </c>
      <c r="H230" s="3201">
        <v>24336</v>
      </c>
      <c r="I230" s="3201">
        <v>26769.599999999999</v>
      </c>
      <c r="J230" s="3201" t="s">
        <v>3161</v>
      </c>
      <c r="K230" s="3201" t="s">
        <v>3802</v>
      </c>
      <c r="L230" s="3201" t="s">
        <v>3803</v>
      </c>
      <c r="M230" s="3201" t="s">
        <v>3804</v>
      </c>
      <c r="N230" s="3201">
        <v>3526</v>
      </c>
      <c r="O230" s="3201">
        <v>96.59</v>
      </c>
      <c r="P230" s="3201">
        <v>1317.17</v>
      </c>
      <c r="Q230" s="3201">
        <v>0</v>
      </c>
      <c r="R230" s="3201" t="s">
        <v>3062</v>
      </c>
    </row>
    <row r="231" spans="1:18" s="3201" customFormat="1" hidden="1">
      <c r="A231" s="3201" t="s">
        <v>3810</v>
      </c>
      <c r="B231" s="3201" t="s">
        <v>3054</v>
      </c>
      <c r="C231" s="3201" t="s">
        <v>3055</v>
      </c>
      <c r="D231" s="3201" t="s">
        <v>2814</v>
      </c>
      <c r="E231" s="3201" t="s">
        <v>3810</v>
      </c>
      <c r="F231" s="3201" t="s">
        <v>3824</v>
      </c>
      <c r="G231" s="3201" t="s">
        <v>3057</v>
      </c>
      <c r="H231" s="3201">
        <v>3576</v>
      </c>
      <c r="I231" s="3201">
        <v>3933.6</v>
      </c>
      <c r="J231" s="3201" t="s">
        <v>3161</v>
      </c>
      <c r="K231" s="3201" t="s">
        <v>3802</v>
      </c>
      <c r="L231" s="3201" t="s">
        <v>3803</v>
      </c>
      <c r="M231" s="3201" t="s">
        <v>3804</v>
      </c>
      <c r="N231" s="3201">
        <v>518</v>
      </c>
      <c r="O231" s="3201">
        <v>96.57</v>
      </c>
      <c r="P231" s="3201">
        <v>1316.85</v>
      </c>
      <c r="Q231" s="3201">
        <v>0</v>
      </c>
      <c r="R231" s="3201" t="s">
        <v>3062</v>
      </c>
    </row>
    <row r="232" spans="1:18" s="3201" customFormat="1" hidden="1">
      <c r="A232" s="3201" t="s">
        <v>3818</v>
      </c>
      <c r="B232" s="3201" t="s">
        <v>3054</v>
      </c>
      <c r="C232" s="3201" t="s">
        <v>3055</v>
      </c>
      <c r="D232" s="3201" t="s">
        <v>2814</v>
      </c>
      <c r="E232" s="3201" t="s">
        <v>3818</v>
      </c>
      <c r="F232" s="3201" t="s">
        <v>3825</v>
      </c>
      <c r="G232" s="3201" t="s">
        <v>3057</v>
      </c>
      <c r="H232" s="3201">
        <v>45323</v>
      </c>
      <c r="I232" s="3201">
        <v>72516.800000000003</v>
      </c>
      <c r="J232" s="3201" t="s">
        <v>3196</v>
      </c>
      <c r="K232" s="3201" t="s">
        <v>3802</v>
      </c>
      <c r="L232" s="3201" t="s">
        <v>3803</v>
      </c>
      <c r="M232" s="3201" t="s">
        <v>3804</v>
      </c>
      <c r="N232" s="3201">
        <v>6268</v>
      </c>
      <c r="O232" s="3201">
        <v>92.2</v>
      </c>
      <c r="P232" s="3201">
        <v>864.35</v>
      </c>
      <c r="Q232" s="3201">
        <v>0</v>
      </c>
      <c r="R232" s="3201" t="s">
        <v>3062</v>
      </c>
    </row>
    <row r="233" spans="1:18" s="3201" customFormat="1" hidden="1">
      <c r="A233" s="3201" t="s">
        <v>3800</v>
      </c>
      <c r="B233" s="3201" t="s">
        <v>3054</v>
      </c>
      <c r="C233" s="3201" t="s">
        <v>3055</v>
      </c>
      <c r="D233" s="3201" t="s">
        <v>2814</v>
      </c>
      <c r="E233" s="3201" t="s">
        <v>3800</v>
      </c>
      <c r="F233" s="3201" t="s">
        <v>3826</v>
      </c>
      <c r="G233" s="3201" t="s">
        <v>3057</v>
      </c>
      <c r="H233" s="3201">
        <v>1554</v>
      </c>
      <c r="I233" s="3201">
        <v>1631.7</v>
      </c>
      <c r="J233" s="3201" t="s">
        <v>3184</v>
      </c>
      <c r="K233" s="3201" t="s">
        <v>3802</v>
      </c>
      <c r="L233" s="3201" t="s">
        <v>3803</v>
      </c>
      <c r="M233" s="3201" t="s">
        <v>3804</v>
      </c>
      <c r="N233" s="3201">
        <v>192</v>
      </c>
      <c r="O233" s="3201">
        <v>82.37</v>
      </c>
      <c r="P233" s="3201">
        <v>1176.69</v>
      </c>
      <c r="Q233" s="3201">
        <v>0</v>
      </c>
      <c r="R233" s="3201" t="s">
        <v>3062</v>
      </c>
    </row>
    <row r="234" spans="1:18" s="3201" customFormat="1" hidden="1">
      <c r="A234" s="3201" t="s">
        <v>3827</v>
      </c>
      <c r="B234" s="3201" t="s">
        <v>3054</v>
      </c>
      <c r="C234" s="3201" t="s">
        <v>3055</v>
      </c>
      <c r="D234" s="3201" t="s">
        <v>2814</v>
      </c>
      <c r="E234" s="3201" t="s">
        <v>3827</v>
      </c>
      <c r="F234" s="3201" t="s">
        <v>3828</v>
      </c>
      <c r="G234" s="3201" t="s">
        <v>3055</v>
      </c>
      <c r="H234" s="3201">
        <v>69889</v>
      </c>
      <c r="I234" s="3201">
        <v>174722.5</v>
      </c>
      <c r="J234" s="3201" t="s">
        <v>3065</v>
      </c>
      <c r="K234" s="3201" t="s">
        <v>3802</v>
      </c>
      <c r="L234" s="3201" t="s">
        <v>3803</v>
      </c>
      <c r="M234" s="3201" t="s">
        <v>3492</v>
      </c>
      <c r="N234" s="3201">
        <v>96427</v>
      </c>
      <c r="O234" s="3201">
        <v>919.81</v>
      </c>
      <c r="P234" s="3201">
        <v>5518.86</v>
      </c>
      <c r="Q234" s="3201">
        <v>194.82</v>
      </c>
      <c r="R234" s="3201" t="s">
        <v>3062</v>
      </c>
    </row>
    <row r="235" spans="1:18" s="3201" customFormat="1" hidden="1">
      <c r="A235" s="3201" t="s">
        <v>3810</v>
      </c>
      <c r="B235" s="3201" t="s">
        <v>3054</v>
      </c>
      <c r="C235" s="3201" t="s">
        <v>3055</v>
      </c>
      <c r="D235" s="3201" t="s">
        <v>2814</v>
      </c>
      <c r="E235" s="3201" t="s">
        <v>3810</v>
      </c>
      <c r="F235" s="3201" t="s">
        <v>3829</v>
      </c>
      <c r="G235" s="3201" t="s">
        <v>3057</v>
      </c>
      <c r="H235" s="3201">
        <v>34584</v>
      </c>
      <c r="I235" s="3201">
        <v>38042.400000000001</v>
      </c>
      <c r="J235" s="3201" t="s">
        <v>3161</v>
      </c>
      <c r="K235" s="3201" t="s">
        <v>3802</v>
      </c>
      <c r="L235" s="3201" t="s">
        <v>3803</v>
      </c>
      <c r="M235" s="3201" t="s">
        <v>3804</v>
      </c>
      <c r="N235" s="3201">
        <v>5012</v>
      </c>
      <c r="O235" s="3201">
        <v>96.62</v>
      </c>
      <c r="P235" s="3201">
        <v>1317.48</v>
      </c>
      <c r="Q235" s="3201">
        <v>0</v>
      </c>
      <c r="R235" s="3201" t="s">
        <v>3062</v>
      </c>
    </row>
    <row r="236" spans="1:18" s="3201" customFormat="1" hidden="1">
      <c r="A236" s="3201" t="s">
        <v>3810</v>
      </c>
      <c r="B236" s="3201" t="s">
        <v>3054</v>
      </c>
      <c r="C236" s="3201" t="s">
        <v>3055</v>
      </c>
      <c r="D236" s="3201" t="s">
        <v>2814</v>
      </c>
      <c r="E236" s="3201" t="s">
        <v>3810</v>
      </c>
      <c r="F236" s="3201" t="s">
        <v>3830</v>
      </c>
      <c r="G236" s="3201" t="s">
        <v>3057</v>
      </c>
      <c r="H236" s="3201">
        <v>42458</v>
      </c>
      <c r="I236" s="3201">
        <v>46703.8</v>
      </c>
      <c r="J236" s="3201" t="s">
        <v>3161</v>
      </c>
      <c r="K236" s="3201" t="s">
        <v>3802</v>
      </c>
      <c r="L236" s="3201" t="s">
        <v>3803</v>
      </c>
      <c r="M236" s="3201" t="s">
        <v>3804</v>
      </c>
      <c r="N236" s="3201">
        <v>6152</v>
      </c>
      <c r="O236" s="3201">
        <v>96.6</v>
      </c>
      <c r="P236" s="3201">
        <v>1317.24</v>
      </c>
      <c r="Q236" s="3201">
        <v>0</v>
      </c>
      <c r="R236" s="3201" t="s">
        <v>3062</v>
      </c>
    </row>
    <row r="237" spans="1:18" s="3201" customFormat="1" hidden="1">
      <c r="A237" s="3201" t="s">
        <v>3818</v>
      </c>
      <c r="B237" s="3201" t="s">
        <v>3054</v>
      </c>
      <c r="C237" s="3201" t="s">
        <v>3055</v>
      </c>
      <c r="D237" s="3201" t="s">
        <v>2814</v>
      </c>
      <c r="E237" s="3201" t="s">
        <v>3818</v>
      </c>
      <c r="F237" s="3201" t="s">
        <v>3831</v>
      </c>
      <c r="G237" s="3201" t="s">
        <v>3057</v>
      </c>
      <c r="H237" s="3201">
        <v>8293</v>
      </c>
      <c r="I237" s="3201">
        <v>13268.8</v>
      </c>
      <c r="J237" s="3201" t="s">
        <v>3196</v>
      </c>
      <c r="K237" s="3201" t="s">
        <v>3802</v>
      </c>
      <c r="L237" s="3201" t="s">
        <v>3803</v>
      </c>
      <c r="M237" s="3201" t="s">
        <v>3804</v>
      </c>
      <c r="N237" s="3201">
        <v>1147</v>
      </c>
      <c r="O237" s="3201">
        <v>92.21</v>
      </c>
      <c r="P237" s="3201">
        <v>864.42</v>
      </c>
      <c r="Q237" s="3201">
        <v>0</v>
      </c>
      <c r="R237" s="3201" t="s">
        <v>3062</v>
      </c>
    </row>
    <row r="238" spans="1:18" s="3201" customFormat="1" hidden="1">
      <c r="A238" s="3201" t="s">
        <v>3807</v>
      </c>
      <c r="B238" s="3201" t="s">
        <v>3054</v>
      </c>
      <c r="C238" s="3201" t="s">
        <v>3055</v>
      </c>
      <c r="D238" s="3201" t="s">
        <v>2814</v>
      </c>
      <c r="E238" s="3201" t="s">
        <v>3807</v>
      </c>
      <c r="F238" s="3201" t="s">
        <v>3832</v>
      </c>
      <c r="G238" s="3201" t="s">
        <v>3057</v>
      </c>
      <c r="H238" s="3201">
        <v>52012</v>
      </c>
      <c r="I238" s="3201">
        <v>83219.199999999997</v>
      </c>
      <c r="J238" s="3201" t="s">
        <v>3196</v>
      </c>
      <c r="K238" s="3201" t="s">
        <v>3802</v>
      </c>
      <c r="L238" s="3201" t="s">
        <v>3803</v>
      </c>
      <c r="M238" s="3201" t="s">
        <v>3804</v>
      </c>
      <c r="N238" s="3201">
        <v>8910</v>
      </c>
      <c r="O238" s="3201">
        <v>114.2</v>
      </c>
      <c r="P238" s="3201">
        <v>1070.67</v>
      </c>
      <c r="Q238" s="3201">
        <v>0</v>
      </c>
      <c r="R238" s="3201" t="s">
        <v>3062</v>
      </c>
    </row>
    <row r="239" spans="1:18" s="3201" customFormat="1" hidden="1">
      <c r="A239" s="3201" t="s">
        <v>3807</v>
      </c>
      <c r="B239" s="3201" t="s">
        <v>3054</v>
      </c>
      <c r="C239" s="3201" t="s">
        <v>3055</v>
      </c>
      <c r="D239" s="3201" t="s">
        <v>2814</v>
      </c>
      <c r="E239" s="3201" t="s">
        <v>3807</v>
      </c>
      <c r="F239" s="3201" t="s">
        <v>3833</v>
      </c>
      <c r="G239" s="3201" t="s">
        <v>3057</v>
      </c>
      <c r="H239" s="3201">
        <v>3674</v>
      </c>
      <c r="I239" s="3201">
        <v>5878.4</v>
      </c>
      <c r="J239" s="3201" t="s">
        <v>3196</v>
      </c>
      <c r="K239" s="3201" t="s">
        <v>3802</v>
      </c>
      <c r="L239" s="3201" t="s">
        <v>3803</v>
      </c>
      <c r="M239" s="3201" t="s">
        <v>3804</v>
      </c>
      <c r="N239" s="3201">
        <v>466</v>
      </c>
      <c r="O239" s="3201">
        <v>84.56</v>
      </c>
      <c r="P239" s="3201">
        <v>792.73</v>
      </c>
      <c r="Q239" s="3201">
        <v>0</v>
      </c>
      <c r="R239" s="3201" t="s">
        <v>3062</v>
      </c>
    </row>
    <row r="240" spans="1:18" s="3201" customFormat="1" hidden="1">
      <c r="A240" s="3201" t="s">
        <v>3800</v>
      </c>
      <c r="B240" s="3201" t="s">
        <v>3054</v>
      </c>
      <c r="C240" s="3201" t="s">
        <v>3055</v>
      </c>
      <c r="D240" s="3201" t="s">
        <v>2814</v>
      </c>
      <c r="E240" s="3201" t="s">
        <v>3800</v>
      </c>
      <c r="F240" s="3201" t="s">
        <v>3834</v>
      </c>
      <c r="G240" s="3201" t="s">
        <v>3057</v>
      </c>
      <c r="H240" s="3201">
        <v>16449</v>
      </c>
      <c r="I240" s="3201">
        <v>17271.45</v>
      </c>
      <c r="J240" s="3201" t="s">
        <v>3184</v>
      </c>
      <c r="K240" s="3201" t="s">
        <v>3802</v>
      </c>
      <c r="L240" s="3201" t="s">
        <v>3803</v>
      </c>
      <c r="M240" s="3201" t="s">
        <v>3804</v>
      </c>
      <c r="N240" s="3201">
        <v>2028</v>
      </c>
      <c r="O240" s="3201">
        <v>82.19</v>
      </c>
      <c r="P240" s="3201">
        <v>1174.19</v>
      </c>
      <c r="Q240" s="3201">
        <v>0</v>
      </c>
      <c r="R240" s="3201" t="s">
        <v>3062</v>
      </c>
    </row>
    <row r="241" spans="1:18" s="3201" customFormat="1" hidden="1">
      <c r="A241" s="3201" t="s">
        <v>3835</v>
      </c>
      <c r="B241" s="3201" t="s">
        <v>3054</v>
      </c>
      <c r="C241" s="3201" t="s">
        <v>3055</v>
      </c>
      <c r="D241" s="3201" t="s">
        <v>2814</v>
      </c>
      <c r="E241" s="3201" t="s">
        <v>3835</v>
      </c>
      <c r="F241" s="3201" t="s">
        <v>3836</v>
      </c>
      <c r="G241" s="3201" t="s">
        <v>3057</v>
      </c>
      <c r="H241" s="3201">
        <v>48420</v>
      </c>
      <c r="I241" s="3201">
        <v>62946</v>
      </c>
      <c r="J241" s="3201" t="s">
        <v>3837</v>
      </c>
      <c r="K241" s="3201" t="s">
        <v>3802</v>
      </c>
      <c r="L241" s="3201" t="s">
        <v>3803</v>
      </c>
      <c r="M241" s="3201" t="s">
        <v>3838</v>
      </c>
      <c r="N241" s="3201">
        <v>25001</v>
      </c>
      <c r="O241" s="3201">
        <v>344.22</v>
      </c>
      <c r="P241" s="3201">
        <v>3971.82</v>
      </c>
      <c r="Q241" s="3201">
        <v>429.57</v>
      </c>
      <c r="R241" s="3201" t="s">
        <v>3062</v>
      </c>
    </row>
    <row r="242" spans="1:18" s="3201" customFormat="1" hidden="1">
      <c r="A242" s="3201" t="s">
        <v>3839</v>
      </c>
      <c r="B242" s="3201" t="s">
        <v>3054</v>
      </c>
      <c r="C242" s="3201" t="s">
        <v>3055</v>
      </c>
      <c r="D242" s="3201" t="s">
        <v>2814</v>
      </c>
      <c r="E242" s="3201" t="s">
        <v>3839</v>
      </c>
      <c r="F242" s="3201" t="s">
        <v>3840</v>
      </c>
      <c r="G242" s="3201" t="s">
        <v>3269</v>
      </c>
      <c r="H242" s="3201">
        <v>3025.54</v>
      </c>
      <c r="I242" s="3201">
        <v>3812.18</v>
      </c>
      <c r="J242" s="3201" t="s">
        <v>3841</v>
      </c>
      <c r="K242" s="3201" t="s">
        <v>3842</v>
      </c>
      <c r="L242" s="3201" t="s">
        <v>3843</v>
      </c>
      <c r="M242" s="3201" t="s">
        <v>3844</v>
      </c>
      <c r="N242" s="3201">
        <v>1203</v>
      </c>
      <c r="O242" s="3201">
        <v>265.08</v>
      </c>
      <c r="P242" s="3201">
        <v>3155.67</v>
      </c>
      <c r="Q242" s="3201">
        <v>0</v>
      </c>
      <c r="R242" s="3201" t="s">
        <v>3062</v>
      </c>
    </row>
    <row r="243" spans="1:18" s="3201" customFormat="1" hidden="1">
      <c r="A243" s="3201" t="s">
        <v>3845</v>
      </c>
      <c r="B243" s="3201" t="s">
        <v>3054</v>
      </c>
      <c r="C243" s="3201" t="s">
        <v>3055</v>
      </c>
      <c r="D243" s="3201" t="s">
        <v>2814</v>
      </c>
      <c r="E243" s="3201" t="s">
        <v>3845</v>
      </c>
      <c r="F243" s="3201" t="s">
        <v>3846</v>
      </c>
      <c r="G243" s="3201" t="s">
        <v>3057</v>
      </c>
      <c r="H243" s="3201">
        <v>41681.620000000003</v>
      </c>
      <c r="I243" s="3201">
        <v>91699.56</v>
      </c>
      <c r="J243" s="3201" t="s">
        <v>3847</v>
      </c>
      <c r="K243" s="3201" t="s">
        <v>3842</v>
      </c>
      <c r="L243" s="3201" t="s">
        <v>3843</v>
      </c>
      <c r="M243" s="3201" t="s">
        <v>3848</v>
      </c>
      <c r="N243" s="3201">
        <v>3533</v>
      </c>
      <c r="O243" s="3201">
        <v>56.51</v>
      </c>
      <c r="P243" s="3201">
        <v>385.27</v>
      </c>
      <c r="Q243" s="3201">
        <v>0</v>
      </c>
      <c r="R243" s="3201" t="s">
        <v>3062</v>
      </c>
    </row>
    <row r="244" spans="1:18" s="3201" customFormat="1" hidden="1">
      <c r="A244" s="3201" t="s">
        <v>3849</v>
      </c>
      <c r="B244" s="3201" t="s">
        <v>3054</v>
      </c>
      <c r="C244" s="3201" t="s">
        <v>3055</v>
      </c>
      <c r="D244" s="3201" t="s">
        <v>2814</v>
      </c>
      <c r="E244" s="3201" t="s">
        <v>3849</v>
      </c>
      <c r="F244" s="3201" t="s">
        <v>3850</v>
      </c>
      <c r="G244" s="3201" t="s">
        <v>3269</v>
      </c>
      <c r="H244" s="3201">
        <v>838.74</v>
      </c>
      <c r="I244" s="3201">
        <v>5451.81</v>
      </c>
      <c r="J244" s="3201" t="s">
        <v>3851</v>
      </c>
      <c r="K244" s="3201" t="s">
        <v>3842</v>
      </c>
      <c r="L244" s="3201" t="s">
        <v>3843</v>
      </c>
      <c r="M244" s="3201" t="s">
        <v>3852</v>
      </c>
      <c r="N244" s="3201">
        <v>1456</v>
      </c>
      <c r="O244" s="3201">
        <v>1157.29</v>
      </c>
      <c r="P244" s="3201">
        <v>2670.67</v>
      </c>
      <c r="Q244" s="3201">
        <v>0</v>
      </c>
      <c r="R244" s="3201" t="s">
        <v>3062</v>
      </c>
    </row>
    <row r="245" spans="1:18" s="3201" customFormat="1" hidden="1">
      <c r="A245" s="3201" t="s">
        <v>3853</v>
      </c>
      <c r="B245" s="3201" t="s">
        <v>3054</v>
      </c>
      <c r="C245" s="3201" t="s">
        <v>3055</v>
      </c>
      <c r="D245" s="3201" t="s">
        <v>2814</v>
      </c>
      <c r="E245" s="3201" t="s">
        <v>3853</v>
      </c>
      <c r="F245" s="3201" t="s">
        <v>3854</v>
      </c>
      <c r="G245" s="3201" t="s">
        <v>3269</v>
      </c>
      <c r="H245" s="3201">
        <v>621.66</v>
      </c>
      <c r="I245" s="3201">
        <v>4040.79</v>
      </c>
      <c r="J245" s="3201" t="s">
        <v>3851</v>
      </c>
      <c r="K245" s="3201" t="s">
        <v>3842</v>
      </c>
      <c r="L245" s="3201" t="s">
        <v>3843</v>
      </c>
      <c r="M245" s="3201" t="s">
        <v>3852</v>
      </c>
      <c r="N245" s="3201">
        <v>1076</v>
      </c>
      <c r="O245" s="3201">
        <v>1153.9000000000001</v>
      </c>
      <c r="P245" s="3201">
        <v>2662.84</v>
      </c>
      <c r="Q245" s="3201">
        <v>0</v>
      </c>
      <c r="R245" s="3201" t="s">
        <v>3062</v>
      </c>
    </row>
    <row r="246" spans="1:18" s="3201" customFormat="1">
      <c r="A246" s="3201" t="s">
        <v>3855</v>
      </c>
      <c r="B246" s="3201" t="s">
        <v>3054</v>
      </c>
      <c r="C246" s="3201" t="s">
        <v>3078</v>
      </c>
      <c r="D246" s="3201" t="s">
        <v>2814</v>
      </c>
      <c r="E246" s="3201" t="s">
        <v>3856</v>
      </c>
      <c r="F246" s="3201" t="s">
        <v>3855</v>
      </c>
      <c r="G246" s="3201" t="s">
        <v>3300</v>
      </c>
      <c r="H246" s="3201">
        <v>21307</v>
      </c>
      <c r="I246" s="3201">
        <v>21946.21</v>
      </c>
      <c r="J246" s="3201" t="s">
        <v>3857</v>
      </c>
      <c r="K246" s="3201" t="s">
        <v>3858</v>
      </c>
      <c r="L246" s="3201" t="s">
        <v>3859</v>
      </c>
      <c r="M246" s="3201" t="s">
        <v>3860</v>
      </c>
      <c r="N246" s="3201">
        <v>1620</v>
      </c>
      <c r="O246" s="3201">
        <v>50.69</v>
      </c>
      <c r="P246" s="3201">
        <v>738.16</v>
      </c>
      <c r="Q246" s="3201">
        <v>1.25</v>
      </c>
      <c r="R246" s="3201">
        <v>70</v>
      </c>
    </row>
    <row r="247" spans="1:18">
      <c r="A247" s="3198" t="s">
        <v>3861</v>
      </c>
      <c r="B247" s="3198" t="s">
        <v>3054</v>
      </c>
      <c r="C247" s="3198" t="s">
        <v>3078</v>
      </c>
      <c r="D247" s="3198" t="s">
        <v>2814</v>
      </c>
      <c r="E247" s="3198" t="s">
        <v>3861</v>
      </c>
      <c r="F247" s="3198" t="s">
        <v>3862</v>
      </c>
      <c r="G247" s="3198" t="s">
        <v>3300</v>
      </c>
      <c r="H247" s="3198">
        <v>2586</v>
      </c>
      <c r="I247" s="3198">
        <v>14223</v>
      </c>
      <c r="J247" s="3198" t="s">
        <v>3863</v>
      </c>
      <c r="K247" s="3198" t="s">
        <v>3858</v>
      </c>
      <c r="L247" s="3198" t="s">
        <v>3859</v>
      </c>
      <c r="M247" s="3198" t="s">
        <v>3864</v>
      </c>
      <c r="N247" s="3198">
        <v>3000</v>
      </c>
      <c r="O247" s="3198">
        <v>773.4</v>
      </c>
      <c r="P247" s="3198">
        <v>2109.2600000000002</v>
      </c>
      <c r="Q247" s="3198">
        <v>0</v>
      </c>
      <c r="R247" s="3198">
        <v>70</v>
      </c>
    </row>
    <row r="248" spans="1:18">
      <c r="A248" s="3198" t="s">
        <v>3865</v>
      </c>
      <c r="B248" s="3198" t="s">
        <v>3054</v>
      </c>
      <c r="C248" s="3198" t="s">
        <v>3055</v>
      </c>
      <c r="D248" s="3198" t="s">
        <v>2814</v>
      </c>
      <c r="E248" s="3198" t="s">
        <v>3866</v>
      </c>
      <c r="F248" s="3198" t="s">
        <v>3865</v>
      </c>
      <c r="G248" s="3198" t="s">
        <v>922</v>
      </c>
      <c r="H248" s="3198">
        <v>868</v>
      </c>
      <c r="I248" s="3198">
        <v>894.04</v>
      </c>
      <c r="J248" s="3198" t="s">
        <v>3867</v>
      </c>
      <c r="K248" s="3198" t="s">
        <v>3868</v>
      </c>
      <c r="L248" s="3198" t="s">
        <v>3869</v>
      </c>
      <c r="M248" s="3198" t="s">
        <v>3870</v>
      </c>
      <c r="N248" s="3198">
        <v>74</v>
      </c>
      <c r="O248" s="3198">
        <v>56.84</v>
      </c>
      <c r="P248" s="3198">
        <v>827.7</v>
      </c>
      <c r="Q248" s="3198">
        <v>7.25</v>
      </c>
      <c r="R248" s="3198">
        <v>70</v>
      </c>
    </row>
    <row r="249" spans="1:18">
      <c r="A249" s="3198" t="s">
        <v>3871</v>
      </c>
      <c r="B249" s="3198" t="s">
        <v>3054</v>
      </c>
      <c r="C249" s="3198" t="s">
        <v>3055</v>
      </c>
      <c r="D249" s="3198" t="s">
        <v>2814</v>
      </c>
      <c r="E249" s="3198" t="s">
        <v>3866</v>
      </c>
      <c r="F249" s="3198" t="s">
        <v>3871</v>
      </c>
      <c r="G249" s="3198" t="s">
        <v>922</v>
      </c>
      <c r="H249" s="3198">
        <v>336</v>
      </c>
      <c r="I249" s="3198">
        <v>346.08</v>
      </c>
      <c r="J249" s="3198" t="s">
        <v>3867</v>
      </c>
      <c r="K249" s="3198" t="s">
        <v>3868</v>
      </c>
      <c r="L249" s="3198" t="s">
        <v>3869</v>
      </c>
      <c r="M249" s="3198" t="s">
        <v>3870</v>
      </c>
      <c r="N249" s="3198">
        <v>29</v>
      </c>
      <c r="O249" s="3198">
        <v>57.54</v>
      </c>
      <c r="P249" s="3198">
        <v>837.96</v>
      </c>
      <c r="Q249" s="3198">
        <v>20.83</v>
      </c>
      <c r="R249" s="3198">
        <v>70</v>
      </c>
    </row>
    <row r="250" spans="1:18">
      <c r="A250" s="3198" t="s">
        <v>3872</v>
      </c>
      <c r="B250" s="3198" t="s">
        <v>3054</v>
      </c>
      <c r="C250" s="3198" t="s">
        <v>3055</v>
      </c>
      <c r="D250" s="3198" t="s">
        <v>2814</v>
      </c>
      <c r="E250" s="3198" t="s">
        <v>3866</v>
      </c>
      <c r="F250" s="3198" t="s">
        <v>3872</v>
      </c>
      <c r="G250" s="3198" t="s">
        <v>922</v>
      </c>
      <c r="H250" s="3198">
        <v>1251</v>
      </c>
      <c r="I250" s="3198">
        <v>1288.53</v>
      </c>
      <c r="J250" s="3198" t="s">
        <v>3867</v>
      </c>
      <c r="K250" s="3198" t="s">
        <v>3868</v>
      </c>
      <c r="L250" s="3198" t="s">
        <v>3869</v>
      </c>
      <c r="M250" s="3198" t="s">
        <v>3870</v>
      </c>
      <c r="N250" s="3198">
        <v>107</v>
      </c>
      <c r="O250" s="3198">
        <v>57.02</v>
      </c>
      <c r="P250" s="3198">
        <v>830.39</v>
      </c>
      <c r="Q250" s="3198">
        <v>4.9000000000000004</v>
      </c>
      <c r="R250" s="3198">
        <v>70</v>
      </c>
    </row>
    <row r="251" spans="1:18">
      <c r="A251" s="3198" t="s">
        <v>3873</v>
      </c>
      <c r="B251" s="3198" t="s">
        <v>3054</v>
      </c>
      <c r="C251" s="3198" t="s">
        <v>3055</v>
      </c>
      <c r="D251" s="3198" t="s">
        <v>2814</v>
      </c>
      <c r="E251" s="3198" t="s">
        <v>3639</v>
      </c>
      <c r="F251" s="3198" t="s">
        <v>3873</v>
      </c>
      <c r="G251" s="3198" t="s">
        <v>922</v>
      </c>
      <c r="H251" s="3198">
        <v>2895</v>
      </c>
      <c r="I251" s="3198">
        <v>6369</v>
      </c>
      <c r="J251" s="3198" t="s">
        <v>3874</v>
      </c>
      <c r="K251" s="3198" t="s">
        <v>3868</v>
      </c>
      <c r="L251" s="3198" t="s">
        <v>3869</v>
      </c>
      <c r="M251" s="3198" t="s">
        <v>3875</v>
      </c>
      <c r="N251" s="3198">
        <v>608</v>
      </c>
      <c r="O251" s="3198">
        <v>140.01</v>
      </c>
      <c r="P251" s="3198">
        <v>954.62</v>
      </c>
      <c r="Q251" s="3198">
        <v>3.4</v>
      </c>
      <c r="R251" s="3198">
        <v>70</v>
      </c>
    </row>
  </sheetData>
  <phoneticPr fontId="233"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51"/>
  <sheetViews>
    <sheetView workbookViewId="0">
      <selection activeCell="J80" sqref="J80"/>
    </sheetView>
  </sheetViews>
  <sheetFormatPr defaultRowHeight="12.75"/>
  <cols>
    <col min="1" max="1" width="25.5" style="3198" customWidth="1"/>
    <col min="2" max="2" width="6.25" style="3198" hidden="1" customWidth="1"/>
    <col min="3" max="3" width="11.75" style="3198" hidden="1" customWidth="1"/>
    <col min="4" max="4" width="4.625" style="3198" hidden="1" customWidth="1"/>
    <col min="5" max="5" width="32.75" style="3198" hidden="1" customWidth="1"/>
    <col min="6" max="6" width="8.25" style="3198" customWidth="1"/>
    <col min="7" max="7" width="16.125" style="3198" customWidth="1"/>
    <col min="8" max="9" width="13.875" style="3198" customWidth="1"/>
    <col min="10" max="10" width="25" style="3198" customWidth="1"/>
    <col min="11" max="11" width="9" style="3198" customWidth="1"/>
    <col min="12" max="12" width="19.25" style="3198" customWidth="1"/>
    <col min="13" max="13" width="32" style="3198" customWidth="1"/>
    <col min="14" max="14" width="10.625" style="3198" customWidth="1"/>
    <col min="15" max="15" width="16" style="3198" customWidth="1"/>
    <col min="16" max="16" width="14.375" style="3198" customWidth="1"/>
    <col min="17" max="17" width="6.25" style="3198" customWidth="1"/>
    <col min="18" max="18" width="23.25" style="3198" customWidth="1"/>
    <col min="19" max="256" width="9" style="3198"/>
    <col min="257" max="257" width="25.5" style="3198" customWidth="1"/>
    <col min="258" max="258" width="6.25" style="3198" customWidth="1"/>
    <col min="259" max="259" width="11.75" style="3198" customWidth="1"/>
    <col min="260" max="260" width="4.625" style="3198" customWidth="1"/>
    <col min="261" max="261" width="32.75" style="3198" customWidth="1"/>
    <col min="262" max="262" width="8.25" style="3198" customWidth="1"/>
    <col min="263" max="263" width="16.125" style="3198" customWidth="1"/>
    <col min="264" max="265" width="13.875" style="3198" customWidth="1"/>
    <col min="266" max="266" width="12.5" style="3198" customWidth="1"/>
    <col min="267" max="267" width="9" style="3198" customWidth="1"/>
    <col min="268" max="268" width="19.25" style="3198" customWidth="1"/>
    <col min="269" max="269" width="32" style="3198" customWidth="1"/>
    <col min="270" max="270" width="10.625" style="3198" customWidth="1"/>
    <col min="271" max="271" width="16" style="3198" customWidth="1"/>
    <col min="272" max="272" width="14.375" style="3198" customWidth="1"/>
    <col min="273" max="273" width="6.25" style="3198" customWidth="1"/>
    <col min="274" max="274" width="23.25" style="3198" customWidth="1"/>
    <col min="275" max="512" width="9" style="3198"/>
    <col min="513" max="513" width="25.5" style="3198" customWidth="1"/>
    <col min="514" max="514" width="6.25" style="3198" customWidth="1"/>
    <col min="515" max="515" width="11.75" style="3198" customWidth="1"/>
    <col min="516" max="516" width="4.625" style="3198" customWidth="1"/>
    <col min="517" max="517" width="32.75" style="3198" customWidth="1"/>
    <col min="518" max="518" width="8.25" style="3198" customWidth="1"/>
    <col min="519" max="519" width="16.125" style="3198" customWidth="1"/>
    <col min="520" max="521" width="13.875" style="3198" customWidth="1"/>
    <col min="522" max="522" width="12.5" style="3198" customWidth="1"/>
    <col min="523" max="523" width="9" style="3198" customWidth="1"/>
    <col min="524" max="524" width="19.25" style="3198" customWidth="1"/>
    <col min="525" max="525" width="32" style="3198" customWidth="1"/>
    <col min="526" max="526" width="10.625" style="3198" customWidth="1"/>
    <col min="527" max="527" width="16" style="3198" customWidth="1"/>
    <col min="528" max="528" width="14.375" style="3198" customWidth="1"/>
    <col min="529" max="529" width="6.25" style="3198" customWidth="1"/>
    <col min="530" max="530" width="23.25" style="3198" customWidth="1"/>
    <col min="531" max="768" width="9" style="3198"/>
    <col min="769" max="769" width="25.5" style="3198" customWidth="1"/>
    <col min="770" max="770" width="6.25" style="3198" customWidth="1"/>
    <col min="771" max="771" width="11.75" style="3198" customWidth="1"/>
    <col min="772" max="772" width="4.625" style="3198" customWidth="1"/>
    <col min="773" max="773" width="32.75" style="3198" customWidth="1"/>
    <col min="774" max="774" width="8.25" style="3198" customWidth="1"/>
    <col min="775" max="775" width="16.125" style="3198" customWidth="1"/>
    <col min="776" max="777" width="13.875" style="3198" customWidth="1"/>
    <col min="778" max="778" width="12.5" style="3198" customWidth="1"/>
    <col min="779" max="779" width="9" style="3198" customWidth="1"/>
    <col min="780" max="780" width="19.25" style="3198" customWidth="1"/>
    <col min="781" max="781" width="32" style="3198" customWidth="1"/>
    <col min="782" max="782" width="10.625" style="3198" customWidth="1"/>
    <col min="783" max="783" width="16" style="3198" customWidth="1"/>
    <col min="784" max="784" width="14.375" style="3198" customWidth="1"/>
    <col min="785" max="785" width="6.25" style="3198" customWidth="1"/>
    <col min="786" max="786" width="23.25" style="3198" customWidth="1"/>
    <col min="787" max="1024" width="9" style="3198"/>
    <col min="1025" max="1025" width="25.5" style="3198" customWidth="1"/>
    <col min="1026" max="1026" width="6.25" style="3198" customWidth="1"/>
    <col min="1027" max="1027" width="11.75" style="3198" customWidth="1"/>
    <col min="1028" max="1028" width="4.625" style="3198" customWidth="1"/>
    <col min="1029" max="1029" width="32.75" style="3198" customWidth="1"/>
    <col min="1030" max="1030" width="8.25" style="3198" customWidth="1"/>
    <col min="1031" max="1031" width="16.125" style="3198" customWidth="1"/>
    <col min="1032" max="1033" width="13.875" style="3198" customWidth="1"/>
    <col min="1034" max="1034" width="12.5" style="3198" customWidth="1"/>
    <col min="1035" max="1035" width="9" style="3198" customWidth="1"/>
    <col min="1036" max="1036" width="19.25" style="3198" customWidth="1"/>
    <col min="1037" max="1037" width="32" style="3198" customWidth="1"/>
    <col min="1038" max="1038" width="10.625" style="3198" customWidth="1"/>
    <col min="1039" max="1039" width="16" style="3198" customWidth="1"/>
    <col min="1040" max="1040" width="14.375" style="3198" customWidth="1"/>
    <col min="1041" max="1041" width="6.25" style="3198" customWidth="1"/>
    <col min="1042" max="1042" width="23.25" style="3198" customWidth="1"/>
    <col min="1043" max="1280" width="9" style="3198"/>
    <col min="1281" max="1281" width="25.5" style="3198" customWidth="1"/>
    <col min="1282" max="1282" width="6.25" style="3198" customWidth="1"/>
    <col min="1283" max="1283" width="11.75" style="3198" customWidth="1"/>
    <col min="1284" max="1284" width="4.625" style="3198" customWidth="1"/>
    <col min="1285" max="1285" width="32.75" style="3198" customWidth="1"/>
    <col min="1286" max="1286" width="8.25" style="3198" customWidth="1"/>
    <col min="1287" max="1287" width="16.125" style="3198" customWidth="1"/>
    <col min="1288" max="1289" width="13.875" style="3198" customWidth="1"/>
    <col min="1290" max="1290" width="12.5" style="3198" customWidth="1"/>
    <col min="1291" max="1291" width="9" style="3198" customWidth="1"/>
    <col min="1292" max="1292" width="19.25" style="3198" customWidth="1"/>
    <col min="1293" max="1293" width="32" style="3198" customWidth="1"/>
    <col min="1294" max="1294" width="10.625" style="3198" customWidth="1"/>
    <col min="1295" max="1295" width="16" style="3198" customWidth="1"/>
    <col min="1296" max="1296" width="14.375" style="3198" customWidth="1"/>
    <col min="1297" max="1297" width="6.25" style="3198" customWidth="1"/>
    <col min="1298" max="1298" width="23.25" style="3198" customWidth="1"/>
    <col min="1299" max="1536" width="9" style="3198"/>
    <col min="1537" max="1537" width="25.5" style="3198" customWidth="1"/>
    <col min="1538" max="1538" width="6.25" style="3198" customWidth="1"/>
    <col min="1539" max="1539" width="11.75" style="3198" customWidth="1"/>
    <col min="1540" max="1540" width="4.625" style="3198" customWidth="1"/>
    <col min="1541" max="1541" width="32.75" style="3198" customWidth="1"/>
    <col min="1542" max="1542" width="8.25" style="3198" customWidth="1"/>
    <col min="1543" max="1543" width="16.125" style="3198" customWidth="1"/>
    <col min="1544" max="1545" width="13.875" style="3198" customWidth="1"/>
    <col min="1546" max="1546" width="12.5" style="3198" customWidth="1"/>
    <col min="1547" max="1547" width="9" style="3198" customWidth="1"/>
    <col min="1548" max="1548" width="19.25" style="3198" customWidth="1"/>
    <col min="1549" max="1549" width="32" style="3198" customWidth="1"/>
    <col min="1550" max="1550" width="10.625" style="3198" customWidth="1"/>
    <col min="1551" max="1551" width="16" style="3198" customWidth="1"/>
    <col min="1552" max="1552" width="14.375" style="3198" customWidth="1"/>
    <col min="1553" max="1553" width="6.25" style="3198" customWidth="1"/>
    <col min="1554" max="1554" width="23.25" style="3198" customWidth="1"/>
    <col min="1555" max="1792" width="9" style="3198"/>
    <col min="1793" max="1793" width="25.5" style="3198" customWidth="1"/>
    <col min="1794" max="1794" width="6.25" style="3198" customWidth="1"/>
    <col min="1795" max="1795" width="11.75" style="3198" customWidth="1"/>
    <col min="1796" max="1796" width="4.625" style="3198" customWidth="1"/>
    <col min="1797" max="1797" width="32.75" style="3198" customWidth="1"/>
    <col min="1798" max="1798" width="8.25" style="3198" customWidth="1"/>
    <col min="1799" max="1799" width="16.125" style="3198" customWidth="1"/>
    <col min="1800" max="1801" width="13.875" style="3198" customWidth="1"/>
    <col min="1802" max="1802" width="12.5" style="3198" customWidth="1"/>
    <col min="1803" max="1803" width="9" style="3198" customWidth="1"/>
    <col min="1804" max="1804" width="19.25" style="3198" customWidth="1"/>
    <col min="1805" max="1805" width="32" style="3198" customWidth="1"/>
    <col min="1806" max="1806" width="10.625" style="3198" customWidth="1"/>
    <col min="1807" max="1807" width="16" style="3198" customWidth="1"/>
    <col min="1808" max="1808" width="14.375" style="3198" customWidth="1"/>
    <col min="1809" max="1809" width="6.25" style="3198" customWidth="1"/>
    <col min="1810" max="1810" width="23.25" style="3198" customWidth="1"/>
    <col min="1811" max="2048" width="9" style="3198"/>
    <col min="2049" max="2049" width="25.5" style="3198" customWidth="1"/>
    <col min="2050" max="2050" width="6.25" style="3198" customWidth="1"/>
    <col min="2051" max="2051" width="11.75" style="3198" customWidth="1"/>
    <col min="2052" max="2052" width="4.625" style="3198" customWidth="1"/>
    <col min="2053" max="2053" width="32.75" style="3198" customWidth="1"/>
    <col min="2054" max="2054" width="8.25" style="3198" customWidth="1"/>
    <col min="2055" max="2055" width="16.125" style="3198" customWidth="1"/>
    <col min="2056" max="2057" width="13.875" style="3198" customWidth="1"/>
    <col min="2058" max="2058" width="12.5" style="3198" customWidth="1"/>
    <col min="2059" max="2059" width="9" style="3198" customWidth="1"/>
    <col min="2060" max="2060" width="19.25" style="3198" customWidth="1"/>
    <col min="2061" max="2061" width="32" style="3198" customWidth="1"/>
    <col min="2062" max="2062" width="10.625" style="3198" customWidth="1"/>
    <col min="2063" max="2063" width="16" style="3198" customWidth="1"/>
    <col min="2064" max="2064" width="14.375" style="3198" customWidth="1"/>
    <col min="2065" max="2065" width="6.25" style="3198" customWidth="1"/>
    <col min="2066" max="2066" width="23.25" style="3198" customWidth="1"/>
    <col min="2067" max="2304" width="9" style="3198"/>
    <col min="2305" max="2305" width="25.5" style="3198" customWidth="1"/>
    <col min="2306" max="2306" width="6.25" style="3198" customWidth="1"/>
    <col min="2307" max="2307" width="11.75" style="3198" customWidth="1"/>
    <col min="2308" max="2308" width="4.625" style="3198" customWidth="1"/>
    <col min="2309" max="2309" width="32.75" style="3198" customWidth="1"/>
    <col min="2310" max="2310" width="8.25" style="3198" customWidth="1"/>
    <col min="2311" max="2311" width="16.125" style="3198" customWidth="1"/>
    <col min="2312" max="2313" width="13.875" style="3198" customWidth="1"/>
    <col min="2314" max="2314" width="12.5" style="3198" customWidth="1"/>
    <col min="2315" max="2315" width="9" style="3198" customWidth="1"/>
    <col min="2316" max="2316" width="19.25" style="3198" customWidth="1"/>
    <col min="2317" max="2317" width="32" style="3198" customWidth="1"/>
    <col min="2318" max="2318" width="10.625" style="3198" customWidth="1"/>
    <col min="2319" max="2319" width="16" style="3198" customWidth="1"/>
    <col min="2320" max="2320" width="14.375" style="3198" customWidth="1"/>
    <col min="2321" max="2321" width="6.25" style="3198" customWidth="1"/>
    <col min="2322" max="2322" width="23.25" style="3198" customWidth="1"/>
    <col min="2323" max="2560" width="9" style="3198"/>
    <col min="2561" max="2561" width="25.5" style="3198" customWidth="1"/>
    <col min="2562" max="2562" width="6.25" style="3198" customWidth="1"/>
    <col min="2563" max="2563" width="11.75" style="3198" customWidth="1"/>
    <col min="2564" max="2564" width="4.625" style="3198" customWidth="1"/>
    <col min="2565" max="2565" width="32.75" style="3198" customWidth="1"/>
    <col min="2566" max="2566" width="8.25" style="3198" customWidth="1"/>
    <col min="2567" max="2567" width="16.125" style="3198" customWidth="1"/>
    <col min="2568" max="2569" width="13.875" style="3198" customWidth="1"/>
    <col min="2570" max="2570" width="12.5" style="3198" customWidth="1"/>
    <col min="2571" max="2571" width="9" style="3198" customWidth="1"/>
    <col min="2572" max="2572" width="19.25" style="3198" customWidth="1"/>
    <col min="2573" max="2573" width="32" style="3198" customWidth="1"/>
    <col min="2574" max="2574" width="10.625" style="3198" customWidth="1"/>
    <col min="2575" max="2575" width="16" style="3198" customWidth="1"/>
    <col min="2576" max="2576" width="14.375" style="3198" customWidth="1"/>
    <col min="2577" max="2577" width="6.25" style="3198" customWidth="1"/>
    <col min="2578" max="2578" width="23.25" style="3198" customWidth="1"/>
    <col min="2579" max="2816" width="9" style="3198"/>
    <col min="2817" max="2817" width="25.5" style="3198" customWidth="1"/>
    <col min="2818" max="2818" width="6.25" style="3198" customWidth="1"/>
    <col min="2819" max="2819" width="11.75" style="3198" customWidth="1"/>
    <col min="2820" max="2820" width="4.625" style="3198" customWidth="1"/>
    <col min="2821" max="2821" width="32.75" style="3198" customWidth="1"/>
    <col min="2822" max="2822" width="8.25" style="3198" customWidth="1"/>
    <col min="2823" max="2823" width="16.125" style="3198" customWidth="1"/>
    <col min="2824" max="2825" width="13.875" style="3198" customWidth="1"/>
    <col min="2826" max="2826" width="12.5" style="3198" customWidth="1"/>
    <col min="2827" max="2827" width="9" style="3198" customWidth="1"/>
    <col min="2828" max="2828" width="19.25" style="3198" customWidth="1"/>
    <col min="2829" max="2829" width="32" style="3198" customWidth="1"/>
    <col min="2830" max="2830" width="10.625" style="3198" customWidth="1"/>
    <col min="2831" max="2831" width="16" style="3198" customWidth="1"/>
    <col min="2832" max="2832" width="14.375" style="3198" customWidth="1"/>
    <col min="2833" max="2833" width="6.25" style="3198" customWidth="1"/>
    <col min="2834" max="2834" width="23.25" style="3198" customWidth="1"/>
    <col min="2835" max="3072" width="9" style="3198"/>
    <col min="3073" max="3073" width="25.5" style="3198" customWidth="1"/>
    <col min="3074" max="3074" width="6.25" style="3198" customWidth="1"/>
    <col min="3075" max="3075" width="11.75" style="3198" customWidth="1"/>
    <col min="3076" max="3076" width="4.625" style="3198" customWidth="1"/>
    <col min="3077" max="3077" width="32.75" style="3198" customWidth="1"/>
    <col min="3078" max="3078" width="8.25" style="3198" customWidth="1"/>
    <col min="3079" max="3079" width="16.125" style="3198" customWidth="1"/>
    <col min="3080" max="3081" width="13.875" style="3198" customWidth="1"/>
    <col min="3082" max="3082" width="12.5" style="3198" customWidth="1"/>
    <col min="3083" max="3083" width="9" style="3198" customWidth="1"/>
    <col min="3084" max="3084" width="19.25" style="3198" customWidth="1"/>
    <col min="3085" max="3085" width="32" style="3198" customWidth="1"/>
    <col min="3086" max="3086" width="10.625" style="3198" customWidth="1"/>
    <col min="3087" max="3087" width="16" style="3198" customWidth="1"/>
    <col min="3088" max="3088" width="14.375" style="3198" customWidth="1"/>
    <col min="3089" max="3089" width="6.25" style="3198" customWidth="1"/>
    <col min="3090" max="3090" width="23.25" style="3198" customWidth="1"/>
    <col min="3091" max="3328" width="9" style="3198"/>
    <col min="3329" max="3329" width="25.5" style="3198" customWidth="1"/>
    <col min="3330" max="3330" width="6.25" style="3198" customWidth="1"/>
    <col min="3331" max="3331" width="11.75" style="3198" customWidth="1"/>
    <col min="3332" max="3332" width="4.625" style="3198" customWidth="1"/>
    <col min="3333" max="3333" width="32.75" style="3198" customWidth="1"/>
    <col min="3334" max="3334" width="8.25" style="3198" customWidth="1"/>
    <col min="3335" max="3335" width="16.125" style="3198" customWidth="1"/>
    <col min="3336" max="3337" width="13.875" style="3198" customWidth="1"/>
    <col min="3338" max="3338" width="12.5" style="3198" customWidth="1"/>
    <col min="3339" max="3339" width="9" style="3198" customWidth="1"/>
    <col min="3340" max="3340" width="19.25" style="3198" customWidth="1"/>
    <col min="3341" max="3341" width="32" style="3198" customWidth="1"/>
    <col min="3342" max="3342" width="10.625" style="3198" customWidth="1"/>
    <col min="3343" max="3343" width="16" style="3198" customWidth="1"/>
    <col min="3344" max="3344" width="14.375" style="3198" customWidth="1"/>
    <col min="3345" max="3345" width="6.25" style="3198" customWidth="1"/>
    <col min="3346" max="3346" width="23.25" style="3198" customWidth="1"/>
    <col min="3347" max="3584" width="9" style="3198"/>
    <col min="3585" max="3585" width="25.5" style="3198" customWidth="1"/>
    <col min="3586" max="3586" width="6.25" style="3198" customWidth="1"/>
    <col min="3587" max="3587" width="11.75" style="3198" customWidth="1"/>
    <col min="3588" max="3588" width="4.625" style="3198" customWidth="1"/>
    <col min="3589" max="3589" width="32.75" style="3198" customWidth="1"/>
    <col min="3590" max="3590" width="8.25" style="3198" customWidth="1"/>
    <col min="3591" max="3591" width="16.125" style="3198" customWidth="1"/>
    <col min="3592" max="3593" width="13.875" style="3198" customWidth="1"/>
    <col min="3594" max="3594" width="12.5" style="3198" customWidth="1"/>
    <col min="3595" max="3595" width="9" style="3198" customWidth="1"/>
    <col min="3596" max="3596" width="19.25" style="3198" customWidth="1"/>
    <col min="3597" max="3597" width="32" style="3198" customWidth="1"/>
    <col min="3598" max="3598" width="10.625" style="3198" customWidth="1"/>
    <col min="3599" max="3599" width="16" style="3198" customWidth="1"/>
    <col min="3600" max="3600" width="14.375" style="3198" customWidth="1"/>
    <col min="3601" max="3601" width="6.25" style="3198" customWidth="1"/>
    <col min="3602" max="3602" width="23.25" style="3198" customWidth="1"/>
    <col min="3603" max="3840" width="9" style="3198"/>
    <col min="3841" max="3841" width="25.5" style="3198" customWidth="1"/>
    <col min="3842" max="3842" width="6.25" style="3198" customWidth="1"/>
    <col min="3843" max="3843" width="11.75" style="3198" customWidth="1"/>
    <col min="3844" max="3844" width="4.625" style="3198" customWidth="1"/>
    <col min="3845" max="3845" width="32.75" style="3198" customWidth="1"/>
    <col min="3846" max="3846" width="8.25" style="3198" customWidth="1"/>
    <col min="3847" max="3847" width="16.125" style="3198" customWidth="1"/>
    <col min="3848" max="3849" width="13.875" style="3198" customWidth="1"/>
    <col min="3850" max="3850" width="12.5" style="3198" customWidth="1"/>
    <col min="3851" max="3851" width="9" style="3198" customWidth="1"/>
    <col min="3852" max="3852" width="19.25" style="3198" customWidth="1"/>
    <col min="3853" max="3853" width="32" style="3198" customWidth="1"/>
    <col min="3854" max="3854" width="10.625" style="3198" customWidth="1"/>
    <col min="3855" max="3855" width="16" style="3198" customWidth="1"/>
    <col min="3856" max="3856" width="14.375" style="3198" customWidth="1"/>
    <col min="3857" max="3857" width="6.25" style="3198" customWidth="1"/>
    <col min="3858" max="3858" width="23.25" style="3198" customWidth="1"/>
    <col min="3859" max="4096" width="9" style="3198"/>
    <col min="4097" max="4097" width="25.5" style="3198" customWidth="1"/>
    <col min="4098" max="4098" width="6.25" style="3198" customWidth="1"/>
    <col min="4099" max="4099" width="11.75" style="3198" customWidth="1"/>
    <col min="4100" max="4100" width="4.625" style="3198" customWidth="1"/>
    <col min="4101" max="4101" width="32.75" style="3198" customWidth="1"/>
    <col min="4102" max="4102" width="8.25" style="3198" customWidth="1"/>
    <col min="4103" max="4103" width="16.125" style="3198" customWidth="1"/>
    <col min="4104" max="4105" width="13.875" style="3198" customWidth="1"/>
    <col min="4106" max="4106" width="12.5" style="3198" customWidth="1"/>
    <col min="4107" max="4107" width="9" style="3198" customWidth="1"/>
    <col min="4108" max="4108" width="19.25" style="3198" customWidth="1"/>
    <col min="4109" max="4109" width="32" style="3198" customWidth="1"/>
    <col min="4110" max="4110" width="10.625" style="3198" customWidth="1"/>
    <col min="4111" max="4111" width="16" style="3198" customWidth="1"/>
    <col min="4112" max="4112" width="14.375" style="3198" customWidth="1"/>
    <col min="4113" max="4113" width="6.25" style="3198" customWidth="1"/>
    <col min="4114" max="4114" width="23.25" style="3198" customWidth="1"/>
    <col min="4115" max="4352" width="9" style="3198"/>
    <col min="4353" max="4353" width="25.5" style="3198" customWidth="1"/>
    <col min="4354" max="4354" width="6.25" style="3198" customWidth="1"/>
    <col min="4355" max="4355" width="11.75" style="3198" customWidth="1"/>
    <col min="4356" max="4356" width="4.625" style="3198" customWidth="1"/>
    <col min="4357" max="4357" width="32.75" style="3198" customWidth="1"/>
    <col min="4358" max="4358" width="8.25" style="3198" customWidth="1"/>
    <col min="4359" max="4359" width="16.125" style="3198" customWidth="1"/>
    <col min="4360" max="4361" width="13.875" style="3198" customWidth="1"/>
    <col min="4362" max="4362" width="12.5" style="3198" customWidth="1"/>
    <col min="4363" max="4363" width="9" style="3198" customWidth="1"/>
    <col min="4364" max="4364" width="19.25" style="3198" customWidth="1"/>
    <col min="4365" max="4365" width="32" style="3198" customWidth="1"/>
    <col min="4366" max="4366" width="10.625" style="3198" customWidth="1"/>
    <col min="4367" max="4367" width="16" style="3198" customWidth="1"/>
    <col min="4368" max="4368" width="14.375" style="3198" customWidth="1"/>
    <col min="4369" max="4369" width="6.25" style="3198" customWidth="1"/>
    <col min="4370" max="4370" width="23.25" style="3198" customWidth="1"/>
    <col min="4371" max="4608" width="9" style="3198"/>
    <col min="4609" max="4609" width="25.5" style="3198" customWidth="1"/>
    <col min="4610" max="4610" width="6.25" style="3198" customWidth="1"/>
    <col min="4611" max="4611" width="11.75" style="3198" customWidth="1"/>
    <col min="4612" max="4612" width="4.625" style="3198" customWidth="1"/>
    <col min="4613" max="4613" width="32.75" style="3198" customWidth="1"/>
    <col min="4614" max="4614" width="8.25" style="3198" customWidth="1"/>
    <col min="4615" max="4615" width="16.125" style="3198" customWidth="1"/>
    <col min="4616" max="4617" width="13.875" style="3198" customWidth="1"/>
    <col min="4618" max="4618" width="12.5" style="3198" customWidth="1"/>
    <col min="4619" max="4619" width="9" style="3198" customWidth="1"/>
    <col min="4620" max="4620" width="19.25" style="3198" customWidth="1"/>
    <col min="4621" max="4621" width="32" style="3198" customWidth="1"/>
    <col min="4622" max="4622" width="10.625" style="3198" customWidth="1"/>
    <col min="4623" max="4623" width="16" style="3198" customWidth="1"/>
    <col min="4624" max="4624" width="14.375" style="3198" customWidth="1"/>
    <col min="4625" max="4625" width="6.25" style="3198" customWidth="1"/>
    <col min="4626" max="4626" width="23.25" style="3198" customWidth="1"/>
    <col min="4627" max="4864" width="9" style="3198"/>
    <col min="4865" max="4865" width="25.5" style="3198" customWidth="1"/>
    <col min="4866" max="4866" width="6.25" style="3198" customWidth="1"/>
    <col min="4867" max="4867" width="11.75" style="3198" customWidth="1"/>
    <col min="4868" max="4868" width="4.625" style="3198" customWidth="1"/>
    <col min="4869" max="4869" width="32.75" style="3198" customWidth="1"/>
    <col min="4870" max="4870" width="8.25" style="3198" customWidth="1"/>
    <col min="4871" max="4871" width="16.125" style="3198" customWidth="1"/>
    <col min="4872" max="4873" width="13.875" style="3198" customWidth="1"/>
    <col min="4874" max="4874" width="12.5" style="3198" customWidth="1"/>
    <col min="4875" max="4875" width="9" style="3198" customWidth="1"/>
    <col min="4876" max="4876" width="19.25" style="3198" customWidth="1"/>
    <col min="4877" max="4877" width="32" style="3198" customWidth="1"/>
    <col min="4878" max="4878" width="10.625" style="3198" customWidth="1"/>
    <col min="4879" max="4879" width="16" style="3198" customWidth="1"/>
    <col min="4880" max="4880" width="14.375" style="3198" customWidth="1"/>
    <col min="4881" max="4881" width="6.25" style="3198" customWidth="1"/>
    <col min="4882" max="4882" width="23.25" style="3198" customWidth="1"/>
    <col min="4883" max="5120" width="9" style="3198"/>
    <col min="5121" max="5121" width="25.5" style="3198" customWidth="1"/>
    <col min="5122" max="5122" width="6.25" style="3198" customWidth="1"/>
    <col min="5123" max="5123" width="11.75" style="3198" customWidth="1"/>
    <col min="5124" max="5124" width="4.625" style="3198" customWidth="1"/>
    <col min="5125" max="5125" width="32.75" style="3198" customWidth="1"/>
    <col min="5126" max="5126" width="8.25" style="3198" customWidth="1"/>
    <col min="5127" max="5127" width="16.125" style="3198" customWidth="1"/>
    <col min="5128" max="5129" width="13.875" style="3198" customWidth="1"/>
    <col min="5130" max="5130" width="12.5" style="3198" customWidth="1"/>
    <col min="5131" max="5131" width="9" style="3198" customWidth="1"/>
    <col min="5132" max="5132" width="19.25" style="3198" customWidth="1"/>
    <col min="5133" max="5133" width="32" style="3198" customWidth="1"/>
    <col min="5134" max="5134" width="10.625" style="3198" customWidth="1"/>
    <col min="5135" max="5135" width="16" style="3198" customWidth="1"/>
    <col min="5136" max="5136" width="14.375" style="3198" customWidth="1"/>
    <col min="5137" max="5137" width="6.25" style="3198" customWidth="1"/>
    <col min="5138" max="5138" width="23.25" style="3198" customWidth="1"/>
    <col min="5139" max="5376" width="9" style="3198"/>
    <col min="5377" max="5377" width="25.5" style="3198" customWidth="1"/>
    <col min="5378" max="5378" width="6.25" style="3198" customWidth="1"/>
    <col min="5379" max="5379" width="11.75" style="3198" customWidth="1"/>
    <col min="5380" max="5380" width="4.625" style="3198" customWidth="1"/>
    <col min="5381" max="5381" width="32.75" style="3198" customWidth="1"/>
    <col min="5382" max="5382" width="8.25" style="3198" customWidth="1"/>
    <col min="5383" max="5383" width="16.125" style="3198" customWidth="1"/>
    <col min="5384" max="5385" width="13.875" style="3198" customWidth="1"/>
    <col min="5386" max="5386" width="12.5" style="3198" customWidth="1"/>
    <col min="5387" max="5387" width="9" style="3198" customWidth="1"/>
    <col min="5388" max="5388" width="19.25" style="3198" customWidth="1"/>
    <col min="5389" max="5389" width="32" style="3198" customWidth="1"/>
    <col min="5390" max="5390" width="10.625" style="3198" customWidth="1"/>
    <col min="5391" max="5391" width="16" style="3198" customWidth="1"/>
    <col min="5392" max="5392" width="14.375" style="3198" customWidth="1"/>
    <col min="5393" max="5393" width="6.25" style="3198" customWidth="1"/>
    <col min="5394" max="5394" width="23.25" style="3198" customWidth="1"/>
    <col min="5395" max="5632" width="9" style="3198"/>
    <col min="5633" max="5633" width="25.5" style="3198" customWidth="1"/>
    <col min="5634" max="5634" width="6.25" style="3198" customWidth="1"/>
    <col min="5635" max="5635" width="11.75" style="3198" customWidth="1"/>
    <col min="5636" max="5636" width="4.625" style="3198" customWidth="1"/>
    <col min="5637" max="5637" width="32.75" style="3198" customWidth="1"/>
    <col min="5638" max="5638" width="8.25" style="3198" customWidth="1"/>
    <col min="5639" max="5639" width="16.125" style="3198" customWidth="1"/>
    <col min="5640" max="5641" width="13.875" style="3198" customWidth="1"/>
    <col min="5642" max="5642" width="12.5" style="3198" customWidth="1"/>
    <col min="5643" max="5643" width="9" style="3198" customWidth="1"/>
    <col min="5644" max="5644" width="19.25" style="3198" customWidth="1"/>
    <col min="5645" max="5645" width="32" style="3198" customWidth="1"/>
    <col min="5646" max="5646" width="10.625" style="3198" customWidth="1"/>
    <col min="5647" max="5647" width="16" style="3198" customWidth="1"/>
    <col min="5648" max="5648" width="14.375" style="3198" customWidth="1"/>
    <col min="5649" max="5649" width="6.25" style="3198" customWidth="1"/>
    <col min="5650" max="5650" width="23.25" style="3198" customWidth="1"/>
    <col min="5651" max="5888" width="9" style="3198"/>
    <col min="5889" max="5889" width="25.5" style="3198" customWidth="1"/>
    <col min="5890" max="5890" width="6.25" style="3198" customWidth="1"/>
    <col min="5891" max="5891" width="11.75" style="3198" customWidth="1"/>
    <col min="5892" max="5892" width="4.625" style="3198" customWidth="1"/>
    <col min="5893" max="5893" width="32.75" style="3198" customWidth="1"/>
    <col min="5894" max="5894" width="8.25" style="3198" customWidth="1"/>
    <col min="5895" max="5895" width="16.125" style="3198" customWidth="1"/>
    <col min="5896" max="5897" width="13.875" style="3198" customWidth="1"/>
    <col min="5898" max="5898" width="12.5" style="3198" customWidth="1"/>
    <col min="5899" max="5899" width="9" style="3198" customWidth="1"/>
    <col min="5900" max="5900" width="19.25" style="3198" customWidth="1"/>
    <col min="5901" max="5901" width="32" style="3198" customWidth="1"/>
    <col min="5902" max="5902" width="10.625" style="3198" customWidth="1"/>
    <col min="5903" max="5903" width="16" style="3198" customWidth="1"/>
    <col min="5904" max="5904" width="14.375" style="3198" customWidth="1"/>
    <col min="5905" max="5905" width="6.25" style="3198" customWidth="1"/>
    <col min="5906" max="5906" width="23.25" style="3198" customWidth="1"/>
    <col min="5907" max="6144" width="9" style="3198"/>
    <col min="6145" max="6145" width="25.5" style="3198" customWidth="1"/>
    <col min="6146" max="6146" width="6.25" style="3198" customWidth="1"/>
    <col min="6147" max="6147" width="11.75" style="3198" customWidth="1"/>
    <col min="6148" max="6148" width="4.625" style="3198" customWidth="1"/>
    <col min="6149" max="6149" width="32.75" style="3198" customWidth="1"/>
    <col min="6150" max="6150" width="8.25" style="3198" customWidth="1"/>
    <col min="6151" max="6151" width="16.125" style="3198" customWidth="1"/>
    <col min="6152" max="6153" width="13.875" style="3198" customWidth="1"/>
    <col min="6154" max="6154" width="12.5" style="3198" customWidth="1"/>
    <col min="6155" max="6155" width="9" style="3198" customWidth="1"/>
    <col min="6156" max="6156" width="19.25" style="3198" customWidth="1"/>
    <col min="6157" max="6157" width="32" style="3198" customWidth="1"/>
    <col min="6158" max="6158" width="10.625" style="3198" customWidth="1"/>
    <col min="6159" max="6159" width="16" style="3198" customWidth="1"/>
    <col min="6160" max="6160" width="14.375" style="3198" customWidth="1"/>
    <col min="6161" max="6161" width="6.25" style="3198" customWidth="1"/>
    <col min="6162" max="6162" width="23.25" style="3198" customWidth="1"/>
    <col min="6163" max="6400" width="9" style="3198"/>
    <col min="6401" max="6401" width="25.5" style="3198" customWidth="1"/>
    <col min="6402" max="6402" width="6.25" style="3198" customWidth="1"/>
    <col min="6403" max="6403" width="11.75" style="3198" customWidth="1"/>
    <col min="6404" max="6404" width="4.625" style="3198" customWidth="1"/>
    <col min="6405" max="6405" width="32.75" style="3198" customWidth="1"/>
    <col min="6406" max="6406" width="8.25" style="3198" customWidth="1"/>
    <col min="6407" max="6407" width="16.125" style="3198" customWidth="1"/>
    <col min="6408" max="6409" width="13.875" style="3198" customWidth="1"/>
    <col min="6410" max="6410" width="12.5" style="3198" customWidth="1"/>
    <col min="6411" max="6411" width="9" style="3198" customWidth="1"/>
    <col min="6412" max="6412" width="19.25" style="3198" customWidth="1"/>
    <col min="6413" max="6413" width="32" style="3198" customWidth="1"/>
    <col min="6414" max="6414" width="10.625" style="3198" customWidth="1"/>
    <col min="6415" max="6415" width="16" style="3198" customWidth="1"/>
    <col min="6416" max="6416" width="14.375" style="3198" customWidth="1"/>
    <col min="6417" max="6417" width="6.25" style="3198" customWidth="1"/>
    <col min="6418" max="6418" width="23.25" style="3198" customWidth="1"/>
    <col min="6419" max="6656" width="9" style="3198"/>
    <col min="6657" max="6657" width="25.5" style="3198" customWidth="1"/>
    <col min="6658" max="6658" width="6.25" style="3198" customWidth="1"/>
    <col min="6659" max="6659" width="11.75" style="3198" customWidth="1"/>
    <col min="6660" max="6660" width="4.625" style="3198" customWidth="1"/>
    <col min="6661" max="6661" width="32.75" style="3198" customWidth="1"/>
    <col min="6662" max="6662" width="8.25" style="3198" customWidth="1"/>
    <col min="6663" max="6663" width="16.125" style="3198" customWidth="1"/>
    <col min="6664" max="6665" width="13.875" style="3198" customWidth="1"/>
    <col min="6666" max="6666" width="12.5" style="3198" customWidth="1"/>
    <col min="6667" max="6667" width="9" style="3198" customWidth="1"/>
    <col min="6668" max="6668" width="19.25" style="3198" customWidth="1"/>
    <col min="6669" max="6669" width="32" style="3198" customWidth="1"/>
    <col min="6670" max="6670" width="10.625" style="3198" customWidth="1"/>
    <col min="6671" max="6671" width="16" style="3198" customWidth="1"/>
    <col min="6672" max="6672" width="14.375" style="3198" customWidth="1"/>
    <col min="6673" max="6673" width="6.25" style="3198" customWidth="1"/>
    <col min="6674" max="6674" width="23.25" style="3198" customWidth="1"/>
    <col min="6675" max="6912" width="9" style="3198"/>
    <col min="6913" max="6913" width="25.5" style="3198" customWidth="1"/>
    <col min="6914" max="6914" width="6.25" style="3198" customWidth="1"/>
    <col min="6915" max="6915" width="11.75" style="3198" customWidth="1"/>
    <col min="6916" max="6916" width="4.625" style="3198" customWidth="1"/>
    <col min="6917" max="6917" width="32.75" style="3198" customWidth="1"/>
    <col min="6918" max="6918" width="8.25" style="3198" customWidth="1"/>
    <col min="6919" max="6919" width="16.125" style="3198" customWidth="1"/>
    <col min="6920" max="6921" width="13.875" style="3198" customWidth="1"/>
    <col min="6922" max="6922" width="12.5" style="3198" customWidth="1"/>
    <col min="6923" max="6923" width="9" style="3198" customWidth="1"/>
    <col min="6924" max="6924" width="19.25" style="3198" customWidth="1"/>
    <col min="6925" max="6925" width="32" style="3198" customWidth="1"/>
    <col min="6926" max="6926" width="10.625" style="3198" customWidth="1"/>
    <col min="6927" max="6927" width="16" style="3198" customWidth="1"/>
    <col min="6928" max="6928" width="14.375" style="3198" customWidth="1"/>
    <col min="6929" max="6929" width="6.25" style="3198" customWidth="1"/>
    <col min="6930" max="6930" width="23.25" style="3198" customWidth="1"/>
    <col min="6931" max="7168" width="9" style="3198"/>
    <col min="7169" max="7169" width="25.5" style="3198" customWidth="1"/>
    <col min="7170" max="7170" width="6.25" style="3198" customWidth="1"/>
    <col min="7171" max="7171" width="11.75" style="3198" customWidth="1"/>
    <col min="7172" max="7172" width="4.625" style="3198" customWidth="1"/>
    <col min="7173" max="7173" width="32.75" style="3198" customWidth="1"/>
    <col min="7174" max="7174" width="8.25" style="3198" customWidth="1"/>
    <col min="7175" max="7175" width="16.125" style="3198" customWidth="1"/>
    <col min="7176" max="7177" width="13.875" style="3198" customWidth="1"/>
    <col min="7178" max="7178" width="12.5" style="3198" customWidth="1"/>
    <col min="7179" max="7179" width="9" style="3198" customWidth="1"/>
    <col min="7180" max="7180" width="19.25" style="3198" customWidth="1"/>
    <col min="7181" max="7181" width="32" style="3198" customWidth="1"/>
    <col min="7182" max="7182" width="10.625" style="3198" customWidth="1"/>
    <col min="7183" max="7183" width="16" style="3198" customWidth="1"/>
    <col min="7184" max="7184" width="14.375" style="3198" customWidth="1"/>
    <col min="7185" max="7185" width="6.25" style="3198" customWidth="1"/>
    <col min="7186" max="7186" width="23.25" style="3198" customWidth="1"/>
    <col min="7187" max="7424" width="9" style="3198"/>
    <col min="7425" max="7425" width="25.5" style="3198" customWidth="1"/>
    <col min="7426" max="7426" width="6.25" style="3198" customWidth="1"/>
    <col min="7427" max="7427" width="11.75" style="3198" customWidth="1"/>
    <col min="7428" max="7428" width="4.625" style="3198" customWidth="1"/>
    <col min="7429" max="7429" width="32.75" style="3198" customWidth="1"/>
    <col min="7430" max="7430" width="8.25" style="3198" customWidth="1"/>
    <col min="7431" max="7431" width="16.125" style="3198" customWidth="1"/>
    <col min="7432" max="7433" width="13.875" style="3198" customWidth="1"/>
    <col min="7434" max="7434" width="12.5" style="3198" customWidth="1"/>
    <col min="7435" max="7435" width="9" style="3198" customWidth="1"/>
    <col min="7436" max="7436" width="19.25" style="3198" customWidth="1"/>
    <col min="7437" max="7437" width="32" style="3198" customWidth="1"/>
    <col min="7438" max="7438" width="10.625" style="3198" customWidth="1"/>
    <col min="7439" max="7439" width="16" style="3198" customWidth="1"/>
    <col min="7440" max="7440" width="14.375" style="3198" customWidth="1"/>
    <col min="7441" max="7441" width="6.25" style="3198" customWidth="1"/>
    <col min="7442" max="7442" width="23.25" style="3198" customWidth="1"/>
    <col min="7443" max="7680" width="9" style="3198"/>
    <col min="7681" max="7681" width="25.5" style="3198" customWidth="1"/>
    <col min="7682" max="7682" width="6.25" style="3198" customWidth="1"/>
    <col min="7683" max="7683" width="11.75" style="3198" customWidth="1"/>
    <col min="7684" max="7684" width="4.625" style="3198" customWidth="1"/>
    <col min="7685" max="7685" width="32.75" style="3198" customWidth="1"/>
    <col min="7686" max="7686" width="8.25" style="3198" customWidth="1"/>
    <col min="7687" max="7687" width="16.125" style="3198" customWidth="1"/>
    <col min="7688" max="7689" width="13.875" style="3198" customWidth="1"/>
    <col min="7690" max="7690" width="12.5" style="3198" customWidth="1"/>
    <col min="7691" max="7691" width="9" style="3198" customWidth="1"/>
    <col min="7692" max="7692" width="19.25" style="3198" customWidth="1"/>
    <col min="7693" max="7693" width="32" style="3198" customWidth="1"/>
    <col min="7694" max="7694" width="10.625" style="3198" customWidth="1"/>
    <col min="7695" max="7695" width="16" style="3198" customWidth="1"/>
    <col min="7696" max="7696" width="14.375" style="3198" customWidth="1"/>
    <col min="7697" max="7697" width="6.25" style="3198" customWidth="1"/>
    <col min="7698" max="7698" width="23.25" style="3198" customWidth="1"/>
    <col min="7699" max="7936" width="9" style="3198"/>
    <col min="7937" max="7937" width="25.5" style="3198" customWidth="1"/>
    <col min="7938" max="7938" width="6.25" style="3198" customWidth="1"/>
    <col min="7939" max="7939" width="11.75" style="3198" customWidth="1"/>
    <col min="7940" max="7940" width="4.625" style="3198" customWidth="1"/>
    <col min="7941" max="7941" width="32.75" style="3198" customWidth="1"/>
    <col min="7942" max="7942" width="8.25" style="3198" customWidth="1"/>
    <col min="7943" max="7943" width="16.125" style="3198" customWidth="1"/>
    <col min="7944" max="7945" width="13.875" style="3198" customWidth="1"/>
    <col min="7946" max="7946" width="12.5" style="3198" customWidth="1"/>
    <col min="7947" max="7947" width="9" style="3198" customWidth="1"/>
    <col min="7948" max="7948" width="19.25" style="3198" customWidth="1"/>
    <col min="7949" max="7949" width="32" style="3198" customWidth="1"/>
    <col min="7950" max="7950" width="10.625" style="3198" customWidth="1"/>
    <col min="7951" max="7951" width="16" style="3198" customWidth="1"/>
    <col min="7952" max="7952" width="14.375" style="3198" customWidth="1"/>
    <col min="7953" max="7953" width="6.25" style="3198" customWidth="1"/>
    <col min="7954" max="7954" width="23.25" style="3198" customWidth="1"/>
    <col min="7955" max="8192" width="9" style="3198"/>
    <col min="8193" max="8193" width="25.5" style="3198" customWidth="1"/>
    <col min="8194" max="8194" width="6.25" style="3198" customWidth="1"/>
    <col min="8195" max="8195" width="11.75" style="3198" customWidth="1"/>
    <col min="8196" max="8196" width="4.625" style="3198" customWidth="1"/>
    <col min="8197" max="8197" width="32.75" style="3198" customWidth="1"/>
    <col min="8198" max="8198" width="8.25" style="3198" customWidth="1"/>
    <col min="8199" max="8199" width="16.125" style="3198" customWidth="1"/>
    <col min="8200" max="8201" width="13.875" style="3198" customWidth="1"/>
    <col min="8202" max="8202" width="12.5" style="3198" customWidth="1"/>
    <col min="8203" max="8203" width="9" style="3198" customWidth="1"/>
    <col min="8204" max="8204" width="19.25" style="3198" customWidth="1"/>
    <col min="8205" max="8205" width="32" style="3198" customWidth="1"/>
    <col min="8206" max="8206" width="10.625" style="3198" customWidth="1"/>
    <col min="8207" max="8207" width="16" style="3198" customWidth="1"/>
    <col min="8208" max="8208" width="14.375" style="3198" customWidth="1"/>
    <col min="8209" max="8209" width="6.25" style="3198" customWidth="1"/>
    <col min="8210" max="8210" width="23.25" style="3198" customWidth="1"/>
    <col min="8211" max="8448" width="9" style="3198"/>
    <col min="8449" max="8449" width="25.5" style="3198" customWidth="1"/>
    <col min="8450" max="8450" width="6.25" style="3198" customWidth="1"/>
    <col min="8451" max="8451" width="11.75" style="3198" customWidth="1"/>
    <col min="8452" max="8452" width="4.625" style="3198" customWidth="1"/>
    <col min="8453" max="8453" width="32.75" style="3198" customWidth="1"/>
    <col min="8454" max="8454" width="8.25" style="3198" customWidth="1"/>
    <col min="8455" max="8455" width="16.125" style="3198" customWidth="1"/>
    <col min="8456" max="8457" width="13.875" style="3198" customWidth="1"/>
    <col min="8458" max="8458" width="12.5" style="3198" customWidth="1"/>
    <col min="8459" max="8459" width="9" style="3198" customWidth="1"/>
    <col min="8460" max="8460" width="19.25" style="3198" customWidth="1"/>
    <col min="8461" max="8461" width="32" style="3198" customWidth="1"/>
    <col min="8462" max="8462" width="10.625" style="3198" customWidth="1"/>
    <col min="8463" max="8463" width="16" style="3198" customWidth="1"/>
    <col min="8464" max="8464" width="14.375" style="3198" customWidth="1"/>
    <col min="8465" max="8465" width="6.25" style="3198" customWidth="1"/>
    <col min="8466" max="8466" width="23.25" style="3198" customWidth="1"/>
    <col min="8467" max="8704" width="9" style="3198"/>
    <col min="8705" max="8705" width="25.5" style="3198" customWidth="1"/>
    <col min="8706" max="8706" width="6.25" style="3198" customWidth="1"/>
    <col min="8707" max="8707" width="11.75" style="3198" customWidth="1"/>
    <col min="8708" max="8708" width="4.625" style="3198" customWidth="1"/>
    <col min="8709" max="8709" width="32.75" style="3198" customWidth="1"/>
    <col min="8710" max="8710" width="8.25" style="3198" customWidth="1"/>
    <col min="8711" max="8711" width="16.125" style="3198" customWidth="1"/>
    <col min="8712" max="8713" width="13.875" style="3198" customWidth="1"/>
    <col min="8714" max="8714" width="12.5" style="3198" customWidth="1"/>
    <col min="8715" max="8715" width="9" style="3198" customWidth="1"/>
    <col min="8716" max="8716" width="19.25" style="3198" customWidth="1"/>
    <col min="8717" max="8717" width="32" style="3198" customWidth="1"/>
    <col min="8718" max="8718" width="10.625" style="3198" customWidth="1"/>
    <col min="8719" max="8719" width="16" style="3198" customWidth="1"/>
    <col min="8720" max="8720" width="14.375" style="3198" customWidth="1"/>
    <col min="8721" max="8721" width="6.25" style="3198" customWidth="1"/>
    <col min="8722" max="8722" width="23.25" style="3198" customWidth="1"/>
    <col min="8723" max="8960" width="9" style="3198"/>
    <col min="8961" max="8961" width="25.5" style="3198" customWidth="1"/>
    <col min="8962" max="8962" width="6.25" style="3198" customWidth="1"/>
    <col min="8963" max="8963" width="11.75" style="3198" customWidth="1"/>
    <col min="8964" max="8964" width="4.625" style="3198" customWidth="1"/>
    <col min="8965" max="8965" width="32.75" style="3198" customWidth="1"/>
    <col min="8966" max="8966" width="8.25" style="3198" customWidth="1"/>
    <col min="8967" max="8967" width="16.125" style="3198" customWidth="1"/>
    <col min="8968" max="8969" width="13.875" style="3198" customWidth="1"/>
    <col min="8970" max="8970" width="12.5" style="3198" customWidth="1"/>
    <col min="8971" max="8971" width="9" style="3198" customWidth="1"/>
    <col min="8972" max="8972" width="19.25" style="3198" customWidth="1"/>
    <col min="8973" max="8973" width="32" style="3198" customWidth="1"/>
    <col min="8974" max="8974" width="10.625" style="3198" customWidth="1"/>
    <col min="8975" max="8975" width="16" style="3198" customWidth="1"/>
    <col min="8976" max="8976" width="14.375" style="3198" customWidth="1"/>
    <col min="8977" max="8977" width="6.25" style="3198" customWidth="1"/>
    <col min="8978" max="8978" width="23.25" style="3198" customWidth="1"/>
    <col min="8979" max="9216" width="9" style="3198"/>
    <col min="9217" max="9217" width="25.5" style="3198" customWidth="1"/>
    <col min="9218" max="9218" width="6.25" style="3198" customWidth="1"/>
    <col min="9219" max="9219" width="11.75" style="3198" customWidth="1"/>
    <col min="9220" max="9220" width="4.625" style="3198" customWidth="1"/>
    <col min="9221" max="9221" width="32.75" style="3198" customWidth="1"/>
    <col min="9222" max="9222" width="8.25" style="3198" customWidth="1"/>
    <col min="9223" max="9223" width="16.125" style="3198" customWidth="1"/>
    <col min="9224" max="9225" width="13.875" style="3198" customWidth="1"/>
    <col min="9226" max="9226" width="12.5" style="3198" customWidth="1"/>
    <col min="9227" max="9227" width="9" style="3198" customWidth="1"/>
    <col min="9228" max="9228" width="19.25" style="3198" customWidth="1"/>
    <col min="9229" max="9229" width="32" style="3198" customWidth="1"/>
    <col min="9230" max="9230" width="10.625" style="3198" customWidth="1"/>
    <col min="9231" max="9231" width="16" style="3198" customWidth="1"/>
    <col min="9232" max="9232" width="14.375" style="3198" customWidth="1"/>
    <col min="9233" max="9233" width="6.25" style="3198" customWidth="1"/>
    <col min="9234" max="9234" width="23.25" style="3198" customWidth="1"/>
    <col min="9235" max="9472" width="9" style="3198"/>
    <col min="9473" max="9473" width="25.5" style="3198" customWidth="1"/>
    <col min="9474" max="9474" width="6.25" style="3198" customWidth="1"/>
    <col min="9475" max="9475" width="11.75" style="3198" customWidth="1"/>
    <col min="9476" max="9476" width="4.625" style="3198" customWidth="1"/>
    <col min="9477" max="9477" width="32.75" style="3198" customWidth="1"/>
    <col min="9478" max="9478" width="8.25" style="3198" customWidth="1"/>
    <col min="9479" max="9479" width="16.125" style="3198" customWidth="1"/>
    <col min="9480" max="9481" width="13.875" style="3198" customWidth="1"/>
    <col min="9482" max="9482" width="12.5" style="3198" customWidth="1"/>
    <col min="9483" max="9483" width="9" style="3198" customWidth="1"/>
    <col min="9484" max="9484" width="19.25" style="3198" customWidth="1"/>
    <col min="9485" max="9485" width="32" style="3198" customWidth="1"/>
    <col min="9486" max="9486" width="10.625" style="3198" customWidth="1"/>
    <col min="9487" max="9487" width="16" style="3198" customWidth="1"/>
    <col min="9488" max="9488" width="14.375" style="3198" customWidth="1"/>
    <col min="9489" max="9489" width="6.25" style="3198" customWidth="1"/>
    <col min="9490" max="9490" width="23.25" style="3198" customWidth="1"/>
    <col min="9491" max="9728" width="9" style="3198"/>
    <col min="9729" max="9729" width="25.5" style="3198" customWidth="1"/>
    <col min="9730" max="9730" width="6.25" style="3198" customWidth="1"/>
    <col min="9731" max="9731" width="11.75" style="3198" customWidth="1"/>
    <col min="9732" max="9732" width="4.625" style="3198" customWidth="1"/>
    <col min="9733" max="9733" width="32.75" style="3198" customWidth="1"/>
    <col min="9734" max="9734" width="8.25" style="3198" customWidth="1"/>
    <col min="9735" max="9735" width="16.125" style="3198" customWidth="1"/>
    <col min="9736" max="9737" width="13.875" style="3198" customWidth="1"/>
    <col min="9738" max="9738" width="12.5" style="3198" customWidth="1"/>
    <col min="9739" max="9739" width="9" style="3198" customWidth="1"/>
    <col min="9740" max="9740" width="19.25" style="3198" customWidth="1"/>
    <col min="9741" max="9741" width="32" style="3198" customWidth="1"/>
    <col min="9742" max="9742" width="10.625" style="3198" customWidth="1"/>
    <col min="9743" max="9743" width="16" style="3198" customWidth="1"/>
    <col min="9744" max="9744" width="14.375" style="3198" customWidth="1"/>
    <col min="9745" max="9745" width="6.25" style="3198" customWidth="1"/>
    <col min="9746" max="9746" width="23.25" style="3198" customWidth="1"/>
    <col min="9747" max="9984" width="9" style="3198"/>
    <col min="9985" max="9985" width="25.5" style="3198" customWidth="1"/>
    <col min="9986" max="9986" width="6.25" style="3198" customWidth="1"/>
    <col min="9987" max="9987" width="11.75" style="3198" customWidth="1"/>
    <col min="9988" max="9988" width="4.625" style="3198" customWidth="1"/>
    <col min="9989" max="9989" width="32.75" style="3198" customWidth="1"/>
    <col min="9990" max="9990" width="8.25" style="3198" customWidth="1"/>
    <col min="9991" max="9991" width="16.125" style="3198" customWidth="1"/>
    <col min="9992" max="9993" width="13.875" style="3198" customWidth="1"/>
    <col min="9994" max="9994" width="12.5" style="3198" customWidth="1"/>
    <col min="9995" max="9995" width="9" style="3198" customWidth="1"/>
    <col min="9996" max="9996" width="19.25" style="3198" customWidth="1"/>
    <col min="9997" max="9997" width="32" style="3198" customWidth="1"/>
    <col min="9998" max="9998" width="10.625" style="3198" customWidth="1"/>
    <col min="9999" max="9999" width="16" style="3198" customWidth="1"/>
    <col min="10000" max="10000" width="14.375" style="3198" customWidth="1"/>
    <col min="10001" max="10001" width="6.25" style="3198" customWidth="1"/>
    <col min="10002" max="10002" width="23.25" style="3198" customWidth="1"/>
    <col min="10003" max="10240" width="9" style="3198"/>
    <col min="10241" max="10241" width="25.5" style="3198" customWidth="1"/>
    <col min="10242" max="10242" width="6.25" style="3198" customWidth="1"/>
    <col min="10243" max="10243" width="11.75" style="3198" customWidth="1"/>
    <col min="10244" max="10244" width="4.625" style="3198" customWidth="1"/>
    <col min="10245" max="10245" width="32.75" style="3198" customWidth="1"/>
    <col min="10246" max="10246" width="8.25" style="3198" customWidth="1"/>
    <col min="10247" max="10247" width="16.125" style="3198" customWidth="1"/>
    <col min="10248" max="10249" width="13.875" style="3198" customWidth="1"/>
    <col min="10250" max="10250" width="12.5" style="3198" customWidth="1"/>
    <col min="10251" max="10251" width="9" style="3198" customWidth="1"/>
    <col min="10252" max="10252" width="19.25" style="3198" customWidth="1"/>
    <col min="10253" max="10253" width="32" style="3198" customWidth="1"/>
    <col min="10254" max="10254" width="10.625" style="3198" customWidth="1"/>
    <col min="10255" max="10255" width="16" style="3198" customWidth="1"/>
    <col min="10256" max="10256" width="14.375" style="3198" customWidth="1"/>
    <col min="10257" max="10257" width="6.25" style="3198" customWidth="1"/>
    <col min="10258" max="10258" width="23.25" style="3198" customWidth="1"/>
    <col min="10259" max="10496" width="9" style="3198"/>
    <col min="10497" max="10497" width="25.5" style="3198" customWidth="1"/>
    <col min="10498" max="10498" width="6.25" style="3198" customWidth="1"/>
    <col min="10499" max="10499" width="11.75" style="3198" customWidth="1"/>
    <col min="10500" max="10500" width="4.625" style="3198" customWidth="1"/>
    <col min="10501" max="10501" width="32.75" style="3198" customWidth="1"/>
    <col min="10502" max="10502" width="8.25" style="3198" customWidth="1"/>
    <col min="10503" max="10503" width="16.125" style="3198" customWidth="1"/>
    <col min="10504" max="10505" width="13.875" style="3198" customWidth="1"/>
    <col min="10506" max="10506" width="12.5" style="3198" customWidth="1"/>
    <col min="10507" max="10507" width="9" style="3198" customWidth="1"/>
    <col min="10508" max="10508" width="19.25" style="3198" customWidth="1"/>
    <col min="10509" max="10509" width="32" style="3198" customWidth="1"/>
    <col min="10510" max="10510" width="10.625" style="3198" customWidth="1"/>
    <col min="10511" max="10511" width="16" style="3198" customWidth="1"/>
    <col min="10512" max="10512" width="14.375" style="3198" customWidth="1"/>
    <col min="10513" max="10513" width="6.25" style="3198" customWidth="1"/>
    <col min="10514" max="10514" width="23.25" style="3198" customWidth="1"/>
    <col min="10515" max="10752" width="9" style="3198"/>
    <col min="10753" max="10753" width="25.5" style="3198" customWidth="1"/>
    <col min="10754" max="10754" width="6.25" style="3198" customWidth="1"/>
    <col min="10755" max="10755" width="11.75" style="3198" customWidth="1"/>
    <col min="10756" max="10756" width="4.625" style="3198" customWidth="1"/>
    <col min="10757" max="10757" width="32.75" style="3198" customWidth="1"/>
    <col min="10758" max="10758" width="8.25" style="3198" customWidth="1"/>
    <col min="10759" max="10759" width="16.125" style="3198" customWidth="1"/>
    <col min="10760" max="10761" width="13.875" style="3198" customWidth="1"/>
    <col min="10762" max="10762" width="12.5" style="3198" customWidth="1"/>
    <col min="10763" max="10763" width="9" style="3198" customWidth="1"/>
    <col min="10764" max="10764" width="19.25" style="3198" customWidth="1"/>
    <col min="10765" max="10765" width="32" style="3198" customWidth="1"/>
    <col min="10766" max="10766" width="10.625" style="3198" customWidth="1"/>
    <col min="10767" max="10767" width="16" style="3198" customWidth="1"/>
    <col min="10768" max="10768" width="14.375" style="3198" customWidth="1"/>
    <col min="10769" max="10769" width="6.25" style="3198" customWidth="1"/>
    <col min="10770" max="10770" width="23.25" style="3198" customWidth="1"/>
    <col min="10771" max="11008" width="9" style="3198"/>
    <col min="11009" max="11009" width="25.5" style="3198" customWidth="1"/>
    <col min="11010" max="11010" width="6.25" style="3198" customWidth="1"/>
    <col min="11011" max="11011" width="11.75" style="3198" customWidth="1"/>
    <col min="11012" max="11012" width="4.625" style="3198" customWidth="1"/>
    <col min="11013" max="11013" width="32.75" style="3198" customWidth="1"/>
    <col min="11014" max="11014" width="8.25" style="3198" customWidth="1"/>
    <col min="11015" max="11015" width="16.125" style="3198" customWidth="1"/>
    <col min="11016" max="11017" width="13.875" style="3198" customWidth="1"/>
    <col min="11018" max="11018" width="12.5" style="3198" customWidth="1"/>
    <col min="11019" max="11019" width="9" style="3198" customWidth="1"/>
    <col min="11020" max="11020" width="19.25" style="3198" customWidth="1"/>
    <col min="11021" max="11021" width="32" style="3198" customWidth="1"/>
    <col min="11022" max="11022" width="10.625" style="3198" customWidth="1"/>
    <col min="11023" max="11023" width="16" style="3198" customWidth="1"/>
    <col min="11024" max="11024" width="14.375" style="3198" customWidth="1"/>
    <col min="11025" max="11025" width="6.25" style="3198" customWidth="1"/>
    <col min="11026" max="11026" width="23.25" style="3198" customWidth="1"/>
    <col min="11027" max="11264" width="9" style="3198"/>
    <col min="11265" max="11265" width="25.5" style="3198" customWidth="1"/>
    <col min="11266" max="11266" width="6.25" style="3198" customWidth="1"/>
    <col min="11267" max="11267" width="11.75" style="3198" customWidth="1"/>
    <col min="11268" max="11268" width="4.625" style="3198" customWidth="1"/>
    <col min="11269" max="11269" width="32.75" style="3198" customWidth="1"/>
    <col min="11270" max="11270" width="8.25" style="3198" customWidth="1"/>
    <col min="11271" max="11271" width="16.125" style="3198" customWidth="1"/>
    <col min="11272" max="11273" width="13.875" style="3198" customWidth="1"/>
    <col min="11274" max="11274" width="12.5" style="3198" customWidth="1"/>
    <col min="11275" max="11275" width="9" style="3198" customWidth="1"/>
    <col min="11276" max="11276" width="19.25" style="3198" customWidth="1"/>
    <col min="11277" max="11277" width="32" style="3198" customWidth="1"/>
    <col min="11278" max="11278" width="10.625" style="3198" customWidth="1"/>
    <col min="11279" max="11279" width="16" style="3198" customWidth="1"/>
    <col min="11280" max="11280" width="14.375" style="3198" customWidth="1"/>
    <col min="11281" max="11281" width="6.25" style="3198" customWidth="1"/>
    <col min="11282" max="11282" width="23.25" style="3198" customWidth="1"/>
    <col min="11283" max="11520" width="9" style="3198"/>
    <col min="11521" max="11521" width="25.5" style="3198" customWidth="1"/>
    <col min="11522" max="11522" width="6.25" style="3198" customWidth="1"/>
    <col min="11523" max="11523" width="11.75" style="3198" customWidth="1"/>
    <col min="11524" max="11524" width="4.625" style="3198" customWidth="1"/>
    <col min="11525" max="11525" width="32.75" style="3198" customWidth="1"/>
    <col min="11526" max="11526" width="8.25" style="3198" customWidth="1"/>
    <col min="11527" max="11527" width="16.125" style="3198" customWidth="1"/>
    <col min="11528" max="11529" width="13.875" style="3198" customWidth="1"/>
    <col min="11530" max="11530" width="12.5" style="3198" customWidth="1"/>
    <col min="11531" max="11531" width="9" style="3198" customWidth="1"/>
    <col min="11532" max="11532" width="19.25" style="3198" customWidth="1"/>
    <col min="11533" max="11533" width="32" style="3198" customWidth="1"/>
    <col min="11534" max="11534" width="10.625" style="3198" customWidth="1"/>
    <col min="11535" max="11535" width="16" style="3198" customWidth="1"/>
    <col min="11536" max="11536" width="14.375" style="3198" customWidth="1"/>
    <col min="11537" max="11537" width="6.25" style="3198" customWidth="1"/>
    <col min="11538" max="11538" width="23.25" style="3198" customWidth="1"/>
    <col min="11539" max="11776" width="9" style="3198"/>
    <col min="11777" max="11777" width="25.5" style="3198" customWidth="1"/>
    <col min="11778" max="11778" width="6.25" style="3198" customWidth="1"/>
    <col min="11779" max="11779" width="11.75" style="3198" customWidth="1"/>
    <col min="11780" max="11780" width="4.625" style="3198" customWidth="1"/>
    <col min="11781" max="11781" width="32.75" style="3198" customWidth="1"/>
    <col min="11782" max="11782" width="8.25" style="3198" customWidth="1"/>
    <col min="11783" max="11783" width="16.125" style="3198" customWidth="1"/>
    <col min="11784" max="11785" width="13.875" style="3198" customWidth="1"/>
    <col min="11786" max="11786" width="12.5" style="3198" customWidth="1"/>
    <col min="11787" max="11787" width="9" style="3198" customWidth="1"/>
    <col min="11788" max="11788" width="19.25" style="3198" customWidth="1"/>
    <col min="11789" max="11789" width="32" style="3198" customWidth="1"/>
    <col min="11790" max="11790" width="10.625" style="3198" customWidth="1"/>
    <col min="11791" max="11791" width="16" style="3198" customWidth="1"/>
    <col min="11792" max="11792" width="14.375" style="3198" customWidth="1"/>
    <col min="11793" max="11793" width="6.25" style="3198" customWidth="1"/>
    <col min="11794" max="11794" width="23.25" style="3198" customWidth="1"/>
    <col min="11795" max="12032" width="9" style="3198"/>
    <col min="12033" max="12033" width="25.5" style="3198" customWidth="1"/>
    <col min="12034" max="12034" width="6.25" style="3198" customWidth="1"/>
    <col min="12035" max="12035" width="11.75" style="3198" customWidth="1"/>
    <col min="12036" max="12036" width="4.625" style="3198" customWidth="1"/>
    <col min="12037" max="12037" width="32.75" style="3198" customWidth="1"/>
    <col min="12038" max="12038" width="8.25" style="3198" customWidth="1"/>
    <col min="12039" max="12039" width="16.125" style="3198" customWidth="1"/>
    <col min="12040" max="12041" width="13.875" style="3198" customWidth="1"/>
    <col min="12042" max="12042" width="12.5" style="3198" customWidth="1"/>
    <col min="12043" max="12043" width="9" style="3198" customWidth="1"/>
    <col min="12044" max="12044" width="19.25" style="3198" customWidth="1"/>
    <col min="12045" max="12045" width="32" style="3198" customWidth="1"/>
    <col min="12046" max="12046" width="10.625" style="3198" customWidth="1"/>
    <col min="12047" max="12047" width="16" style="3198" customWidth="1"/>
    <col min="12048" max="12048" width="14.375" style="3198" customWidth="1"/>
    <col min="12049" max="12049" width="6.25" style="3198" customWidth="1"/>
    <col min="12050" max="12050" width="23.25" style="3198" customWidth="1"/>
    <col min="12051" max="12288" width="9" style="3198"/>
    <col min="12289" max="12289" width="25.5" style="3198" customWidth="1"/>
    <col min="12290" max="12290" width="6.25" style="3198" customWidth="1"/>
    <col min="12291" max="12291" width="11.75" style="3198" customWidth="1"/>
    <col min="12292" max="12292" width="4.625" style="3198" customWidth="1"/>
    <col min="12293" max="12293" width="32.75" style="3198" customWidth="1"/>
    <col min="12294" max="12294" width="8.25" style="3198" customWidth="1"/>
    <col min="12295" max="12295" width="16.125" style="3198" customWidth="1"/>
    <col min="12296" max="12297" width="13.875" style="3198" customWidth="1"/>
    <col min="12298" max="12298" width="12.5" style="3198" customWidth="1"/>
    <col min="12299" max="12299" width="9" style="3198" customWidth="1"/>
    <col min="12300" max="12300" width="19.25" style="3198" customWidth="1"/>
    <col min="12301" max="12301" width="32" style="3198" customWidth="1"/>
    <col min="12302" max="12302" width="10.625" style="3198" customWidth="1"/>
    <col min="12303" max="12303" width="16" style="3198" customWidth="1"/>
    <col min="12304" max="12304" width="14.375" style="3198" customWidth="1"/>
    <col min="12305" max="12305" width="6.25" style="3198" customWidth="1"/>
    <col min="12306" max="12306" width="23.25" style="3198" customWidth="1"/>
    <col min="12307" max="12544" width="9" style="3198"/>
    <col min="12545" max="12545" width="25.5" style="3198" customWidth="1"/>
    <col min="12546" max="12546" width="6.25" style="3198" customWidth="1"/>
    <col min="12547" max="12547" width="11.75" style="3198" customWidth="1"/>
    <col min="12548" max="12548" width="4.625" style="3198" customWidth="1"/>
    <col min="12549" max="12549" width="32.75" style="3198" customWidth="1"/>
    <col min="12550" max="12550" width="8.25" style="3198" customWidth="1"/>
    <col min="12551" max="12551" width="16.125" style="3198" customWidth="1"/>
    <col min="12552" max="12553" width="13.875" style="3198" customWidth="1"/>
    <col min="12554" max="12554" width="12.5" style="3198" customWidth="1"/>
    <col min="12555" max="12555" width="9" style="3198" customWidth="1"/>
    <col min="12556" max="12556" width="19.25" style="3198" customWidth="1"/>
    <col min="12557" max="12557" width="32" style="3198" customWidth="1"/>
    <col min="12558" max="12558" width="10.625" style="3198" customWidth="1"/>
    <col min="12559" max="12559" width="16" style="3198" customWidth="1"/>
    <col min="12560" max="12560" width="14.375" style="3198" customWidth="1"/>
    <col min="12561" max="12561" width="6.25" style="3198" customWidth="1"/>
    <col min="12562" max="12562" width="23.25" style="3198" customWidth="1"/>
    <col min="12563" max="12800" width="9" style="3198"/>
    <col min="12801" max="12801" width="25.5" style="3198" customWidth="1"/>
    <col min="12802" max="12802" width="6.25" style="3198" customWidth="1"/>
    <col min="12803" max="12803" width="11.75" style="3198" customWidth="1"/>
    <col min="12804" max="12804" width="4.625" style="3198" customWidth="1"/>
    <col min="12805" max="12805" width="32.75" style="3198" customWidth="1"/>
    <col min="12806" max="12806" width="8.25" style="3198" customWidth="1"/>
    <col min="12807" max="12807" width="16.125" style="3198" customWidth="1"/>
    <col min="12808" max="12809" width="13.875" style="3198" customWidth="1"/>
    <col min="12810" max="12810" width="12.5" style="3198" customWidth="1"/>
    <col min="12811" max="12811" width="9" style="3198" customWidth="1"/>
    <col min="12812" max="12812" width="19.25" style="3198" customWidth="1"/>
    <col min="12813" max="12813" width="32" style="3198" customWidth="1"/>
    <col min="12814" max="12814" width="10.625" style="3198" customWidth="1"/>
    <col min="12815" max="12815" width="16" style="3198" customWidth="1"/>
    <col min="12816" max="12816" width="14.375" style="3198" customWidth="1"/>
    <col min="12817" max="12817" width="6.25" style="3198" customWidth="1"/>
    <col min="12818" max="12818" width="23.25" style="3198" customWidth="1"/>
    <col min="12819" max="13056" width="9" style="3198"/>
    <col min="13057" max="13057" width="25.5" style="3198" customWidth="1"/>
    <col min="13058" max="13058" width="6.25" style="3198" customWidth="1"/>
    <col min="13059" max="13059" width="11.75" style="3198" customWidth="1"/>
    <col min="13060" max="13060" width="4.625" style="3198" customWidth="1"/>
    <col min="13061" max="13061" width="32.75" style="3198" customWidth="1"/>
    <col min="13062" max="13062" width="8.25" style="3198" customWidth="1"/>
    <col min="13063" max="13063" width="16.125" style="3198" customWidth="1"/>
    <col min="13064" max="13065" width="13.875" style="3198" customWidth="1"/>
    <col min="13066" max="13066" width="12.5" style="3198" customWidth="1"/>
    <col min="13067" max="13067" width="9" style="3198" customWidth="1"/>
    <col min="13068" max="13068" width="19.25" style="3198" customWidth="1"/>
    <col min="13069" max="13069" width="32" style="3198" customWidth="1"/>
    <col min="13070" max="13070" width="10.625" style="3198" customWidth="1"/>
    <col min="13071" max="13071" width="16" style="3198" customWidth="1"/>
    <col min="13072" max="13072" width="14.375" style="3198" customWidth="1"/>
    <col min="13073" max="13073" width="6.25" style="3198" customWidth="1"/>
    <col min="13074" max="13074" width="23.25" style="3198" customWidth="1"/>
    <col min="13075" max="13312" width="9" style="3198"/>
    <col min="13313" max="13313" width="25.5" style="3198" customWidth="1"/>
    <col min="13314" max="13314" width="6.25" style="3198" customWidth="1"/>
    <col min="13315" max="13315" width="11.75" style="3198" customWidth="1"/>
    <col min="13316" max="13316" width="4.625" style="3198" customWidth="1"/>
    <col min="13317" max="13317" width="32.75" style="3198" customWidth="1"/>
    <col min="13318" max="13318" width="8.25" style="3198" customWidth="1"/>
    <col min="13319" max="13319" width="16.125" style="3198" customWidth="1"/>
    <col min="13320" max="13321" width="13.875" style="3198" customWidth="1"/>
    <col min="13322" max="13322" width="12.5" style="3198" customWidth="1"/>
    <col min="13323" max="13323" width="9" style="3198" customWidth="1"/>
    <col min="13324" max="13324" width="19.25" style="3198" customWidth="1"/>
    <col min="13325" max="13325" width="32" style="3198" customWidth="1"/>
    <col min="13326" max="13326" width="10.625" style="3198" customWidth="1"/>
    <col min="13327" max="13327" width="16" style="3198" customWidth="1"/>
    <col min="13328" max="13328" width="14.375" style="3198" customWidth="1"/>
    <col min="13329" max="13329" width="6.25" style="3198" customWidth="1"/>
    <col min="13330" max="13330" width="23.25" style="3198" customWidth="1"/>
    <col min="13331" max="13568" width="9" style="3198"/>
    <col min="13569" max="13569" width="25.5" style="3198" customWidth="1"/>
    <col min="13570" max="13570" width="6.25" style="3198" customWidth="1"/>
    <col min="13571" max="13571" width="11.75" style="3198" customWidth="1"/>
    <col min="13572" max="13572" width="4.625" style="3198" customWidth="1"/>
    <col min="13573" max="13573" width="32.75" style="3198" customWidth="1"/>
    <col min="13574" max="13574" width="8.25" style="3198" customWidth="1"/>
    <col min="13575" max="13575" width="16.125" style="3198" customWidth="1"/>
    <col min="13576" max="13577" width="13.875" style="3198" customWidth="1"/>
    <col min="13578" max="13578" width="12.5" style="3198" customWidth="1"/>
    <col min="13579" max="13579" width="9" style="3198" customWidth="1"/>
    <col min="13580" max="13580" width="19.25" style="3198" customWidth="1"/>
    <col min="13581" max="13581" width="32" style="3198" customWidth="1"/>
    <col min="13582" max="13582" width="10.625" style="3198" customWidth="1"/>
    <col min="13583" max="13583" width="16" style="3198" customWidth="1"/>
    <col min="13584" max="13584" width="14.375" style="3198" customWidth="1"/>
    <col min="13585" max="13585" width="6.25" style="3198" customWidth="1"/>
    <col min="13586" max="13586" width="23.25" style="3198" customWidth="1"/>
    <col min="13587" max="13824" width="9" style="3198"/>
    <col min="13825" max="13825" width="25.5" style="3198" customWidth="1"/>
    <col min="13826" max="13826" width="6.25" style="3198" customWidth="1"/>
    <col min="13827" max="13827" width="11.75" style="3198" customWidth="1"/>
    <col min="13828" max="13828" width="4.625" style="3198" customWidth="1"/>
    <col min="13829" max="13829" width="32.75" style="3198" customWidth="1"/>
    <col min="13830" max="13830" width="8.25" style="3198" customWidth="1"/>
    <col min="13831" max="13831" width="16.125" style="3198" customWidth="1"/>
    <col min="13832" max="13833" width="13.875" style="3198" customWidth="1"/>
    <col min="13834" max="13834" width="12.5" style="3198" customWidth="1"/>
    <col min="13835" max="13835" width="9" style="3198" customWidth="1"/>
    <col min="13836" max="13836" width="19.25" style="3198" customWidth="1"/>
    <col min="13837" max="13837" width="32" style="3198" customWidth="1"/>
    <col min="13838" max="13838" width="10.625" style="3198" customWidth="1"/>
    <col min="13839" max="13839" width="16" style="3198" customWidth="1"/>
    <col min="13840" max="13840" width="14.375" style="3198" customWidth="1"/>
    <col min="13841" max="13841" width="6.25" style="3198" customWidth="1"/>
    <col min="13842" max="13842" width="23.25" style="3198" customWidth="1"/>
    <col min="13843" max="14080" width="9" style="3198"/>
    <col min="14081" max="14081" width="25.5" style="3198" customWidth="1"/>
    <col min="14082" max="14082" width="6.25" style="3198" customWidth="1"/>
    <col min="14083" max="14083" width="11.75" style="3198" customWidth="1"/>
    <col min="14084" max="14084" width="4.625" style="3198" customWidth="1"/>
    <col min="14085" max="14085" width="32.75" style="3198" customWidth="1"/>
    <col min="14086" max="14086" width="8.25" style="3198" customWidth="1"/>
    <col min="14087" max="14087" width="16.125" style="3198" customWidth="1"/>
    <col min="14088" max="14089" width="13.875" style="3198" customWidth="1"/>
    <col min="14090" max="14090" width="12.5" style="3198" customWidth="1"/>
    <col min="14091" max="14091" width="9" style="3198" customWidth="1"/>
    <col min="14092" max="14092" width="19.25" style="3198" customWidth="1"/>
    <col min="14093" max="14093" width="32" style="3198" customWidth="1"/>
    <col min="14094" max="14094" width="10.625" style="3198" customWidth="1"/>
    <col min="14095" max="14095" width="16" style="3198" customWidth="1"/>
    <col min="14096" max="14096" width="14.375" style="3198" customWidth="1"/>
    <col min="14097" max="14097" width="6.25" style="3198" customWidth="1"/>
    <col min="14098" max="14098" width="23.25" style="3198" customWidth="1"/>
    <col min="14099" max="14336" width="9" style="3198"/>
    <col min="14337" max="14337" width="25.5" style="3198" customWidth="1"/>
    <col min="14338" max="14338" width="6.25" style="3198" customWidth="1"/>
    <col min="14339" max="14339" width="11.75" style="3198" customWidth="1"/>
    <col min="14340" max="14340" width="4.625" style="3198" customWidth="1"/>
    <col min="14341" max="14341" width="32.75" style="3198" customWidth="1"/>
    <col min="14342" max="14342" width="8.25" style="3198" customWidth="1"/>
    <col min="14343" max="14343" width="16.125" style="3198" customWidth="1"/>
    <col min="14344" max="14345" width="13.875" style="3198" customWidth="1"/>
    <col min="14346" max="14346" width="12.5" style="3198" customWidth="1"/>
    <col min="14347" max="14347" width="9" style="3198" customWidth="1"/>
    <col min="14348" max="14348" width="19.25" style="3198" customWidth="1"/>
    <col min="14349" max="14349" width="32" style="3198" customWidth="1"/>
    <col min="14350" max="14350" width="10.625" style="3198" customWidth="1"/>
    <col min="14351" max="14351" width="16" style="3198" customWidth="1"/>
    <col min="14352" max="14352" width="14.375" style="3198" customWidth="1"/>
    <col min="14353" max="14353" width="6.25" style="3198" customWidth="1"/>
    <col min="14354" max="14354" width="23.25" style="3198" customWidth="1"/>
    <col min="14355" max="14592" width="9" style="3198"/>
    <col min="14593" max="14593" width="25.5" style="3198" customWidth="1"/>
    <col min="14594" max="14594" width="6.25" style="3198" customWidth="1"/>
    <col min="14595" max="14595" width="11.75" style="3198" customWidth="1"/>
    <col min="14596" max="14596" width="4.625" style="3198" customWidth="1"/>
    <col min="14597" max="14597" width="32.75" style="3198" customWidth="1"/>
    <col min="14598" max="14598" width="8.25" style="3198" customWidth="1"/>
    <col min="14599" max="14599" width="16.125" style="3198" customWidth="1"/>
    <col min="14600" max="14601" width="13.875" style="3198" customWidth="1"/>
    <col min="14602" max="14602" width="12.5" style="3198" customWidth="1"/>
    <col min="14603" max="14603" width="9" style="3198" customWidth="1"/>
    <col min="14604" max="14604" width="19.25" style="3198" customWidth="1"/>
    <col min="14605" max="14605" width="32" style="3198" customWidth="1"/>
    <col min="14606" max="14606" width="10.625" style="3198" customWidth="1"/>
    <col min="14607" max="14607" width="16" style="3198" customWidth="1"/>
    <col min="14608" max="14608" width="14.375" style="3198" customWidth="1"/>
    <col min="14609" max="14609" width="6.25" style="3198" customWidth="1"/>
    <col min="14610" max="14610" width="23.25" style="3198" customWidth="1"/>
    <col min="14611" max="14848" width="9" style="3198"/>
    <col min="14849" max="14849" width="25.5" style="3198" customWidth="1"/>
    <col min="14850" max="14850" width="6.25" style="3198" customWidth="1"/>
    <col min="14851" max="14851" width="11.75" style="3198" customWidth="1"/>
    <col min="14852" max="14852" width="4.625" style="3198" customWidth="1"/>
    <col min="14853" max="14853" width="32.75" style="3198" customWidth="1"/>
    <col min="14854" max="14854" width="8.25" style="3198" customWidth="1"/>
    <col min="14855" max="14855" width="16.125" style="3198" customWidth="1"/>
    <col min="14856" max="14857" width="13.875" style="3198" customWidth="1"/>
    <col min="14858" max="14858" width="12.5" style="3198" customWidth="1"/>
    <col min="14859" max="14859" width="9" style="3198" customWidth="1"/>
    <col min="14860" max="14860" width="19.25" style="3198" customWidth="1"/>
    <col min="14861" max="14861" width="32" style="3198" customWidth="1"/>
    <col min="14862" max="14862" width="10.625" style="3198" customWidth="1"/>
    <col min="14863" max="14863" width="16" style="3198" customWidth="1"/>
    <col min="14864" max="14864" width="14.375" style="3198" customWidth="1"/>
    <col min="14865" max="14865" width="6.25" style="3198" customWidth="1"/>
    <col min="14866" max="14866" width="23.25" style="3198" customWidth="1"/>
    <col min="14867" max="15104" width="9" style="3198"/>
    <col min="15105" max="15105" width="25.5" style="3198" customWidth="1"/>
    <col min="15106" max="15106" width="6.25" style="3198" customWidth="1"/>
    <col min="15107" max="15107" width="11.75" style="3198" customWidth="1"/>
    <col min="15108" max="15108" width="4.625" style="3198" customWidth="1"/>
    <col min="15109" max="15109" width="32.75" style="3198" customWidth="1"/>
    <col min="15110" max="15110" width="8.25" style="3198" customWidth="1"/>
    <col min="15111" max="15111" width="16.125" style="3198" customWidth="1"/>
    <col min="15112" max="15113" width="13.875" style="3198" customWidth="1"/>
    <col min="15114" max="15114" width="12.5" style="3198" customWidth="1"/>
    <col min="15115" max="15115" width="9" style="3198" customWidth="1"/>
    <col min="15116" max="15116" width="19.25" style="3198" customWidth="1"/>
    <col min="15117" max="15117" width="32" style="3198" customWidth="1"/>
    <col min="15118" max="15118" width="10.625" style="3198" customWidth="1"/>
    <col min="15119" max="15119" width="16" style="3198" customWidth="1"/>
    <col min="15120" max="15120" width="14.375" style="3198" customWidth="1"/>
    <col min="15121" max="15121" width="6.25" style="3198" customWidth="1"/>
    <col min="15122" max="15122" width="23.25" style="3198" customWidth="1"/>
    <col min="15123" max="15360" width="9" style="3198"/>
    <col min="15361" max="15361" width="25.5" style="3198" customWidth="1"/>
    <col min="15362" max="15362" width="6.25" style="3198" customWidth="1"/>
    <col min="15363" max="15363" width="11.75" style="3198" customWidth="1"/>
    <col min="15364" max="15364" width="4.625" style="3198" customWidth="1"/>
    <col min="15365" max="15365" width="32.75" style="3198" customWidth="1"/>
    <col min="15366" max="15366" width="8.25" style="3198" customWidth="1"/>
    <col min="15367" max="15367" width="16.125" style="3198" customWidth="1"/>
    <col min="15368" max="15369" width="13.875" style="3198" customWidth="1"/>
    <col min="15370" max="15370" width="12.5" style="3198" customWidth="1"/>
    <col min="15371" max="15371" width="9" style="3198" customWidth="1"/>
    <col min="15372" max="15372" width="19.25" style="3198" customWidth="1"/>
    <col min="15373" max="15373" width="32" style="3198" customWidth="1"/>
    <col min="15374" max="15374" width="10.625" style="3198" customWidth="1"/>
    <col min="15375" max="15375" width="16" style="3198" customWidth="1"/>
    <col min="15376" max="15376" width="14.375" style="3198" customWidth="1"/>
    <col min="15377" max="15377" width="6.25" style="3198" customWidth="1"/>
    <col min="15378" max="15378" width="23.25" style="3198" customWidth="1"/>
    <col min="15379" max="15616" width="9" style="3198"/>
    <col min="15617" max="15617" width="25.5" style="3198" customWidth="1"/>
    <col min="15618" max="15618" width="6.25" style="3198" customWidth="1"/>
    <col min="15619" max="15619" width="11.75" style="3198" customWidth="1"/>
    <col min="15620" max="15620" width="4.625" style="3198" customWidth="1"/>
    <col min="15621" max="15621" width="32.75" style="3198" customWidth="1"/>
    <col min="15622" max="15622" width="8.25" style="3198" customWidth="1"/>
    <col min="15623" max="15623" width="16.125" style="3198" customWidth="1"/>
    <col min="15624" max="15625" width="13.875" style="3198" customWidth="1"/>
    <col min="15626" max="15626" width="12.5" style="3198" customWidth="1"/>
    <col min="15627" max="15627" width="9" style="3198" customWidth="1"/>
    <col min="15628" max="15628" width="19.25" style="3198" customWidth="1"/>
    <col min="15629" max="15629" width="32" style="3198" customWidth="1"/>
    <col min="15630" max="15630" width="10.625" style="3198" customWidth="1"/>
    <col min="15631" max="15631" width="16" style="3198" customWidth="1"/>
    <col min="15632" max="15632" width="14.375" style="3198" customWidth="1"/>
    <col min="15633" max="15633" width="6.25" style="3198" customWidth="1"/>
    <col min="15634" max="15634" width="23.25" style="3198" customWidth="1"/>
    <col min="15635" max="15872" width="9" style="3198"/>
    <col min="15873" max="15873" width="25.5" style="3198" customWidth="1"/>
    <col min="15874" max="15874" width="6.25" style="3198" customWidth="1"/>
    <col min="15875" max="15875" width="11.75" style="3198" customWidth="1"/>
    <col min="15876" max="15876" width="4.625" style="3198" customWidth="1"/>
    <col min="15877" max="15877" width="32.75" style="3198" customWidth="1"/>
    <col min="15878" max="15878" width="8.25" style="3198" customWidth="1"/>
    <col min="15879" max="15879" width="16.125" style="3198" customWidth="1"/>
    <col min="15880" max="15881" width="13.875" style="3198" customWidth="1"/>
    <col min="15882" max="15882" width="12.5" style="3198" customWidth="1"/>
    <col min="15883" max="15883" width="9" style="3198" customWidth="1"/>
    <col min="15884" max="15884" width="19.25" style="3198" customWidth="1"/>
    <col min="15885" max="15885" width="32" style="3198" customWidth="1"/>
    <col min="15886" max="15886" width="10.625" style="3198" customWidth="1"/>
    <col min="15887" max="15887" width="16" style="3198" customWidth="1"/>
    <col min="15888" max="15888" width="14.375" style="3198" customWidth="1"/>
    <col min="15889" max="15889" width="6.25" style="3198" customWidth="1"/>
    <col min="15890" max="15890" width="23.25" style="3198" customWidth="1"/>
    <col min="15891" max="16128" width="9" style="3198"/>
    <col min="16129" max="16129" width="25.5" style="3198" customWidth="1"/>
    <col min="16130" max="16130" width="6.25" style="3198" customWidth="1"/>
    <col min="16131" max="16131" width="11.75" style="3198" customWidth="1"/>
    <col min="16132" max="16132" width="4.625" style="3198" customWidth="1"/>
    <col min="16133" max="16133" width="32.75" style="3198" customWidth="1"/>
    <col min="16134" max="16134" width="8.25" style="3198" customWidth="1"/>
    <col min="16135" max="16135" width="16.125" style="3198" customWidth="1"/>
    <col min="16136" max="16137" width="13.875" style="3198" customWidth="1"/>
    <col min="16138" max="16138" width="12.5" style="3198" customWidth="1"/>
    <col min="16139" max="16139" width="9" style="3198" customWidth="1"/>
    <col min="16140" max="16140" width="19.25" style="3198" customWidth="1"/>
    <col min="16141" max="16141" width="32" style="3198" customWidth="1"/>
    <col min="16142" max="16142" width="10.625" style="3198" customWidth="1"/>
    <col min="16143" max="16143" width="16" style="3198" customWidth="1"/>
    <col min="16144" max="16144" width="14.375" style="3198" customWidth="1"/>
    <col min="16145" max="16145" width="6.25" style="3198" customWidth="1"/>
    <col min="16146" max="16146" width="23.25" style="3198" customWidth="1"/>
    <col min="16147" max="16384" width="9" style="3198"/>
  </cols>
  <sheetData>
    <row r="1" spans="1:20">
      <c r="A1" s="3198" t="s">
        <v>3036</v>
      </c>
      <c r="B1" s="3198" t="s">
        <v>3037</v>
      </c>
      <c r="C1" s="3198" t="s">
        <v>3038</v>
      </c>
      <c r="D1" s="3198" t="s">
        <v>3039</v>
      </c>
      <c r="E1" s="3198" t="s">
        <v>3040</v>
      </c>
      <c r="F1" s="3198" t="s">
        <v>3041</v>
      </c>
      <c r="G1" s="3198" t="s">
        <v>3042</v>
      </c>
      <c r="H1" s="3198" t="s">
        <v>3043</v>
      </c>
      <c r="I1" s="3198" t="s">
        <v>3044</v>
      </c>
      <c r="J1" s="3198" t="s">
        <v>2032</v>
      </c>
      <c r="K1" s="3198" t="s">
        <v>3045</v>
      </c>
      <c r="L1" s="3198" t="s">
        <v>3046</v>
      </c>
      <c r="M1" s="3198" t="s">
        <v>3047</v>
      </c>
      <c r="N1" s="3198" t="s">
        <v>3048</v>
      </c>
      <c r="O1" s="3198" t="s">
        <v>3049</v>
      </c>
      <c r="P1" s="3198" t="s">
        <v>3050</v>
      </c>
      <c r="Q1" s="3198" t="s">
        <v>3051</v>
      </c>
      <c r="R1" s="3198" t="s">
        <v>3052</v>
      </c>
    </row>
    <row r="2" spans="1:20" s="3199" customFormat="1" ht="14.25">
      <c r="A2" s="3207" t="s">
        <v>3897</v>
      </c>
      <c r="B2" s="3207" t="s">
        <v>3054</v>
      </c>
      <c r="C2" s="3207" t="s">
        <v>3898</v>
      </c>
      <c r="D2" s="3207" t="s">
        <v>2814</v>
      </c>
      <c r="E2" s="3207" t="s">
        <v>3899</v>
      </c>
      <c r="F2" s="3207" t="s">
        <v>3900</v>
      </c>
      <c r="G2" s="3207" t="s">
        <v>3901</v>
      </c>
      <c r="H2" s="3207">
        <v>1887.6</v>
      </c>
      <c r="I2" s="3207">
        <v>4530.24</v>
      </c>
      <c r="J2" s="3207" t="s">
        <v>3095</v>
      </c>
      <c r="K2" s="3207" t="s">
        <v>3090</v>
      </c>
      <c r="L2" s="3207" t="s">
        <v>3091</v>
      </c>
      <c r="M2" s="3207" t="s">
        <v>3902</v>
      </c>
      <c r="N2" s="3207">
        <v>1880</v>
      </c>
      <c r="O2" s="3207">
        <v>663.98</v>
      </c>
      <c r="P2" s="3207">
        <v>4149.8900000000003</v>
      </c>
      <c r="Q2" s="3207">
        <v>0</v>
      </c>
      <c r="R2" s="3207">
        <v>40</v>
      </c>
      <c r="S2" s="3200" t="s">
        <v>4155</v>
      </c>
      <c r="T2" s="3212" t="s">
        <v>4154</v>
      </c>
    </row>
    <row r="3" spans="1:20" s="3211" customFormat="1">
      <c r="A3" s="3211" t="s">
        <v>3903</v>
      </c>
      <c r="B3" s="3211" t="s">
        <v>3054</v>
      </c>
      <c r="C3" s="3211" t="s">
        <v>3898</v>
      </c>
      <c r="D3" s="3211" t="s">
        <v>2814</v>
      </c>
      <c r="E3" s="3211" t="s">
        <v>3903</v>
      </c>
      <c r="F3" s="3211" t="s">
        <v>3904</v>
      </c>
      <c r="G3" s="3211" t="s">
        <v>3898</v>
      </c>
      <c r="H3" s="3211">
        <v>16530</v>
      </c>
      <c r="I3" s="3211">
        <v>45457.5</v>
      </c>
      <c r="J3" s="3211" t="s">
        <v>3905</v>
      </c>
      <c r="K3" s="3211" t="s">
        <v>3404</v>
      </c>
      <c r="L3" s="3211" t="s">
        <v>3405</v>
      </c>
      <c r="M3" s="3211" t="s">
        <v>3641</v>
      </c>
      <c r="N3" s="3211">
        <v>6090</v>
      </c>
      <c r="O3" s="3211">
        <v>245.61</v>
      </c>
      <c r="P3" s="3211">
        <v>1339.71</v>
      </c>
      <c r="Q3" s="3211">
        <v>84.55</v>
      </c>
      <c r="R3" s="3211">
        <v>70</v>
      </c>
    </row>
    <row r="4" spans="1:20" s="3203" customFormat="1">
      <c r="A4" s="3203" t="s">
        <v>4157</v>
      </c>
      <c r="B4" s="3203" t="s">
        <v>3054</v>
      </c>
      <c r="C4" s="3203" t="s">
        <v>3898</v>
      </c>
      <c r="D4" s="3203" t="s">
        <v>2814</v>
      </c>
      <c r="E4" s="3203" t="s">
        <v>3906</v>
      </c>
      <c r="F4" s="3203" t="s">
        <v>3907</v>
      </c>
      <c r="G4" s="3203" t="s">
        <v>3898</v>
      </c>
      <c r="H4" s="3203">
        <v>19615</v>
      </c>
      <c r="I4" s="3203">
        <v>68652.5</v>
      </c>
      <c r="J4" s="3203" t="s">
        <v>3580</v>
      </c>
      <c r="K4" s="3203" t="s">
        <v>3404</v>
      </c>
      <c r="L4" s="3203" t="s">
        <v>3405</v>
      </c>
      <c r="M4" s="3203" t="s">
        <v>3908</v>
      </c>
      <c r="N4" s="3203">
        <v>7050</v>
      </c>
      <c r="O4" s="3203">
        <v>239.61</v>
      </c>
      <c r="P4" s="3203">
        <v>1026.9100000000001</v>
      </c>
      <c r="Q4" s="3203">
        <v>3.68</v>
      </c>
      <c r="R4" s="3203">
        <v>40</v>
      </c>
    </row>
    <row r="5" spans="1:20" hidden="1">
      <c r="A5" s="3207" t="s">
        <v>3909</v>
      </c>
      <c r="B5" s="3207" t="s">
        <v>3054</v>
      </c>
      <c r="C5" s="3207" t="s">
        <v>3898</v>
      </c>
      <c r="D5" s="3207" t="s">
        <v>2814</v>
      </c>
      <c r="E5" s="3207" t="s">
        <v>3909</v>
      </c>
      <c r="F5" s="3207" t="s">
        <v>3910</v>
      </c>
      <c r="G5" s="3207" t="s">
        <v>3898</v>
      </c>
      <c r="H5" s="3207">
        <v>13203</v>
      </c>
      <c r="I5" s="3207">
        <v>8581.9500000000007</v>
      </c>
      <c r="J5" s="3207" t="s">
        <v>3911</v>
      </c>
      <c r="K5" s="3207" t="s">
        <v>3404</v>
      </c>
      <c r="L5" s="3207" t="s">
        <v>3405</v>
      </c>
      <c r="M5" s="3207" t="s">
        <v>3304</v>
      </c>
      <c r="N5" s="3207">
        <v>2900</v>
      </c>
      <c r="O5" s="3207">
        <v>146.43</v>
      </c>
      <c r="P5" s="3207">
        <v>3379.19</v>
      </c>
      <c r="Q5" s="3207">
        <v>0</v>
      </c>
      <c r="R5" s="3207">
        <v>40</v>
      </c>
    </row>
    <row r="6" spans="1:20" s="3199" customFormat="1">
      <c r="A6" s="3207" t="s">
        <v>3912</v>
      </c>
      <c r="B6" s="3207" t="s">
        <v>3054</v>
      </c>
      <c r="C6" s="3207" t="s">
        <v>3898</v>
      </c>
      <c r="D6" s="3207" t="s">
        <v>2814</v>
      </c>
      <c r="E6" s="3207" t="s">
        <v>3912</v>
      </c>
      <c r="F6" s="3207" t="s">
        <v>3913</v>
      </c>
      <c r="G6" s="3207" t="s">
        <v>3898</v>
      </c>
      <c r="H6" s="3207">
        <v>5507</v>
      </c>
      <c r="I6" s="3207">
        <v>11124.14</v>
      </c>
      <c r="J6" s="3207" t="s">
        <v>3914</v>
      </c>
      <c r="K6" s="3207" t="s">
        <v>3404</v>
      </c>
      <c r="L6" s="3207" t="s">
        <v>3405</v>
      </c>
      <c r="M6" s="3207" t="s">
        <v>3915</v>
      </c>
      <c r="N6" s="3207">
        <v>4550</v>
      </c>
      <c r="O6" s="3207">
        <v>550.80999999999995</v>
      </c>
      <c r="P6" s="3207">
        <v>4090.19</v>
      </c>
      <c r="Q6" s="3207">
        <v>1.1100000000000001</v>
      </c>
      <c r="R6" s="3207">
        <v>40</v>
      </c>
    </row>
    <row r="7" spans="1:20" s="3199" customFormat="1">
      <c r="A7" s="3207" t="s">
        <v>3916</v>
      </c>
      <c r="B7" s="3207" t="s">
        <v>3054</v>
      </c>
      <c r="C7" s="3207" t="s">
        <v>3898</v>
      </c>
      <c r="D7" s="3207" t="s">
        <v>2814</v>
      </c>
      <c r="E7" s="3207" t="s">
        <v>3916</v>
      </c>
      <c r="F7" s="3207" t="s">
        <v>3917</v>
      </c>
      <c r="G7" s="3207" t="s">
        <v>3898</v>
      </c>
      <c r="H7" s="3207">
        <v>12497</v>
      </c>
      <c r="I7" s="3207">
        <v>31242.5</v>
      </c>
      <c r="J7" s="3207" t="s">
        <v>3110</v>
      </c>
      <c r="K7" s="3207" t="s">
        <v>3404</v>
      </c>
      <c r="L7" s="3207" t="s">
        <v>3405</v>
      </c>
      <c r="M7" s="3207" t="s">
        <v>3918</v>
      </c>
      <c r="N7" s="3207">
        <v>10000</v>
      </c>
      <c r="O7" s="3207">
        <v>533.46</v>
      </c>
      <c r="P7" s="3207">
        <v>3200.76</v>
      </c>
      <c r="Q7" s="3207">
        <v>58.73</v>
      </c>
      <c r="R7" s="3207">
        <v>70</v>
      </c>
    </row>
    <row r="8" spans="1:20" hidden="1">
      <c r="A8" s="3207" t="s">
        <v>3919</v>
      </c>
      <c r="B8" s="3207" t="s">
        <v>3054</v>
      </c>
      <c r="C8" s="3207" t="s">
        <v>3898</v>
      </c>
      <c r="D8" s="3207" t="s">
        <v>2814</v>
      </c>
      <c r="E8" s="3207" t="s">
        <v>3919</v>
      </c>
      <c r="F8" s="3207" t="s">
        <v>3920</v>
      </c>
      <c r="G8" s="3207" t="s">
        <v>3921</v>
      </c>
      <c r="H8" s="3207">
        <v>49739</v>
      </c>
      <c r="I8" s="3207">
        <v>29843.4</v>
      </c>
      <c r="J8" s="3207" t="s">
        <v>3922</v>
      </c>
      <c r="K8" s="3207" t="s">
        <v>3431</v>
      </c>
      <c r="L8" s="3207" t="s">
        <v>3432</v>
      </c>
      <c r="M8" s="3207" t="s">
        <v>3923</v>
      </c>
      <c r="N8" s="3207">
        <v>9750</v>
      </c>
      <c r="O8" s="3207">
        <v>130.68</v>
      </c>
      <c r="P8" s="3207">
        <v>3267.05</v>
      </c>
      <c r="Q8" s="3207">
        <v>0</v>
      </c>
      <c r="R8" s="3207">
        <v>40</v>
      </c>
    </row>
    <row r="9" spans="1:20" hidden="1">
      <c r="A9" s="3207" t="s">
        <v>3924</v>
      </c>
      <c r="B9" s="3207" t="s">
        <v>3054</v>
      </c>
      <c r="C9" s="3207" t="s">
        <v>3898</v>
      </c>
      <c r="D9" s="3207" t="s">
        <v>2814</v>
      </c>
      <c r="E9" s="3207" t="s">
        <v>3924</v>
      </c>
      <c r="F9" s="3207" t="s">
        <v>3925</v>
      </c>
      <c r="G9" s="3207" t="s">
        <v>3921</v>
      </c>
      <c r="H9" s="3207">
        <v>17980</v>
      </c>
      <c r="I9" s="3207">
        <v>14384</v>
      </c>
      <c r="J9" s="3207" t="s">
        <v>3926</v>
      </c>
      <c r="K9" s="3207" t="s">
        <v>3431</v>
      </c>
      <c r="L9" s="3207" t="s">
        <v>3432</v>
      </c>
      <c r="M9" s="3207" t="s">
        <v>3923</v>
      </c>
      <c r="N9" s="3207">
        <v>4060.8</v>
      </c>
      <c r="O9" s="3207">
        <v>150.57</v>
      </c>
      <c r="P9" s="3207">
        <v>2823.13</v>
      </c>
      <c r="Q9" s="3207">
        <v>0</v>
      </c>
      <c r="R9" s="3207">
        <v>40</v>
      </c>
    </row>
    <row r="10" spans="1:20" hidden="1">
      <c r="A10" s="3207" t="s">
        <v>3927</v>
      </c>
      <c r="B10" s="3207" t="s">
        <v>3054</v>
      </c>
      <c r="C10" s="3207" t="s">
        <v>3898</v>
      </c>
      <c r="D10" s="3207" t="s">
        <v>2814</v>
      </c>
      <c r="E10" s="3207" t="s">
        <v>3927</v>
      </c>
      <c r="F10" s="3207" t="s">
        <v>3928</v>
      </c>
      <c r="G10" s="3207" t="s">
        <v>3898</v>
      </c>
      <c r="H10" s="3207">
        <v>1702</v>
      </c>
      <c r="I10" s="3207">
        <v>680.8</v>
      </c>
      <c r="J10" s="3207" t="s">
        <v>3929</v>
      </c>
      <c r="K10" s="3207" t="s">
        <v>3564</v>
      </c>
      <c r="L10" s="3207" t="s">
        <v>3565</v>
      </c>
      <c r="M10" s="3207" t="s">
        <v>3930</v>
      </c>
      <c r="N10" s="3207">
        <v>780</v>
      </c>
      <c r="O10" s="3207">
        <v>305.52</v>
      </c>
      <c r="P10" s="3207">
        <v>11457.11</v>
      </c>
      <c r="Q10" s="3207">
        <v>0</v>
      </c>
      <c r="R10" s="3207">
        <v>40</v>
      </c>
    </row>
    <row r="11" spans="1:20" hidden="1">
      <c r="A11" s="3207" t="s">
        <v>3574</v>
      </c>
      <c r="B11" s="3207" t="s">
        <v>3054</v>
      </c>
      <c r="C11" s="3207" t="s">
        <v>3898</v>
      </c>
      <c r="D11" s="3207" t="s">
        <v>2814</v>
      </c>
      <c r="E11" s="3207" t="s">
        <v>3574</v>
      </c>
      <c r="F11" s="3207" t="s">
        <v>3931</v>
      </c>
      <c r="G11" s="3207" t="s">
        <v>3898</v>
      </c>
      <c r="H11" s="3207">
        <v>8018</v>
      </c>
      <c r="I11" s="3207">
        <v>9621.6</v>
      </c>
      <c r="J11" s="3207" t="s">
        <v>3301</v>
      </c>
      <c r="K11" s="3207" t="s">
        <v>3564</v>
      </c>
      <c r="L11" s="3207" t="s">
        <v>3565</v>
      </c>
      <c r="M11" s="3207" t="s">
        <v>3932</v>
      </c>
      <c r="N11" s="3207">
        <v>6770</v>
      </c>
      <c r="O11" s="3207">
        <v>562.9</v>
      </c>
      <c r="P11" s="3207">
        <v>7036.25</v>
      </c>
      <c r="Q11" s="3207">
        <v>66.34</v>
      </c>
      <c r="R11" s="3207">
        <v>40</v>
      </c>
    </row>
    <row r="12" spans="1:20" hidden="1">
      <c r="A12" s="3207" t="s">
        <v>3933</v>
      </c>
      <c r="B12" s="3207" t="s">
        <v>3054</v>
      </c>
      <c r="C12" s="3207" t="s">
        <v>3898</v>
      </c>
      <c r="D12" s="3207" t="s">
        <v>2814</v>
      </c>
      <c r="E12" s="3207" t="s">
        <v>3933</v>
      </c>
      <c r="F12" s="3207" t="s">
        <v>3934</v>
      </c>
      <c r="G12" s="3207" t="s">
        <v>3898</v>
      </c>
      <c r="H12" s="3207">
        <v>8657</v>
      </c>
      <c r="I12" s="3207">
        <v>6925.6</v>
      </c>
      <c r="J12" s="3207" t="s">
        <v>3926</v>
      </c>
      <c r="K12" s="3207" t="s">
        <v>3564</v>
      </c>
      <c r="L12" s="3207" t="s">
        <v>3565</v>
      </c>
      <c r="M12" s="3207" t="s">
        <v>3935</v>
      </c>
      <c r="N12" s="3207">
        <v>1600</v>
      </c>
      <c r="O12" s="3207">
        <v>123.21</v>
      </c>
      <c r="P12" s="3207">
        <v>2310.2600000000002</v>
      </c>
      <c r="Q12" s="3207">
        <v>0</v>
      </c>
      <c r="R12" s="3207">
        <v>40</v>
      </c>
    </row>
    <row r="13" spans="1:20" hidden="1">
      <c r="A13" s="3207" t="s">
        <v>3936</v>
      </c>
      <c r="B13" s="3207" t="s">
        <v>3054</v>
      </c>
      <c r="C13" s="3207" t="s">
        <v>3898</v>
      </c>
      <c r="D13" s="3207" t="s">
        <v>2814</v>
      </c>
      <c r="E13" s="3207" t="s">
        <v>3936</v>
      </c>
      <c r="F13" s="3207" t="s">
        <v>3937</v>
      </c>
      <c r="G13" s="3207" t="s">
        <v>3898</v>
      </c>
      <c r="H13" s="3207">
        <v>1444</v>
      </c>
      <c r="I13" s="3207">
        <v>1660.6</v>
      </c>
      <c r="J13" s="3207" t="s">
        <v>3938</v>
      </c>
      <c r="K13" s="3207" t="s">
        <v>3564</v>
      </c>
      <c r="L13" s="3207" t="s">
        <v>3565</v>
      </c>
      <c r="M13" s="3207" t="s">
        <v>3939</v>
      </c>
      <c r="N13" s="3207">
        <v>330</v>
      </c>
      <c r="O13" s="3207">
        <v>152.35</v>
      </c>
      <c r="P13" s="3207">
        <v>1987.23</v>
      </c>
      <c r="Q13" s="3207">
        <v>0</v>
      </c>
      <c r="R13" s="3207">
        <v>40</v>
      </c>
    </row>
    <row r="14" spans="1:20" hidden="1">
      <c r="A14" s="3207" t="s">
        <v>3940</v>
      </c>
      <c r="B14" s="3207" t="s">
        <v>3054</v>
      </c>
      <c r="C14" s="3207" t="s">
        <v>3898</v>
      </c>
      <c r="D14" s="3207" t="s">
        <v>2814</v>
      </c>
      <c r="E14" s="3207" t="s">
        <v>3940</v>
      </c>
      <c r="F14" s="3207" t="s">
        <v>3941</v>
      </c>
      <c r="G14" s="3207" t="s">
        <v>3898</v>
      </c>
      <c r="H14" s="3207">
        <v>4978</v>
      </c>
      <c r="I14" s="3207">
        <v>995.6</v>
      </c>
      <c r="J14" s="3207" t="s">
        <v>3942</v>
      </c>
      <c r="K14" s="3207" t="s">
        <v>3564</v>
      </c>
      <c r="L14" s="3207" t="s">
        <v>3565</v>
      </c>
      <c r="M14" s="3207" t="s">
        <v>3943</v>
      </c>
      <c r="N14" s="3207">
        <v>1200</v>
      </c>
      <c r="O14" s="3207">
        <v>160.71</v>
      </c>
      <c r="P14" s="3207">
        <v>12053.03</v>
      </c>
      <c r="Q14" s="3207">
        <v>0</v>
      </c>
      <c r="R14" s="3207">
        <v>40</v>
      </c>
    </row>
    <row r="15" spans="1:20" hidden="1">
      <c r="A15" s="3207" t="s">
        <v>3944</v>
      </c>
      <c r="B15" s="3207" t="s">
        <v>3054</v>
      </c>
      <c r="C15" s="3207" t="s">
        <v>3898</v>
      </c>
      <c r="D15" s="3207" t="s">
        <v>2814</v>
      </c>
      <c r="E15" s="3207" t="s">
        <v>3944</v>
      </c>
      <c r="F15" s="3207" t="s">
        <v>3945</v>
      </c>
      <c r="G15" s="3207" t="s">
        <v>3898</v>
      </c>
      <c r="H15" s="3207">
        <v>7913</v>
      </c>
      <c r="I15" s="3207">
        <v>8308.65</v>
      </c>
      <c r="J15" s="3207" t="s">
        <v>3563</v>
      </c>
      <c r="K15" s="3207" t="s">
        <v>3564</v>
      </c>
      <c r="L15" s="3207" t="s">
        <v>3565</v>
      </c>
      <c r="M15" s="3207" t="s">
        <v>3946</v>
      </c>
      <c r="N15" s="3207">
        <v>1500</v>
      </c>
      <c r="O15" s="3207">
        <v>126.37</v>
      </c>
      <c r="P15" s="3207">
        <v>1805.34</v>
      </c>
      <c r="Q15" s="3207">
        <v>0</v>
      </c>
      <c r="R15" s="3207">
        <v>40</v>
      </c>
    </row>
    <row r="16" spans="1:20" hidden="1">
      <c r="A16" s="3207" t="s">
        <v>3947</v>
      </c>
      <c r="B16" s="3207" t="s">
        <v>3054</v>
      </c>
      <c r="C16" s="3207" t="s">
        <v>3898</v>
      </c>
      <c r="D16" s="3207" t="s">
        <v>2814</v>
      </c>
      <c r="E16" s="3207" t="s">
        <v>3947</v>
      </c>
      <c r="F16" s="3207" t="s">
        <v>3948</v>
      </c>
      <c r="G16" s="3207" t="s">
        <v>2989</v>
      </c>
      <c r="H16" s="3207">
        <v>57472</v>
      </c>
      <c r="I16" s="3207">
        <v>43104</v>
      </c>
      <c r="J16" s="3207" t="s">
        <v>3949</v>
      </c>
      <c r="K16" s="3207" t="s">
        <v>3858</v>
      </c>
      <c r="L16" s="3207" t="s">
        <v>3859</v>
      </c>
      <c r="M16" s="3207" t="s">
        <v>3950</v>
      </c>
      <c r="N16" s="3207">
        <v>24800</v>
      </c>
      <c r="O16" s="3207">
        <v>287.68</v>
      </c>
      <c r="P16" s="3207">
        <v>5753.52</v>
      </c>
      <c r="Q16" s="3207">
        <v>0</v>
      </c>
      <c r="R16" s="3207">
        <v>40</v>
      </c>
    </row>
    <row r="17" spans="1:18" hidden="1">
      <c r="A17" s="3207" t="s">
        <v>3951</v>
      </c>
      <c r="B17" s="3207" t="s">
        <v>3054</v>
      </c>
      <c r="C17" s="3207" t="s">
        <v>3898</v>
      </c>
      <c r="D17" s="3207" t="s">
        <v>2814</v>
      </c>
      <c r="E17" s="3207" t="s">
        <v>3952</v>
      </c>
      <c r="F17" s="3207" t="s">
        <v>3951</v>
      </c>
      <c r="G17" s="3207" t="s">
        <v>2989</v>
      </c>
      <c r="H17" s="3207">
        <v>1658</v>
      </c>
      <c r="I17" s="3207">
        <v>663.2</v>
      </c>
      <c r="J17" s="3207" t="s">
        <v>3929</v>
      </c>
      <c r="K17" s="3207" t="s">
        <v>3858</v>
      </c>
      <c r="L17" s="3207" t="s">
        <v>3859</v>
      </c>
      <c r="M17" s="3207" t="s">
        <v>3953</v>
      </c>
      <c r="N17" s="3207">
        <v>1080</v>
      </c>
      <c r="O17" s="3207">
        <v>434.26</v>
      </c>
      <c r="P17" s="3207">
        <v>16284.68</v>
      </c>
      <c r="Q17" s="3207">
        <v>0</v>
      </c>
      <c r="R17" s="3207">
        <v>40</v>
      </c>
    </row>
    <row r="18" spans="1:18" hidden="1">
      <c r="A18" s="3207" t="s">
        <v>3954</v>
      </c>
      <c r="B18" s="3207" t="s">
        <v>3054</v>
      </c>
      <c r="C18" s="3207" t="s">
        <v>3898</v>
      </c>
      <c r="D18" s="3207" t="s">
        <v>2814</v>
      </c>
      <c r="E18" s="3207" t="s">
        <v>3955</v>
      </c>
      <c r="F18" s="3207" t="s">
        <v>3956</v>
      </c>
      <c r="G18" s="3207" t="s">
        <v>3957</v>
      </c>
      <c r="H18" s="3207">
        <v>96628</v>
      </c>
      <c r="I18" s="3207">
        <v>36525.379999999997</v>
      </c>
      <c r="J18" s="3207" t="s">
        <v>3958</v>
      </c>
      <c r="K18" s="3207" t="s">
        <v>3959</v>
      </c>
      <c r="L18" s="3207" t="s">
        <v>3960</v>
      </c>
      <c r="M18" s="3207" t="s">
        <v>3950</v>
      </c>
      <c r="N18" s="3207">
        <v>17000</v>
      </c>
      <c r="O18" s="3207">
        <v>117.29</v>
      </c>
      <c r="P18" s="3207">
        <v>4654.3</v>
      </c>
      <c r="Q18" s="3207">
        <v>0</v>
      </c>
      <c r="R18" s="3207" t="s">
        <v>3177</v>
      </c>
    </row>
    <row r="19" spans="1:18" hidden="1">
      <c r="A19" s="3207" t="s">
        <v>3961</v>
      </c>
      <c r="B19" s="3207" t="s">
        <v>3054</v>
      </c>
      <c r="C19" s="3207" t="s">
        <v>3898</v>
      </c>
      <c r="D19" s="3207" t="s">
        <v>2814</v>
      </c>
      <c r="E19" s="3207" t="s">
        <v>3962</v>
      </c>
      <c r="F19" s="3207" t="s">
        <v>3963</v>
      </c>
      <c r="G19" s="3207" t="s">
        <v>3957</v>
      </c>
      <c r="H19" s="3207">
        <v>9121</v>
      </c>
      <c r="I19" s="3207">
        <v>1550.57</v>
      </c>
      <c r="J19" s="3207" t="s">
        <v>3964</v>
      </c>
      <c r="K19" s="3207" t="s">
        <v>3959</v>
      </c>
      <c r="L19" s="3207" t="s">
        <v>3965</v>
      </c>
      <c r="M19" s="3207" t="s">
        <v>3950</v>
      </c>
      <c r="N19" s="3207">
        <v>1000</v>
      </c>
      <c r="O19" s="3207">
        <v>73.09</v>
      </c>
      <c r="P19" s="3207">
        <v>6449.23</v>
      </c>
      <c r="Q19" s="3207">
        <v>0</v>
      </c>
      <c r="R19" s="3207" t="s">
        <v>3177</v>
      </c>
    </row>
    <row r="20" spans="1:18" hidden="1">
      <c r="A20" s="3207" t="s">
        <v>3966</v>
      </c>
      <c r="B20" s="3207" t="s">
        <v>3054</v>
      </c>
      <c r="C20" s="3207" t="s">
        <v>3898</v>
      </c>
      <c r="D20" s="3207" t="s">
        <v>2814</v>
      </c>
      <c r="E20" s="3207" t="s">
        <v>3967</v>
      </c>
      <c r="F20" s="3207" t="s">
        <v>3968</v>
      </c>
      <c r="G20" s="3207" t="s">
        <v>3957</v>
      </c>
      <c r="H20" s="3207">
        <v>65822</v>
      </c>
      <c r="I20" s="3207">
        <v>19746.599999999999</v>
      </c>
      <c r="J20" s="3207" t="s">
        <v>3969</v>
      </c>
      <c r="K20" s="3207" t="s">
        <v>3959</v>
      </c>
      <c r="L20" s="3207" t="s">
        <v>3970</v>
      </c>
      <c r="M20" s="3207" t="s">
        <v>3971</v>
      </c>
      <c r="N20" s="3207">
        <v>8200</v>
      </c>
      <c r="O20" s="3207">
        <v>83.05</v>
      </c>
      <c r="P20" s="3207">
        <v>4152.6000000000004</v>
      </c>
      <c r="Q20" s="3207">
        <v>2.5</v>
      </c>
      <c r="R20" s="3207" t="s">
        <v>3177</v>
      </c>
    </row>
    <row r="21" spans="1:18" hidden="1">
      <c r="A21" s="3207" t="s">
        <v>3972</v>
      </c>
      <c r="B21" s="3207" t="s">
        <v>3054</v>
      </c>
      <c r="C21" s="3207" t="s">
        <v>3898</v>
      </c>
      <c r="D21" s="3207" t="s">
        <v>2814</v>
      </c>
      <c r="E21" s="3207" t="s">
        <v>3973</v>
      </c>
      <c r="F21" s="3207" t="s">
        <v>3974</v>
      </c>
      <c r="G21" s="3207" t="s">
        <v>3957</v>
      </c>
      <c r="H21" s="3207">
        <v>20977</v>
      </c>
      <c r="I21" s="3207">
        <v>2517.2399999999998</v>
      </c>
      <c r="J21" s="3207" t="s">
        <v>3975</v>
      </c>
      <c r="K21" s="3207" t="s">
        <v>3959</v>
      </c>
      <c r="L21" s="3207" t="s">
        <v>3976</v>
      </c>
      <c r="M21" s="3207" t="s">
        <v>3950</v>
      </c>
      <c r="N21" s="3207">
        <v>2500</v>
      </c>
      <c r="O21" s="3207">
        <v>79.45</v>
      </c>
      <c r="P21" s="3207">
        <v>9931.51</v>
      </c>
      <c r="Q21" s="3207">
        <v>0</v>
      </c>
      <c r="R21" s="3207" t="s">
        <v>3177</v>
      </c>
    </row>
    <row r="22" spans="1:18" hidden="1">
      <c r="A22" s="3207" t="s">
        <v>3977</v>
      </c>
      <c r="B22" s="3207" t="s">
        <v>3054</v>
      </c>
      <c r="C22" s="3207" t="s">
        <v>3898</v>
      </c>
      <c r="D22" s="3207" t="s">
        <v>2814</v>
      </c>
      <c r="E22" s="3207" t="s">
        <v>3978</v>
      </c>
      <c r="F22" s="3207" t="s">
        <v>3979</v>
      </c>
      <c r="G22" s="3207" t="s">
        <v>3957</v>
      </c>
      <c r="H22" s="3207">
        <v>44755</v>
      </c>
      <c r="I22" s="3207">
        <v>8951</v>
      </c>
      <c r="J22" s="3207" t="s">
        <v>3942</v>
      </c>
      <c r="K22" s="3207" t="s">
        <v>3959</v>
      </c>
      <c r="L22" s="3207" t="s">
        <v>3980</v>
      </c>
      <c r="M22" s="3207" t="s">
        <v>3971</v>
      </c>
      <c r="N22" s="3207">
        <v>5100</v>
      </c>
      <c r="O22" s="3207">
        <v>75.97</v>
      </c>
      <c r="P22" s="3207">
        <v>5697.68</v>
      </c>
      <c r="Q22" s="3207">
        <v>2</v>
      </c>
      <c r="R22" s="3207" t="s">
        <v>3177</v>
      </c>
    </row>
    <row r="23" spans="1:18" hidden="1">
      <c r="A23" s="3207" t="s">
        <v>3298</v>
      </c>
      <c r="B23" s="3207" t="s">
        <v>3054</v>
      </c>
      <c r="C23" s="3207" t="s">
        <v>3898</v>
      </c>
      <c r="D23" s="3207" t="s">
        <v>2814</v>
      </c>
      <c r="E23" s="3207" t="s">
        <v>3298</v>
      </c>
      <c r="F23" s="3207" t="s">
        <v>3981</v>
      </c>
      <c r="G23" s="3207" t="s">
        <v>3982</v>
      </c>
      <c r="H23" s="3207">
        <v>2320</v>
      </c>
      <c r="I23" s="3207">
        <v>2784</v>
      </c>
      <c r="J23" s="3207" t="s">
        <v>3983</v>
      </c>
      <c r="K23" s="3207" t="s">
        <v>3984</v>
      </c>
      <c r="L23" s="3207" t="s">
        <v>3985</v>
      </c>
      <c r="M23" s="3207" t="s">
        <v>3986</v>
      </c>
      <c r="N23" s="3207">
        <v>174</v>
      </c>
      <c r="O23" s="3207">
        <v>50</v>
      </c>
      <c r="P23" s="3207">
        <v>625</v>
      </c>
      <c r="Q23" s="3207">
        <v>2.96</v>
      </c>
      <c r="R23" s="3207">
        <v>40</v>
      </c>
    </row>
    <row r="24" spans="1:18" hidden="1">
      <c r="A24" s="3207" t="s">
        <v>3987</v>
      </c>
      <c r="B24" s="3207" t="s">
        <v>3054</v>
      </c>
      <c r="C24" s="3207" t="s">
        <v>3898</v>
      </c>
      <c r="D24" s="3207" t="s">
        <v>2814</v>
      </c>
      <c r="E24" s="3207" t="s">
        <v>3988</v>
      </c>
      <c r="F24" s="3207" t="s">
        <v>3989</v>
      </c>
      <c r="G24" s="3207" t="s">
        <v>3990</v>
      </c>
      <c r="H24" s="3207">
        <v>27116</v>
      </c>
      <c r="I24" s="3207">
        <v>30369.919999999998</v>
      </c>
      <c r="J24" s="3207" t="s">
        <v>3991</v>
      </c>
      <c r="K24" s="3207" t="s">
        <v>3992</v>
      </c>
      <c r="L24" s="3207" t="s">
        <v>3993</v>
      </c>
      <c r="M24" s="3207" t="s">
        <v>3994</v>
      </c>
      <c r="N24" s="3207">
        <v>16500</v>
      </c>
      <c r="O24" s="3207">
        <v>405.66</v>
      </c>
      <c r="P24" s="3207">
        <v>5433.01</v>
      </c>
      <c r="Q24" s="3207">
        <v>0</v>
      </c>
      <c r="R24" s="3207">
        <v>40</v>
      </c>
    </row>
    <row r="25" spans="1:18" s="3199" customFormat="1">
      <c r="A25" s="3207" t="s">
        <v>3995</v>
      </c>
      <c r="B25" s="3207" t="s">
        <v>3054</v>
      </c>
      <c r="C25" s="3207" t="s">
        <v>3898</v>
      </c>
      <c r="D25" s="3207" t="s">
        <v>2814</v>
      </c>
      <c r="E25" s="3207" t="s">
        <v>3996</v>
      </c>
      <c r="F25" s="3207" t="s">
        <v>3997</v>
      </c>
      <c r="G25" s="3207" t="s">
        <v>3998</v>
      </c>
      <c r="H25" s="3207">
        <v>35585</v>
      </c>
      <c r="I25" s="3207">
        <v>138781.5</v>
      </c>
      <c r="J25" s="3207" t="s">
        <v>3999</v>
      </c>
      <c r="K25" s="3207" t="s">
        <v>3992</v>
      </c>
      <c r="L25" s="3207" t="s">
        <v>4000</v>
      </c>
      <c r="M25" s="3207" t="s">
        <v>4001</v>
      </c>
      <c r="N25" s="3207">
        <v>7800</v>
      </c>
      <c r="O25" s="3207">
        <v>146.13</v>
      </c>
      <c r="P25" s="3207">
        <v>562.02</v>
      </c>
      <c r="Q25" s="3207">
        <v>0</v>
      </c>
      <c r="R25" s="3207" t="s">
        <v>4002</v>
      </c>
    </row>
    <row r="26" spans="1:18" hidden="1">
      <c r="A26" s="3207" t="s">
        <v>4003</v>
      </c>
      <c r="B26" s="3207" t="s">
        <v>3054</v>
      </c>
      <c r="C26" s="3207" t="s">
        <v>3898</v>
      </c>
      <c r="D26" s="3207" t="s">
        <v>2814</v>
      </c>
      <c r="E26" s="3207" t="s">
        <v>4004</v>
      </c>
      <c r="F26" s="3207" t="s">
        <v>4005</v>
      </c>
      <c r="G26" s="3207" t="s">
        <v>1677</v>
      </c>
      <c r="H26" s="3207">
        <v>19879</v>
      </c>
      <c r="I26" s="3207">
        <v>20872.95</v>
      </c>
      <c r="J26" s="3207" t="s">
        <v>3563</v>
      </c>
      <c r="K26" s="3207" t="s">
        <v>3992</v>
      </c>
      <c r="L26" s="3207" t="s">
        <v>4006</v>
      </c>
      <c r="M26" s="3207" t="s">
        <v>3092</v>
      </c>
      <c r="N26" s="3207">
        <v>5500</v>
      </c>
      <c r="O26" s="3207">
        <v>184.45</v>
      </c>
      <c r="P26" s="3207">
        <v>2634.98</v>
      </c>
      <c r="Q26" s="3207">
        <v>0</v>
      </c>
      <c r="R26" s="3207">
        <v>40</v>
      </c>
    </row>
    <row r="27" spans="1:18" s="3199" customFormat="1">
      <c r="A27" s="3207" t="s">
        <v>3336</v>
      </c>
      <c r="B27" s="3207" t="s">
        <v>3054</v>
      </c>
      <c r="C27" s="3207" t="s">
        <v>3898</v>
      </c>
      <c r="D27" s="3207" t="s">
        <v>2814</v>
      </c>
      <c r="E27" s="3207" t="s">
        <v>3336</v>
      </c>
      <c r="F27" s="3207" t="s">
        <v>4007</v>
      </c>
      <c r="G27" s="3207" t="s">
        <v>3957</v>
      </c>
      <c r="H27" s="3207">
        <v>11110</v>
      </c>
      <c r="I27" s="3207">
        <v>27219.5</v>
      </c>
      <c r="J27" s="3207" t="s">
        <v>4008</v>
      </c>
      <c r="K27" s="3207" t="s">
        <v>4009</v>
      </c>
      <c r="L27" s="3207" t="s">
        <v>4010</v>
      </c>
      <c r="M27" s="3207" t="s">
        <v>4011</v>
      </c>
      <c r="N27" s="3207">
        <v>1087</v>
      </c>
      <c r="O27" s="3207">
        <v>65.23</v>
      </c>
      <c r="P27" s="3207">
        <v>399.35</v>
      </c>
      <c r="Q27" s="3207">
        <v>2.84</v>
      </c>
      <c r="R27" s="3207">
        <v>40</v>
      </c>
    </row>
    <row r="28" spans="1:18" hidden="1">
      <c r="A28" s="3207" t="s">
        <v>4016</v>
      </c>
      <c r="B28" s="3207" t="s">
        <v>3054</v>
      </c>
      <c r="C28" s="3207" t="s">
        <v>3898</v>
      </c>
      <c r="D28" s="3207" t="s">
        <v>2814</v>
      </c>
      <c r="E28" s="3207" t="s">
        <v>4017</v>
      </c>
      <c r="F28" s="3207" t="s">
        <v>4018</v>
      </c>
      <c r="G28" s="3207" t="s">
        <v>3990</v>
      </c>
      <c r="H28" s="3207">
        <v>8117</v>
      </c>
      <c r="I28" s="3207">
        <v>14204.75</v>
      </c>
      <c r="J28" s="3207">
        <v>1.75</v>
      </c>
      <c r="K28" s="3207" t="s">
        <v>4019</v>
      </c>
      <c r="L28" s="3207" t="s">
        <v>4020</v>
      </c>
      <c r="M28" s="3207" t="s">
        <v>3106</v>
      </c>
      <c r="N28" s="3207">
        <v>2160</v>
      </c>
      <c r="O28" s="3207">
        <v>177.41</v>
      </c>
      <c r="P28" s="3207">
        <v>1520.61</v>
      </c>
      <c r="Q28" s="3207">
        <v>0</v>
      </c>
      <c r="R28" s="3207" t="s">
        <v>4021</v>
      </c>
    </row>
    <row r="29" spans="1:18" hidden="1">
      <c r="A29" s="3207" t="s">
        <v>4022</v>
      </c>
      <c r="B29" s="3207" t="s">
        <v>3054</v>
      </c>
      <c r="C29" s="3207" t="s">
        <v>3898</v>
      </c>
      <c r="D29" s="3207" t="s">
        <v>2814</v>
      </c>
      <c r="E29" s="3207" t="s">
        <v>4023</v>
      </c>
      <c r="F29" s="3207" t="s">
        <v>4024</v>
      </c>
      <c r="G29" s="3207" t="s">
        <v>4025</v>
      </c>
      <c r="H29" s="3207">
        <v>27407</v>
      </c>
      <c r="I29" s="3207">
        <v>28777.35</v>
      </c>
      <c r="J29" s="3207">
        <v>1.05</v>
      </c>
      <c r="K29" s="3207" t="s">
        <v>4019</v>
      </c>
      <c r="L29" s="3207" t="s">
        <v>4026</v>
      </c>
      <c r="M29" s="3207" t="s">
        <v>3566</v>
      </c>
      <c r="N29" s="3207">
        <v>24600</v>
      </c>
      <c r="O29" s="3207">
        <v>598.39</v>
      </c>
      <c r="P29" s="3207">
        <v>8548.3799999999992</v>
      </c>
      <c r="Q29" s="3207">
        <v>0</v>
      </c>
      <c r="R29" s="3207" t="s">
        <v>4021</v>
      </c>
    </row>
    <row r="30" spans="1:18">
      <c r="A30" s="3207" t="s">
        <v>4027</v>
      </c>
      <c r="B30" s="3207" t="s">
        <v>3054</v>
      </c>
      <c r="C30" s="3207" t="s">
        <v>3898</v>
      </c>
      <c r="D30" s="3207" t="s">
        <v>2814</v>
      </c>
      <c r="E30" s="3207" t="s">
        <v>4028</v>
      </c>
      <c r="F30" s="3207" t="s">
        <v>4029</v>
      </c>
      <c r="G30" s="3207" t="s">
        <v>4030</v>
      </c>
      <c r="H30" s="3207">
        <v>13541</v>
      </c>
      <c r="I30" s="3207">
        <v>29790.2</v>
      </c>
      <c r="J30" s="3207">
        <v>2.2000000000000002</v>
      </c>
      <c r="K30" s="3207" t="s">
        <v>4019</v>
      </c>
      <c r="L30" s="3207" t="s">
        <v>4031</v>
      </c>
      <c r="M30" s="3207" t="s">
        <v>4032</v>
      </c>
      <c r="N30" s="3207">
        <v>2300</v>
      </c>
      <c r="O30" s="3207">
        <v>113.24</v>
      </c>
      <c r="P30" s="3207">
        <v>772.07</v>
      </c>
      <c r="Q30" s="3207">
        <v>0</v>
      </c>
      <c r="R30" s="3207" t="s">
        <v>4033</v>
      </c>
    </row>
    <row r="31" spans="1:18" hidden="1">
      <c r="A31" s="3207" t="s">
        <v>4034</v>
      </c>
      <c r="B31" s="3207" t="s">
        <v>3054</v>
      </c>
      <c r="C31" s="3207" t="s">
        <v>3898</v>
      </c>
      <c r="D31" s="3207" t="s">
        <v>2814</v>
      </c>
      <c r="E31" s="3207" t="s">
        <v>4035</v>
      </c>
      <c r="F31" s="3207" t="s">
        <v>4036</v>
      </c>
      <c r="G31" s="3207" t="s">
        <v>2989</v>
      </c>
      <c r="H31" s="3207">
        <v>23158</v>
      </c>
      <c r="I31" s="3207" t="s">
        <v>2814</v>
      </c>
      <c r="J31" s="3207" t="s">
        <v>4037</v>
      </c>
      <c r="K31" s="3207" t="s">
        <v>4019</v>
      </c>
      <c r="L31" s="3207" t="s">
        <v>4038</v>
      </c>
      <c r="M31" s="3207" t="s">
        <v>3994</v>
      </c>
      <c r="N31" s="3207">
        <v>9360</v>
      </c>
      <c r="O31" s="3207">
        <v>269.45</v>
      </c>
      <c r="P31" s="3207" t="s">
        <v>2814</v>
      </c>
      <c r="Q31" s="3207">
        <v>0</v>
      </c>
      <c r="R31" s="3207" t="s">
        <v>4021</v>
      </c>
    </row>
    <row r="32" spans="1:18" hidden="1">
      <c r="A32" s="3207" t="s">
        <v>4039</v>
      </c>
      <c r="B32" s="3207" t="s">
        <v>3054</v>
      </c>
      <c r="C32" s="3207" t="s">
        <v>3898</v>
      </c>
      <c r="D32" s="3207" t="s">
        <v>2814</v>
      </c>
      <c r="E32" s="3207" t="s">
        <v>4039</v>
      </c>
      <c r="F32" s="3207" t="s">
        <v>4040</v>
      </c>
      <c r="G32" s="3207" t="s">
        <v>4041</v>
      </c>
      <c r="H32" s="3207">
        <v>2273</v>
      </c>
      <c r="I32" s="3207">
        <v>2727.6</v>
      </c>
      <c r="J32" s="3207" t="s">
        <v>3301</v>
      </c>
      <c r="K32" s="3207" t="s">
        <v>4042</v>
      </c>
      <c r="L32" s="3207" t="s">
        <v>4043</v>
      </c>
      <c r="M32" s="3207" t="s">
        <v>4044</v>
      </c>
      <c r="N32" s="3207">
        <v>390</v>
      </c>
      <c r="O32" s="3207">
        <v>114.39</v>
      </c>
      <c r="P32" s="3207">
        <v>1429.82</v>
      </c>
      <c r="Q32" s="3207">
        <v>0</v>
      </c>
      <c r="R32" s="3207" t="s">
        <v>3177</v>
      </c>
    </row>
    <row r="33" spans="1:20" hidden="1">
      <c r="A33" s="3207" t="s">
        <v>4045</v>
      </c>
      <c r="B33" s="3207" t="s">
        <v>3054</v>
      </c>
      <c r="C33" s="3207" t="s">
        <v>3898</v>
      </c>
      <c r="D33" s="3207" t="s">
        <v>2814</v>
      </c>
      <c r="E33" s="3207" t="s">
        <v>4045</v>
      </c>
      <c r="F33" s="3207" t="s">
        <v>4046</v>
      </c>
      <c r="G33" s="3207" t="s">
        <v>4047</v>
      </c>
      <c r="H33" s="3207">
        <v>3234</v>
      </c>
      <c r="I33" s="3207">
        <v>5174.3999999999996</v>
      </c>
      <c r="J33" s="3207" t="s">
        <v>4048</v>
      </c>
      <c r="K33" s="3207" t="s">
        <v>4049</v>
      </c>
      <c r="L33" s="3207" t="s">
        <v>4050</v>
      </c>
      <c r="M33" s="3207" t="s">
        <v>4044</v>
      </c>
      <c r="N33" s="3207">
        <v>730</v>
      </c>
      <c r="O33" s="3207">
        <v>150.47999999999999</v>
      </c>
      <c r="P33" s="3207">
        <v>1410.78</v>
      </c>
      <c r="Q33" s="3207">
        <v>0</v>
      </c>
      <c r="R33" s="3207" t="s">
        <v>3177</v>
      </c>
    </row>
    <row r="34" spans="1:20" hidden="1">
      <c r="A34" s="3207" t="s">
        <v>4051</v>
      </c>
      <c r="B34" s="3207" t="s">
        <v>3054</v>
      </c>
      <c r="C34" s="3207" t="s">
        <v>3898</v>
      </c>
      <c r="D34" s="3207" t="s">
        <v>2814</v>
      </c>
      <c r="E34" s="3207" t="s">
        <v>4051</v>
      </c>
      <c r="F34" s="3207" t="s">
        <v>4052</v>
      </c>
      <c r="G34" s="3207" t="s">
        <v>4053</v>
      </c>
      <c r="H34" s="3207">
        <v>4417</v>
      </c>
      <c r="I34" s="3207">
        <v>5300.4</v>
      </c>
      <c r="J34" s="3207" t="s">
        <v>4054</v>
      </c>
      <c r="K34" s="3207" t="s">
        <v>4055</v>
      </c>
      <c r="L34" s="3207" t="s">
        <v>4056</v>
      </c>
      <c r="M34" s="3207" t="s">
        <v>4057</v>
      </c>
      <c r="N34" s="3207">
        <v>850</v>
      </c>
      <c r="O34" s="3207">
        <v>128.29</v>
      </c>
      <c r="P34" s="3207">
        <v>1603.65</v>
      </c>
      <c r="Q34" s="3207">
        <v>0</v>
      </c>
      <c r="R34" s="3207" t="s">
        <v>3177</v>
      </c>
    </row>
    <row r="35" spans="1:20" hidden="1">
      <c r="A35" s="3207" t="s">
        <v>4058</v>
      </c>
      <c r="B35" s="3207" t="s">
        <v>3054</v>
      </c>
      <c r="C35" s="3207" t="s">
        <v>3898</v>
      </c>
      <c r="D35" s="3207" t="s">
        <v>2814</v>
      </c>
      <c r="E35" s="3207" t="s">
        <v>4058</v>
      </c>
      <c r="F35" s="3207" t="s">
        <v>4059</v>
      </c>
      <c r="G35" s="3207" t="s">
        <v>3957</v>
      </c>
      <c r="H35" s="3207">
        <v>2955</v>
      </c>
      <c r="I35" s="3207">
        <v>886.5</v>
      </c>
      <c r="J35" s="3207" t="s">
        <v>4060</v>
      </c>
      <c r="K35" s="3207" t="s">
        <v>4055</v>
      </c>
      <c r="L35" s="3207" t="s">
        <v>4061</v>
      </c>
      <c r="M35" s="3207" t="s">
        <v>4062</v>
      </c>
      <c r="N35" s="3207">
        <v>2200</v>
      </c>
      <c r="O35" s="3207">
        <v>496.33</v>
      </c>
      <c r="P35" s="3207">
        <v>24816.68</v>
      </c>
      <c r="Q35" s="3207">
        <v>0</v>
      </c>
      <c r="R35" s="3207" t="s">
        <v>3177</v>
      </c>
    </row>
    <row r="36" spans="1:20" hidden="1">
      <c r="A36" s="3207" t="s">
        <v>4063</v>
      </c>
      <c r="B36" s="3207" t="s">
        <v>3054</v>
      </c>
      <c r="C36" s="3207" t="s">
        <v>3898</v>
      </c>
      <c r="D36" s="3207" t="s">
        <v>2814</v>
      </c>
      <c r="E36" s="3207" t="s">
        <v>4063</v>
      </c>
      <c r="F36" s="3207" t="s">
        <v>4064</v>
      </c>
      <c r="G36" s="3207" t="s">
        <v>4053</v>
      </c>
      <c r="H36" s="3207">
        <v>4290</v>
      </c>
      <c r="I36" s="3207">
        <v>5148</v>
      </c>
      <c r="J36" s="3207" t="s">
        <v>4054</v>
      </c>
      <c r="K36" s="3207" t="s">
        <v>4055</v>
      </c>
      <c r="L36" s="3207" t="s">
        <v>4065</v>
      </c>
      <c r="M36" s="3207" t="s">
        <v>4057</v>
      </c>
      <c r="N36" s="3207">
        <v>830</v>
      </c>
      <c r="O36" s="3207">
        <v>128.97999999999999</v>
      </c>
      <c r="P36" s="3207">
        <v>1612.27</v>
      </c>
      <c r="Q36" s="3207">
        <v>0</v>
      </c>
      <c r="R36" s="3207" t="s">
        <v>3177</v>
      </c>
    </row>
    <row r="37" spans="1:20" hidden="1">
      <c r="A37" s="3207" t="s">
        <v>4066</v>
      </c>
      <c r="B37" s="3207" t="s">
        <v>3054</v>
      </c>
      <c r="C37" s="3207" t="s">
        <v>3898</v>
      </c>
      <c r="D37" s="3207" t="s">
        <v>2814</v>
      </c>
      <c r="E37" s="3207" t="s">
        <v>4066</v>
      </c>
      <c r="F37" s="3207" t="s">
        <v>4067</v>
      </c>
      <c r="G37" s="3207" t="s">
        <v>4053</v>
      </c>
      <c r="H37" s="3207">
        <v>5598</v>
      </c>
      <c r="I37" s="3207">
        <v>8956.7999999999993</v>
      </c>
      <c r="J37" s="3207" t="s">
        <v>4068</v>
      </c>
      <c r="K37" s="3207" t="s">
        <v>4055</v>
      </c>
      <c r="L37" s="3207" t="s">
        <v>4069</v>
      </c>
      <c r="M37" s="3207" t="s">
        <v>4070</v>
      </c>
      <c r="N37" s="3207">
        <v>2400</v>
      </c>
      <c r="O37" s="3207">
        <v>285.82</v>
      </c>
      <c r="P37" s="3207">
        <v>2679.53</v>
      </c>
      <c r="Q37" s="3207">
        <v>0</v>
      </c>
      <c r="R37" s="3207" t="s">
        <v>3177</v>
      </c>
    </row>
    <row r="38" spans="1:20" hidden="1">
      <c r="A38" s="3207" t="s">
        <v>4071</v>
      </c>
      <c r="B38" s="3207" t="s">
        <v>3054</v>
      </c>
      <c r="C38" s="3207" t="s">
        <v>3898</v>
      </c>
      <c r="D38" s="3207" t="s">
        <v>2814</v>
      </c>
      <c r="E38" s="3207" t="s">
        <v>4071</v>
      </c>
      <c r="F38" s="3207" t="s">
        <v>4072</v>
      </c>
      <c r="G38" s="3207" t="s">
        <v>4053</v>
      </c>
      <c r="H38" s="3207">
        <v>68764</v>
      </c>
      <c r="I38" s="3207">
        <v>72202.2</v>
      </c>
      <c r="J38" s="3207" t="s">
        <v>4073</v>
      </c>
      <c r="K38" s="3207" t="s">
        <v>4055</v>
      </c>
      <c r="L38" s="3207" t="s">
        <v>4074</v>
      </c>
      <c r="M38" s="3207" t="s">
        <v>3923</v>
      </c>
      <c r="N38" s="3207">
        <v>11000</v>
      </c>
      <c r="O38" s="3207">
        <v>106.64</v>
      </c>
      <c r="P38" s="3207">
        <v>1523.5</v>
      </c>
      <c r="Q38" s="3207">
        <v>0</v>
      </c>
      <c r="R38" s="3207" t="s">
        <v>3177</v>
      </c>
    </row>
    <row r="39" spans="1:20" hidden="1">
      <c r="A39" s="3207" t="s">
        <v>4075</v>
      </c>
      <c r="B39" s="3207" t="s">
        <v>3054</v>
      </c>
      <c r="C39" s="3207" t="s">
        <v>3898</v>
      </c>
      <c r="D39" s="3207" t="s">
        <v>2814</v>
      </c>
      <c r="E39" s="3207" t="s">
        <v>4075</v>
      </c>
      <c r="F39" s="3207" t="s">
        <v>4076</v>
      </c>
      <c r="G39" s="3207" t="s">
        <v>4053</v>
      </c>
      <c r="H39" s="3207">
        <v>14595</v>
      </c>
      <c r="I39" s="3207">
        <v>15324.75</v>
      </c>
      <c r="J39" s="3207" t="s">
        <v>4073</v>
      </c>
      <c r="K39" s="3207" t="s">
        <v>4055</v>
      </c>
      <c r="L39" s="3207" t="s">
        <v>4077</v>
      </c>
      <c r="M39" s="3207" t="s">
        <v>4078</v>
      </c>
      <c r="N39" s="3207">
        <v>3180</v>
      </c>
      <c r="O39" s="3207">
        <v>145.26</v>
      </c>
      <c r="P39" s="3207">
        <v>2075.0700000000002</v>
      </c>
      <c r="Q39" s="3207">
        <v>0</v>
      </c>
      <c r="R39" s="3207" t="s">
        <v>3177</v>
      </c>
    </row>
    <row r="40" spans="1:20" s="3203" customFormat="1" ht="14.25">
      <c r="A40" s="3203" t="s">
        <v>4079</v>
      </c>
      <c r="B40" s="3203" t="s">
        <v>3054</v>
      </c>
      <c r="C40" s="3203" t="s">
        <v>3898</v>
      </c>
      <c r="D40" s="3203" t="s">
        <v>2814</v>
      </c>
      <c r="E40" s="3203" t="s">
        <v>4079</v>
      </c>
      <c r="F40" s="3203" t="s">
        <v>4080</v>
      </c>
      <c r="G40" s="3203" t="s">
        <v>4053</v>
      </c>
      <c r="H40" s="3203">
        <v>10121</v>
      </c>
      <c r="I40" s="3203">
        <v>28844.85</v>
      </c>
      <c r="J40" s="3203" t="s">
        <v>4081</v>
      </c>
      <c r="K40" s="3203" t="s">
        <v>4055</v>
      </c>
      <c r="L40" s="3203" t="s">
        <v>4082</v>
      </c>
      <c r="M40" s="3203" t="s">
        <v>4083</v>
      </c>
      <c r="N40" s="3203">
        <v>5300</v>
      </c>
      <c r="O40" s="3203">
        <v>349.11</v>
      </c>
      <c r="P40" s="3203">
        <v>1837.42</v>
      </c>
      <c r="Q40" s="3203">
        <v>0</v>
      </c>
      <c r="R40" s="3203" t="s">
        <v>3177</v>
      </c>
      <c r="T40" s="3213" t="s">
        <v>4156</v>
      </c>
    </row>
    <row r="41" spans="1:20" hidden="1">
      <c r="A41" s="3207" t="s">
        <v>4084</v>
      </c>
      <c r="B41" s="3207" t="s">
        <v>3054</v>
      </c>
      <c r="C41" s="3207" t="s">
        <v>3898</v>
      </c>
      <c r="D41" s="3207" t="s">
        <v>2814</v>
      </c>
      <c r="E41" s="3207" t="s">
        <v>4085</v>
      </c>
      <c r="F41" s="3207" t="s">
        <v>4086</v>
      </c>
      <c r="G41" s="3207" t="s">
        <v>3957</v>
      </c>
      <c r="H41" s="3207">
        <v>8522</v>
      </c>
      <c r="I41" s="3207">
        <v>13635.2</v>
      </c>
      <c r="J41" s="3207" t="s">
        <v>4087</v>
      </c>
      <c r="K41" s="3207" t="s">
        <v>4088</v>
      </c>
      <c r="L41" s="3207" t="s">
        <v>4089</v>
      </c>
      <c r="M41" s="3207" t="s">
        <v>4090</v>
      </c>
      <c r="N41" s="3207">
        <v>594</v>
      </c>
      <c r="O41" s="3207">
        <v>46.47</v>
      </c>
      <c r="P41" s="3207">
        <v>435.63</v>
      </c>
      <c r="Q41" s="3207">
        <v>2.59</v>
      </c>
      <c r="R41" s="3207" t="s">
        <v>3177</v>
      </c>
    </row>
    <row r="42" spans="1:20" hidden="1">
      <c r="A42" s="3207" t="s">
        <v>4091</v>
      </c>
      <c r="B42" s="3207" t="s">
        <v>3054</v>
      </c>
      <c r="C42" s="3207" t="s">
        <v>3898</v>
      </c>
      <c r="D42" s="3207" t="s">
        <v>2814</v>
      </c>
      <c r="E42" s="3207" t="s">
        <v>4092</v>
      </c>
      <c r="F42" s="3207" t="s">
        <v>4093</v>
      </c>
      <c r="G42" s="3207" t="s">
        <v>3957</v>
      </c>
      <c r="H42" s="3207">
        <v>2404</v>
      </c>
      <c r="I42" s="3207">
        <v>2884.8</v>
      </c>
      <c r="J42" s="3207" t="s">
        <v>4054</v>
      </c>
      <c r="K42" s="3207" t="s">
        <v>4088</v>
      </c>
      <c r="L42" s="3207" t="s">
        <v>4094</v>
      </c>
      <c r="M42" s="3207" t="s">
        <v>4095</v>
      </c>
      <c r="N42" s="3207">
        <v>163</v>
      </c>
      <c r="O42" s="3207">
        <v>45.2</v>
      </c>
      <c r="P42" s="3207">
        <v>565.02</v>
      </c>
      <c r="Q42" s="3207">
        <v>3.16</v>
      </c>
      <c r="R42" s="3207" t="s">
        <v>3177</v>
      </c>
    </row>
    <row r="43" spans="1:20" hidden="1">
      <c r="A43" s="3207" t="s">
        <v>4096</v>
      </c>
      <c r="B43" s="3207" t="s">
        <v>3054</v>
      </c>
      <c r="C43" s="3207" t="s">
        <v>3898</v>
      </c>
      <c r="D43" s="3207" t="s">
        <v>2814</v>
      </c>
      <c r="E43" s="3207" t="s">
        <v>4085</v>
      </c>
      <c r="F43" s="3207" t="s">
        <v>4097</v>
      </c>
      <c r="G43" s="3207" t="s">
        <v>3957</v>
      </c>
      <c r="H43" s="3207">
        <v>121436</v>
      </c>
      <c r="I43" s="3207">
        <v>157866.79999999999</v>
      </c>
      <c r="J43" s="3207" t="s">
        <v>4098</v>
      </c>
      <c r="K43" s="3207" t="s">
        <v>4088</v>
      </c>
      <c r="L43" s="3207" t="s">
        <v>4099</v>
      </c>
      <c r="M43" s="3207" t="s">
        <v>4100</v>
      </c>
      <c r="N43" s="3207">
        <v>8015</v>
      </c>
      <c r="O43" s="3207">
        <v>44</v>
      </c>
      <c r="P43" s="3207">
        <v>507.7</v>
      </c>
      <c r="Q43" s="3207">
        <v>1.91</v>
      </c>
      <c r="R43" s="3207" t="s">
        <v>3177</v>
      </c>
    </row>
    <row r="44" spans="1:20">
      <c r="A44" s="3207" t="s">
        <v>4101</v>
      </c>
      <c r="B44" s="3207" t="s">
        <v>3054</v>
      </c>
      <c r="C44" s="3207" t="s">
        <v>3898</v>
      </c>
      <c r="D44" s="3207" t="s">
        <v>2814</v>
      </c>
      <c r="E44" s="3207" t="s">
        <v>4102</v>
      </c>
      <c r="F44" s="3207" t="s">
        <v>4103</v>
      </c>
      <c r="G44" s="3207" t="s">
        <v>3990</v>
      </c>
      <c r="H44" s="3207">
        <v>8718</v>
      </c>
      <c r="I44" s="3207">
        <v>21795</v>
      </c>
      <c r="J44" s="3207" t="s">
        <v>4104</v>
      </c>
      <c r="K44" s="3207" t="s">
        <v>4105</v>
      </c>
      <c r="L44" s="3207" t="s">
        <v>4106</v>
      </c>
      <c r="M44" s="3207" t="s">
        <v>4107</v>
      </c>
      <c r="N44" s="3207">
        <v>1500</v>
      </c>
      <c r="O44" s="3207">
        <v>114.71</v>
      </c>
      <c r="P44" s="3207">
        <v>688.23</v>
      </c>
      <c r="Q44" s="3207">
        <v>0</v>
      </c>
      <c r="R44" s="3207">
        <v>40</v>
      </c>
    </row>
    <row r="45" spans="1:20" hidden="1">
      <c r="A45" s="3207" t="s">
        <v>4108</v>
      </c>
      <c r="B45" s="3207" t="s">
        <v>3054</v>
      </c>
      <c r="C45" s="3207" t="s">
        <v>3898</v>
      </c>
      <c r="D45" s="3207" t="s">
        <v>2814</v>
      </c>
      <c r="E45" s="3207" t="s">
        <v>4109</v>
      </c>
      <c r="F45" s="3207" t="s">
        <v>4110</v>
      </c>
      <c r="G45" s="3207" t="s">
        <v>4111</v>
      </c>
      <c r="H45" s="3207">
        <v>3114</v>
      </c>
      <c r="I45" s="3207">
        <v>3269.7</v>
      </c>
      <c r="J45" s="3207" t="s">
        <v>4112</v>
      </c>
      <c r="K45" s="3207" t="s">
        <v>4105</v>
      </c>
      <c r="L45" s="3207" t="s">
        <v>4113</v>
      </c>
      <c r="M45" s="3207" t="s">
        <v>4114</v>
      </c>
      <c r="N45" s="3207">
        <v>728</v>
      </c>
      <c r="O45" s="3207">
        <v>155.86000000000001</v>
      </c>
      <c r="P45" s="3207">
        <v>2226.5</v>
      </c>
      <c r="Q45" s="3207">
        <v>0</v>
      </c>
      <c r="R45" s="3207">
        <v>40</v>
      </c>
    </row>
    <row r="46" spans="1:20" s="3203" customFormat="1">
      <c r="A46" s="3214" t="s">
        <v>4158</v>
      </c>
      <c r="B46" s="3203" t="s">
        <v>3054</v>
      </c>
      <c r="C46" s="3203" t="s">
        <v>3898</v>
      </c>
      <c r="D46" s="3203" t="s">
        <v>2814</v>
      </c>
      <c r="E46" s="3203" t="s">
        <v>4115</v>
      </c>
      <c r="F46" s="3203" t="s">
        <v>4116</v>
      </c>
      <c r="G46" s="3203" t="s">
        <v>3990</v>
      </c>
      <c r="H46" s="3203">
        <v>6667</v>
      </c>
      <c r="I46" s="3203">
        <v>23334.5</v>
      </c>
      <c r="J46" s="3203" t="s">
        <v>4117</v>
      </c>
      <c r="K46" s="3203" t="s">
        <v>4105</v>
      </c>
      <c r="L46" s="3203" t="s">
        <v>4118</v>
      </c>
      <c r="M46" s="3203" t="s">
        <v>4119</v>
      </c>
      <c r="N46" s="3203">
        <v>2480</v>
      </c>
      <c r="O46" s="3203">
        <v>247.99</v>
      </c>
      <c r="P46" s="3203">
        <v>1062.79</v>
      </c>
      <c r="Q46" s="3203">
        <v>0</v>
      </c>
      <c r="R46" s="3203">
        <v>40</v>
      </c>
    </row>
    <row r="47" spans="1:20" hidden="1">
      <c r="A47" s="3207" t="s">
        <v>4120</v>
      </c>
      <c r="B47" s="3207" t="s">
        <v>3054</v>
      </c>
      <c r="C47" s="3207" t="s">
        <v>3898</v>
      </c>
      <c r="D47" s="3207" t="s">
        <v>2814</v>
      </c>
      <c r="E47" s="3207" t="s">
        <v>4121</v>
      </c>
      <c r="F47" s="3207" t="s">
        <v>4122</v>
      </c>
      <c r="G47" s="3207" t="s">
        <v>4012</v>
      </c>
      <c r="H47" s="3207">
        <v>3971</v>
      </c>
      <c r="I47" s="3207">
        <v>5479.98</v>
      </c>
      <c r="J47" s="3207" t="s">
        <v>4123</v>
      </c>
      <c r="K47" s="3207" t="s">
        <v>4105</v>
      </c>
      <c r="L47" s="3207" t="s">
        <v>4124</v>
      </c>
      <c r="M47" s="3207" t="s">
        <v>3932</v>
      </c>
      <c r="N47" s="3207">
        <v>2100</v>
      </c>
      <c r="O47" s="3207">
        <v>352.56</v>
      </c>
      <c r="P47" s="3207">
        <v>3832.13</v>
      </c>
      <c r="Q47" s="3207">
        <v>0</v>
      </c>
      <c r="R47" s="3207">
        <v>40</v>
      </c>
    </row>
    <row r="48" spans="1:20" hidden="1">
      <c r="A48" s="3207" t="s">
        <v>4125</v>
      </c>
      <c r="B48" s="3207" t="s">
        <v>3054</v>
      </c>
      <c r="C48" s="3207" t="s">
        <v>3898</v>
      </c>
      <c r="D48" s="3207" t="s">
        <v>2814</v>
      </c>
      <c r="E48" s="3207" t="s">
        <v>4126</v>
      </c>
      <c r="F48" s="3207" t="s">
        <v>4127</v>
      </c>
      <c r="G48" s="3207" t="s">
        <v>4128</v>
      </c>
      <c r="H48" s="3207">
        <v>4000</v>
      </c>
      <c r="I48" s="3207">
        <v>1200</v>
      </c>
      <c r="J48" s="3207" t="s">
        <v>4129</v>
      </c>
      <c r="K48" s="3207" t="s">
        <v>4105</v>
      </c>
      <c r="L48" s="3207" t="s">
        <v>4130</v>
      </c>
      <c r="M48" s="3207" t="s">
        <v>4131</v>
      </c>
      <c r="N48" s="3207">
        <v>2400</v>
      </c>
      <c r="O48" s="3207">
        <v>400</v>
      </c>
      <c r="P48" s="3207">
        <v>20000</v>
      </c>
      <c r="Q48" s="3207">
        <v>0</v>
      </c>
      <c r="R48" s="3207">
        <v>40</v>
      </c>
    </row>
    <row r="49" spans="1:18" hidden="1">
      <c r="A49" s="3207" t="s">
        <v>4132</v>
      </c>
      <c r="B49" s="3207" t="s">
        <v>3054</v>
      </c>
      <c r="C49" s="3207" t="s">
        <v>3898</v>
      </c>
      <c r="D49" s="3207" t="s">
        <v>2814</v>
      </c>
      <c r="E49" s="3207" t="s">
        <v>4133</v>
      </c>
      <c r="F49" s="3207" t="s">
        <v>4134</v>
      </c>
      <c r="G49" s="3207" t="s">
        <v>3990</v>
      </c>
      <c r="H49" s="3207">
        <v>6738</v>
      </c>
      <c r="I49" s="3207">
        <v>12128.4</v>
      </c>
      <c r="J49" s="3207" t="s">
        <v>4135</v>
      </c>
      <c r="K49" s="3207" t="s">
        <v>4105</v>
      </c>
      <c r="L49" s="3207" t="s">
        <v>4136</v>
      </c>
      <c r="M49" s="3207" t="s">
        <v>4137</v>
      </c>
      <c r="N49" s="3207">
        <v>1500</v>
      </c>
      <c r="O49" s="3207">
        <v>148.41</v>
      </c>
      <c r="P49" s="3207">
        <v>1236.76</v>
      </c>
      <c r="Q49" s="3207">
        <v>0</v>
      </c>
      <c r="R49" s="3207">
        <v>40</v>
      </c>
    </row>
    <row r="50" spans="1:18" hidden="1">
      <c r="A50" s="3207" t="s">
        <v>4138</v>
      </c>
      <c r="B50" s="3207" t="s">
        <v>3054</v>
      </c>
      <c r="C50" s="3207" t="s">
        <v>3898</v>
      </c>
      <c r="D50" s="3207" t="s">
        <v>2814</v>
      </c>
      <c r="E50" s="3207" t="s">
        <v>4139</v>
      </c>
      <c r="F50" s="3207" t="s">
        <v>4140</v>
      </c>
      <c r="G50" s="3207" t="s">
        <v>4128</v>
      </c>
      <c r="H50" s="3207">
        <v>2348</v>
      </c>
      <c r="I50" s="3207">
        <v>704.4</v>
      </c>
      <c r="J50" s="3207" t="s">
        <v>4129</v>
      </c>
      <c r="K50" s="3207" t="s">
        <v>4105</v>
      </c>
      <c r="L50" s="3207" t="s">
        <v>4141</v>
      </c>
      <c r="M50" s="3207" t="s">
        <v>4142</v>
      </c>
      <c r="N50" s="3207">
        <v>1580</v>
      </c>
      <c r="O50" s="3207">
        <v>448.61</v>
      </c>
      <c r="P50" s="3207">
        <v>22430.43</v>
      </c>
      <c r="Q50" s="3207">
        <v>0</v>
      </c>
      <c r="R50" s="3207">
        <v>40</v>
      </c>
    </row>
    <row r="51" spans="1:18" hidden="1">
      <c r="A51" s="3207" t="s">
        <v>4143</v>
      </c>
      <c r="B51" s="3207" t="s">
        <v>3054</v>
      </c>
      <c r="C51" s="3207" t="s">
        <v>3898</v>
      </c>
      <c r="D51" s="3207" t="s">
        <v>2814</v>
      </c>
      <c r="E51" s="3207" t="s">
        <v>4144</v>
      </c>
      <c r="F51" s="3207" t="s">
        <v>4145</v>
      </c>
      <c r="G51" s="3207" t="s">
        <v>4128</v>
      </c>
      <c r="H51" s="3207">
        <v>2266</v>
      </c>
      <c r="I51" s="3207">
        <v>679.8</v>
      </c>
      <c r="J51" s="3207" t="s">
        <v>4129</v>
      </c>
      <c r="K51" s="3207" t="s">
        <v>4105</v>
      </c>
      <c r="L51" s="3207" t="s">
        <v>4146</v>
      </c>
      <c r="M51" s="3207" t="s">
        <v>4147</v>
      </c>
      <c r="N51" s="3207">
        <v>1560</v>
      </c>
      <c r="O51" s="3207">
        <v>458.96</v>
      </c>
      <c r="P51" s="3207">
        <v>22947.93</v>
      </c>
      <c r="Q51" s="3207">
        <v>0</v>
      </c>
      <c r="R51" s="3207">
        <v>40</v>
      </c>
    </row>
  </sheetData>
  <phoneticPr fontId="233" type="noConversion"/>
  <hyperlinks>
    <hyperlink ref="T2" r:id="rId1"/>
    <hyperlink ref="T40" r:id="rId2"/>
  </hyperlinks>
  <pageMargins left="0.75" right="0.75" top="1" bottom="1" header="0.5" footer="0.5"/>
  <pageSetup orientation="portrait" horizontalDpi="300" verticalDpi="300"/>
  <headerFooter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U4" zoomScaleNormal="100" workbookViewId="0">
      <selection activeCell="U15" sqref="U15:AE21"/>
    </sheetView>
  </sheetViews>
  <sheetFormatPr defaultRowHeight="13.5"/>
  <sheetData/>
  <phoneticPr fontId="23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0" sqref="C30"/>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09"/>
      <c r="C1" s="2104"/>
      <c r="D1" s="2104"/>
      <c r="E1" s="2104"/>
      <c r="F1" s="2104"/>
      <c r="G1" s="2104"/>
      <c r="H1" s="2104"/>
      <c r="I1" s="2104"/>
      <c r="J1" s="2104"/>
      <c r="K1" s="421">
        <f>MATCH(B1,'数据-取费表'!A6:A16,0)+5</f>
        <v>8</v>
      </c>
    </row>
    <row r="2" spans="1:31" s="2041" customFormat="1" ht="18" customHeight="1">
      <c r="A2" s="2101" t="s">
        <v>466</v>
      </c>
      <c r="B2" s="2105">
        <f ca="1">C36</f>
        <v>79773</v>
      </c>
      <c r="C2" s="2104"/>
      <c r="D2" s="2104"/>
      <c r="E2" s="2104"/>
      <c r="F2" s="2104"/>
      <c r="G2" s="2104"/>
      <c r="H2" s="2104"/>
      <c r="I2" s="2104"/>
      <c r="J2" s="2104"/>
      <c r="K2" s="2104"/>
    </row>
    <row r="3" spans="1:31" s="2041" customFormat="1" ht="18" customHeight="1">
      <c r="A3" s="2106" t="s">
        <v>1684</v>
      </c>
      <c r="B3" s="2107">
        <f ca="1">ROUND(B2*10000/IF(B1="",'数据-汇总表'!E3,INDIRECT("'数据-取费表'!K"&amp;$K$1)),0)</f>
        <v>1934</v>
      </c>
      <c r="C3" s="2104"/>
      <c r="D3" s="2104"/>
      <c r="E3" s="2104"/>
      <c r="F3" s="2104"/>
      <c r="G3" s="2104"/>
      <c r="H3" s="2104"/>
      <c r="I3" s="2104"/>
      <c r="J3" s="2104"/>
      <c r="K3" s="2104"/>
    </row>
    <row r="4" spans="1:31" s="2041" customFormat="1" ht="18" customHeight="1">
      <c r="A4" s="425" t="s">
        <v>467</v>
      </c>
      <c r="B4" s="426">
        <f ca="1">ROUND(B2*10000/IF(B1="",'数据-汇总表'!D3,INDIRECT("'数据-取费表'!R"&amp;$K$1)),0)</f>
        <v>6771</v>
      </c>
      <c r="C4" s="427"/>
      <c r="D4" s="421"/>
      <c r="E4" s="421"/>
      <c r="F4" s="421"/>
      <c r="G4" s="421"/>
      <c r="H4" s="421"/>
      <c r="I4" s="421"/>
      <c r="J4" s="421"/>
      <c r="K4" s="421"/>
    </row>
    <row r="5" spans="1:31" s="2041" customFormat="1" ht="18" customHeight="1" thickBot="1">
      <c r="A5" s="428"/>
      <c r="B5" s="429">
        <f ca="1">ROUND(B2/(IF(B1="",'数据-汇总表'!D3,INDIRECT("'数据-取费表'!R"&amp;$K$1))/666.67),0)</f>
        <v>451</v>
      </c>
      <c r="C5" s="430" t="s">
        <v>468</v>
      </c>
      <c r="D5" s="421"/>
      <c r="E5" s="421"/>
      <c r="F5" s="421"/>
      <c r="G5" s="421"/>
      <c r="H5" s="421"/>
      <c r="I5" s="421"/>
      <c r="J5" s="421"/>
      <c r="K5" s="421"/>
    </row>
    <row r="6" spans="1:31" s="2111" customFormat="1" ht="16.5" customHeight="1">
      <c r="A6" s="2828" t="s">
        <v>1842</v>
      </c>
      <c r="B6" s="2829"/>
      <c r="C6" s="2830">
        <f ca="1">SUM(C10:K10)</f>
        <v>271825</v>
      </c>
      <c r="D6" s="2829"/>
      <c r="E6" s="2829"/>
      <c r="F6" s="2829"/>
      <c r="G6" s="2829"/>
      <c r="H6" s="2829"/>
      <c r="I6" s="2829"/>
      <c r="J6" s="2829"/>
      <c r="K6" s="2831"/>
    </row>
    <row r="7" spans="1:31" s="2113" customFormat="1" ht="15">
      <c r="A7" s="2832" t="s">
        <v>469</v>
      </c>
      <c r="B7" s="2833" t="s">
        <v>470</v>
      </c>
      <c r="C7" s="435" t="s">
        <v>4014</v>
      </c>
      <c r="D7" s="435" t="s">
        <v>4012</v>
      </c>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1845</v>
      </c>
      <c r="B8" s="260" t="s">
        <v>471</v>
      </c>
      <c r="C8" s="2834">
        <f>'不动产比较法-住宅'!B3</f>
        <v>7119</v>
      </c>
      <c r="D8" s="2834">
        <f ca="1">不动产收益法!B3</f>
        <v>6240</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1846</v>
      </c>
      <c r="B9" s="260" t="s">
        <v>472</v>
      </c>
      <c r="C9" s="440">
        <f>SUMIF('数据-汇总表'!$C19:$C33,'剩余法-待开发'!C7,'数据-汇总表'!$E19:$E33)</f>
        <v>164952.34</v>
      </c>
      <c r="D9" s="440">
        <f>SUMIF('数据-汇总表'!$C19:$C33,'剩余法-待开发'!D7,'数据-汇总表'!$E19:$E33)</f>
        <v>247428.51000000004</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473</v>
      </c>
      <c r="C10" s="3029">
        <f>'不动产比较法-住宅'!B2</f>
        <v>117430</v>
      </c>
      <c r="D10" s="3029">
        <f ca="1">不动产收益法!B2</f>
        <v>154395</v>
      </c>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1848</v>
      </c>
      <c r="B13" s="2843" t="s">
        <v>478</v>
      </c>
      <c r="C13" s="449">
        <f ca="1">IF(B1="",'数据-取费表'!P16,INDIRECT("'数据-取费表'!p"&amp;$K$1)+INDIRECT("'数据-取费表'!t"&amp;$K$1))</f>
        <v>102270</v>
      </c>
      <c r="D13" s="2844"/>
      <c r="E13" s="2845"/>
      <c r="F13" s="2846"/>
      <c r="G13" s="2812"/>
      <c r="H13" s="2813"/>
      <c r="I13" s="2813"/>
      <c r="J13" s="2813"/>
      <c r="K13" s="2814"/>
    </row>
    <row r="14" spans="1:31" s="2116" customFormat="1" ht="13.5" customHeight="1">
      <c r="A14" s="2842" t="s">
        <v>1849</v>
      </c>
      <c r="B14" s="2843" t="s">
        <v>479</v>
      </c>
      <c r="C14" s="53">
        <f ca="1">ROUND(C13*F14,0)</f>
        <v>3068</v>
      </c>
      <c r="D14" s="2844"/>
      <c r="E14" s="2845"/>
      <c r="F14" s="2847">
        <f>'数据-取费表'!B33</f>
        <v>0.03</v>
      </c>
      <c r="G14" s="2812" t="s">
        <v>480</v>
      </c>
      <c r="H14" s="2813"/>
      <c r="I14" s="2813"/>
      <c r="J14" s="2813"/>
      <c r="K14" s="2814"/>
    </row>
    <row r="15" spans="1:31" s="2116" customFormat="1" ht="13.5" customHeight="1">
      <c r="A15" s="2842" t="s">
        <v>1850</v>
      </c>
      <c r="B15" s="2843" t="s">
        <v>481</v>
      </c>
      <c r="C15" s="53">
        <f ca="1">ROUND(IF(B1="",SUMIF('数据-取费表'!C:C,"住宅",'数据-取费表'!P:P)*F15,IF(INDIRECT("'数据-取费表'!c"&amp;$K$1)="住宅",INDIRECT("'数据-取费表'!P"&amp;$K$1)*F15,0)),0)</f>
        <v>1155</v>
      </c>
      <c r="D15" s="2844"/>
      <c r="E15" s="2845"/>
      <c r="F15" s="2847">
        <f>'数据-取费表'!B34</f>
        <v>3.5000000000000003E-2</v>
      </c>
      <c r="G15" s="2812" t="s">
        <v>482</v>
      </c>
      <c r="H15" s="2813"/>
      <c r="I15" s="2813"/>
      <c r="J15" s="2813"/>
      <c r="K15" s="2814"/>
    </row>
    <row r="16" spans="1:31" s="2117" customFormat="1" ht="13.5" customHeight="1">
      <c r="A16" s="2842" t="s">
        <v>1851</v>
      </c>
      <c r="B16" s="2843" t="s">
        <v>483</v>
      </c>
      <c r="C16" s="53">
        <f ca="1">ROUND(D16*E16/10000,0)</f>
        <v>8248</v>
      </c>
      <c r="D16" s="2844">
        <f ca="1">IF(B1="",'数据-汇总表'!E3,INDIRECT("'数据-取费表'!K"&amp;$K$1)+INDIRECT("'数据-取费表'!S"&amp;$K$1))</f>
        <v>412380.85000000003</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484</v>
      </c>
      <c r="C17" s="2848">
        <f ca="1">ROUND(C13*F17,0)</f>
        <v>1534</v>
      </c>
      <c r="D17" s="474"/>
      <c r="E17" s="2848"/>
      <c r="F17" s="2849">
        <f>'数据-取费表'!B36</f>
        <v>1.4999999999999999E-2</v>
      </c>
      <c r="G17" s="260" t="s">
        <v>485</v>
      </c>
      <c r="H17" s="2815"/>
      <c r="I17" s="2815"/>
      <c r="J17" s="2815"/>
      <c r="K17" s="278"/>
    </row>
    <row r="18" spans="1:14" s="2116" customFormat="1" ht="13.5" customHeight="1">
      <c r="A18" s="2850" t="s">
        <v>1853</v>
      </c>
      <c r="B18" s="2851" t="s">
        <v>486</v>
      </c>
      <c r="C18" s="2852">
        <f ca="1">SUM(C13:C17)</f>
        <v>116275</v>
      </c>
      <c r="D18" s="2853"/>
      <c r="E18" s="467"/>
      <c r="F18" s="467"/>
      <c r="G18" s="2816" t="s">
        <v>2428</v>
      </c>
      <c r="H18" s="2817"/>
      <c r="I18" s="2817"/>
      <c r="J18" s="2817"/>
      <c r="K18" s="2818"/>
    </row>
    <row r="19" spans="1:14" s="2116" customFormat="1" ht="13.5" customHeight="1">
      <c r="A19" s="2850" t="s">
        <v>1854</v>
      </c>
      <c r="B19" s="2851" t="s">
        <v>487</v>
      </c>
      <c r="C19" s="2808">
        <f ca="1">ROUND(D19*E19/10000,0)</f>
        <v>0</v>
      </c>
      <c r="D19" s="2854">
        <f ca="1">D16</f>
        <v>412380.85000000003</v>
      </c>
      <c r="E19" s="2808">
        <f>'数据-取费表'!B32</f>
        <v>0</v>
      </c>
      <c r="F19" s="467"/>
      <c r="G19" s="2812" t="s">
        <v>488</v>
      </c>
      <c r="H19" s="2813"/>
      <c r="I19" s="2817"/>
      <c r="J19" s="2817"/>
      <c r="K19" s="2818"/>
    </row>
    <row r="20" spans="1:14" s="2116" customFormat="1" ht="13.5" customHeight="1">
      <c r="A20" s="2850" t="s">
        <v>1855</v>
      </c>
      <c r="B20" s="2851" t="s">
        <v>489</v>
      </c>
      <c r="C20" s="2808">
        <f ca="1">C21+C22-IF(B1="",'数据-取费表'!B29,IF(G20="已全部缴纳",C21+C22,H20))</f>
        <v>4330</v>
      </c>
      <c r="D20" s="2854"/>
      <c r="E20" s="2808"/>
      <c r="F20" s="2855"/>
      <c r="G20" s="3089"/>
      <c r="H20" s="2810"/>
      <c r="I20" s="2811" t="s">
        <v>2647</v>
      </c>
      <c r="J20" s="2817"/>
      <c r="K20" s="2818"/>
    </row>
    <row r="21" spans="1:14" s="2116" customFormat="1" ht="13.5" customHeight="1">
      <c r="A21" s="2842" t="s">
        <v>1856</v>
      </c>
      <c r="B21" s="2843" t="s">
        <v>490</v>
      </c>
      <c r="C21" s="53">
        <f ca="1">ROUND(D21*E21/10000,0)</f>
        <v>1732</v>
      </c>
      <c r="D21" s="2844">
        <f ca="1">IF(B1="",'数据-汇总表'!E5,IF(INDIRECT("'数据-取费表'!c"&amp;$K$1)="住宅",INDIRECT("'数据-取费表'!k"&amp;$K$1),0))</f>
        <v>164952.34</v>
      </c>
      <c r="E21" s="53">
        <f>'数据-取费表'!B27</f>
        <v>105</v>
      </c>
      <c r="F21" s="2847"/>
      <c r="G21" s="26"/>
      <c r="H21" s="51"/>
      <c r="I21" s="51"/>
      <c r="J21" s="51"/>
      <c r="K21" s="2819"/>
    </row>
    <row r="22" spans="1:14" s="2116" customFormat="1" ht="13.5" customHeight="1">
      <c r="A22" s="2842" t="s">
        <v>1857</v>
      </c>
      <c r="B22" s="2843" t="s">
        <v>491</v>
      </c>
      <c r="C22" s="53">
        <f ca="1">ROUND(D22*E22/10000,0)</f>
        <v>2598</v>
      </c>
      <c r="D22" s="2844">
        <f ca="1">IF(B1="",'数据-汇总表'!E6,IF(INDIRECT("'数据-取费表'!c"&amp;$K$1)="住宅",INDIRECT("'数据-取费表'!s"&amp;$K$1),INDIRECT("'数据-取费表'!k"&amp;$K$1)+INDIRECT("'数据-取费表'!s"&amp;$K$1)))</f>
        <v>247428.51000000004</v>
      </c>
      <c r="E22" s="53">
        <f>'数据-取费表'!B28</f>
        <v>105</v>
      </c>
      <c r="F22" s="2847"/>
      <c r="G22" s="26"/>
      <c r="H22" s="51"/>
      <c r="I22" s="51"/>
      <c r="J22" s="51"/>
      <c r="K22" s="2819"/>
    </row>
    <row r="23" spans="1:14" s="2116" customFormat="1" ht="13.5" customHeight="1">
      <c r="A23" s="2850" t="s">
        <v>1858</v>
      </c>
      <c r="B23" s="3035" t="s">
        <v>2830</v>
      </c>
      <c r="C23" s="2852">
        <f ca="1">ROUND((C18+C19+C20)*F23,0)</f>
        <v>2412</v>
      </c>
      <c r="D23" s="467"/>
      <c r="E23" s="467"/>
      <c r="F23" s="2856">
        <f>'数据-取费表'!B37</f>
        <v>0.02</v>
      </c>
      <c r="G23" s="2812" t="s">
        <v>2429</v>
      </c>
      <c r="H23" s="2813"/>
      <c r="I23" s="2813"/>
      <c r="J23" s="2813"/>
      <c r="K23" s="2814"/>
      <c r="L23" s="2118"/>
      <c r="M23" s="2118"/>
      <c r="N23" s="2118"/>
    </row>
    <row r="24" spans="1:14" s="2116" customFormat="1" ht="13.5" customHeight="1">
      <c r="A24" s="2850" t="s">
        <v>1859</v>
      </c>
      <c r="B24" s="3035" t="s">
        <v>2833</v>
      </c>
      <c r="C24" s="2852">
        <f ca="1">ROUND(C6*F24,0)</f>
        <v>5437</v>
      </c>
      <c r="D24" s="474"/>
      <c r="E24" s="472"/>
      <c r="F24" s="2856">
        <f>'数据-取费表'!B38</f>
        <v>0.02</v>
      </c>
      <c r="G24" s="2821" t="s">
        <v>498</v>
      </c>
      <c r="H24" s="2815"/>
      <c r="I24" s="2815"/>
      <c r="J24" s="2815"/>
      <c r="K24" s="278"/>
      <c r="L24" s="2118"/>
      <c r="M24" s="2118"/>
      <c r="N24" s="2118"/>
    </row>
    <row r="25" spans="1:14" s="2119" customFormat="1" ht="13.5" customHeight="1">
      <c r="A25" s="2850" t="s">
        <v>1860</v>
      </c>
      <c r="B25" s="3035" t="s">
        <v>2831</v>
      </c>
      <c r="C25" s="466">
        <f>ROUND(F25/(1+'数据-取费表'!C42),4)</f>
        <v>2.9000000000000001E-2</v>
      </c>
      <c r="D25" s="461" t="s">
        <v>2825</v>
      </c>
      <c r="E25" s="468"/>
      <c r="F25" s="2856">
        <f>'数据-取费表'!B48+'数据-取费表'!B49</f>
        <v>3.0499999999999999E-2</v>
      </c>
      <c r="G25" s="2820" t="s">
        <v>2289</v>
      </c>
      <c r="H25" s="2813"/>
      <c r="I25" s="2813"/>
      <c r="J25" s="2813"/>
      <c r="K25" s="2814"/>
    </row>
    <row r="26" spans="1:14" s="2118" customFormat="1" ht="13.5" customHeight="1">
      <c r="A26" s="2850" t="s">
        <v>1861</v>
      </c>
      <c r="B26" s="3036" t="s">
        <v>2832</v>
      </c>
      <c r="C26" s="2857">
        <f ca="1">C28</f>
        <v>9260</v>
      </c>
      <c r="D26" s="466">
        <f ca="1">C27</f>
        <v>0.1537</v>
      </c>
      <c r="E26" s="468" t="s">
        <v>494</v>
      </c>
      <c r="F26" s="470">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2" t="s">
        <v>1856</v>
      </c>
      <c r="B27" s="2858" t="s">
        <v>495</v>
      </c>
      <c r="C27" s="2859">
        <f ca="1">ROUND(IF('数据-取费表'!B22&lt;=1,(1+C25)*F26*'数据-取费表'!B24,(1+C25)*(POWER((1+F26),'数据-取费表'!B24)-1)),4)</f>
        <v>0.1537</v>
      </c>
      <c r="D27" s="471"/>
      <c r="E27" s="472"/>
      <c r="F27" s="473"/>
      <c r="G27" s="2572" t="str">
        <f>IF('数据-取费表'!B22&lt;=1,"（1+取得税费率/(1+5%)）×年利率×建设期","（1+取得税费率）/(1+5%)×((1+年利率)^建设期-1)")</f>
        <v>（1+取得税费率）/(1+5%)×((1+年利率)^建设期-1)</v>
      </c>
      <c r="H27" s="2815"/>
      <c r="I27" s="2815"/>
      <c r="J27" s="2815"/>
      <c r="K27" s="278"/>
    </row>
    <row r="28" spans="1:14" s="2120" customFormat="1" ht="13.5" customHeight="1">
      <c r="A28" s="802" t="s">
        <v>1857</v>
      </c>
      <c r="B28" s="2858" t="s">
        <v>2834</v>
      </c>
      <c r="C28" s="2860">
        <f ca="1">ROUND(IF('数据-取费表'!B22&lt;=1,(C18+C19+C20+C23+C24)*F26*'数据-取费表'!B24/2,(C18+C19+C20+C23+C24)*(POWER((1+F26),'数据-取费表'!B24/2)-1)),0)</f>
        <v>9260</v>
      </c>
      <c r="D28" s="471"/>
      <c r="E28" s="472"/>
      <c r="F28" s="473"/>
      <c r="G28" s="2572" t="str">
        <f>IF('数据-取费表'!B22&lt;=1,"（1）-（4）项×年利率×建设期÷2","（1）-（4）项×((1+年利率)^(建设期÷2)-1)")</f>
        <v>（1）-（4）项×((1+年利率)^(建设期÷2)-1)</v>
      </c>
      <c r="H28" s="2815"/>
      <c r="I28" s="2815"/>
      <c r="J28" s="2815"/>
      <c r="K28" s="278"/>
    </row>
    <row r="29" spans="1:14" s="2120" customFormat="1" ht="13.5" customHeight="1">
      <c r="A29" s="2861" t="s">
        <v>1862</v>
      </c>
      <c r="B29" s="2851" t="s">
        <v>496</v>
      </c>
      <c r="C29" s="2852">
        <f ca="1">ROUND(C6*F29/(1+'数据-取费表'!C42),0)</f>
        <v>14497</v>
      </c>
      <c r="D29" s="467"/>
      <c r="E29" s="467"/>
      <c r="F29" s="3037">
        <f>'数据-取费表'!B41</f>
        <v>5.6000000000000001E-2</v>
      </c>
      <c r="G29" s="2821" t="s">
        <v>497</v>
      </c>
      <c r="H29" s="2813"/>
      <c r="I29" s="2813"/>
      <c r="J29" s="2813"/>
      <c r="K29" s="2814"/>
    </row>
    <row r="30" spans="1:14" s="2121" customFormat="1" ht="13.5" customHeight="1">
      <c r="A30" s="1634" t="s">
        <v>1863</v>
      </c>
      <c r="B30" s="2862" t="s">
        <v>499</v>
      </c>
      <c r="C30" s="2857">
        <f ca="1">C31</f>
        <v>152211</v>
      </c>
      <c r="D30" s="476">
        <f ca="1">C32</f>
        <v>0.1827</v>
      </c>
      <c r="E30" s="468" t="s">
        <v>494</v>
      </c>
      <c r="F30" s="470"/>
      <c r="G30" s="2820" t="s">
        <v>2961</v>
      </c>
      <c r="H30" s="2813"/>
      <c r="I30" s="2813"/>
      <c r="J30" s="2813"/>
      <c r="K30" s="2814"/>
    </row>
    <row r="31" spans="1:14" s="2120" customFormat="1" ht="13.5" customHeight="1">
      <c r="A31" s="802" t="s">
        <v>1856</v>
      </c>
      <c r="B31" s="2858"/>
      <c r="C31" s="449">
        <f ca="1">C18+C19+C20+C23+C24+C26+C29</f>
        <v>152211</v>
      </c>
      <c r="D31" s="471"/>
      <c r="E31" s="472"/>
      <c r="F31" s="473"/>
      <c r="G31" s="260"/>
      <c r="H31" s="2815"/>
      <c r="I31" s="2815"/>
      <c r="J31" s="2815"/>
      <c r="K31" s="278"/>
    </row>
    <row r="32" spans="1:14" s="2120" customFormat="1" ht="13.5" customHeight="1">
      <c r="A32" s="802" t="s">
        <v>1857</v>
      </c>
      <c r="B32" s="2858"/>
      <c r="C32" s="53">
        <f ca="1">ROUND(C25+D26,4)</f>
        <v>0.1827</v>
      </c>
      <c r="D32" s="471"/>
      <c r="E32" s="472"/>
      <c r="F32" s="473"/>
      <c r="G32" s="260"/>
      <c r="H32" s="2815"/>
      <c r="I32" s="2815"/>
      <c r="J32" s="2815"/>
      <c r="K32" s="278"/>
    </row>
    <row r="33" spans="1:11" s="2122" customFormat="1" ht="13.5" customHeight="1">
      <c r="A33" s="3034" t="s">
        <v>2829</v>
      </c>
      <c r="B33" s="3032" t="s">
        <v>2827</v>
      </c>
      <c r="C33" s="477">
        <f ca="1">C35</f>
        <v>15414</v>
      </c>
      <c r="D33" s="466">
        <f ca="1">C34</f>
        <v>0.1235</v>
      </c>
      <c r="E33" s="468" t="s">
        <v>494</v>
      </c>
      <c r="F33" s="478">
        <f ca="1">IF(B1="",'数据-取费表'!Q16,INDIRECT("'数据-取费表'!q"&amp;$K$1))</f>
        <v>0.12</v>
      </c>
      <c r="G33" s="2816"/>
      <c r="H33" s="2817"/>
      <c r="I33" s="2817"/>
      <c r="J33" s="2817"/>
      <c r="K33" s="2818"/>
    </row>
    <row r="34" spans="1:11" s="2123" customFormat="1" ht="13.5" customHeight="1">
      <c r="A34" s="374" t="s">
        <v>1856</v>
      </c>
      <c r="B34" s="2863" t="s">
        <v>500</v>
      </c>
      <c r="C34" s="471">
        <f ca="1">ROUND((1+C25)*F33,4)</f>
        <v>0.1235</v>
      </c>
      <c r="D34" s="471"/>
      <c r="E34" s="472"/>
      <c r="F34" s="479"/>
      <c r="G34" s="260" t="s">
        <v>2290</v>
      </c>
      <c r="H34" s="2815"/>
      <c r="I34" s="2815"/>
      <c r="J34" s="2815"/>
      <c r="K34" s="278"/>
    </row>
    <row r="35" spans="1:11" s="2123" customFormat="1" ht="13.5" customHeight="1" thickBot="1">
      <c r="A35" s="1635" t="s">
        <v>1857</v>
      </c>
      <c r="B35" s="3033" t="s">
        <v>2835</v>
      </c>
      <c r="C35" s="1627">
        <f ca="1">ROUND((C18+C19+C20+C23+C24)*F33,0)</f>
        <v>15414</v>
      </c>
      <c r="D35" s="1628"/>
      <c r="E35" s="2864"/>
      <c r="F35" s="1629"/>
      <c r="G35" s="2822"/>
      <c r="H35" s="2823"/>
      <c r="I35" s="2823"/>
      <c r="J35" s="2823"/>
      <c r="K35" s="2824"/>
    </row>
    <row r="36" spans="1:11" s="2085" customFormat="1" ht="13.5" customHeight="1" thickBot="1">
      <c r="A36" s="283" t="s">
        <v>1844</v>
      </c>
      <c r="B36" s="2826"/>
      <c r="C36" s="2865">
        <f ca="1">ROUND((C6-C30-C33)/(1+D30+D33),0)</f>
        <v>79773</v>
      </c>
      <c r="D36" s="2826"/>
      <c r="E36" s="2826"/>
      <c r="F36" s="2826"/>
      <c r="G36" s="2825" t="s">
        <v>2836</v>
      </c>
      <c r="H36" s="2826"/>
      <c r="I36" s="2826"/>
      <c r="J36" s="2826"/>
      <c r="K36" s="2827"/>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515</v>
      </c>
      <c r="B1" s="502"/>
      <c r="C1" s="503" t="s">
        <v>596</v>
      </c>
      <c r="D1" s="504" t="s">
        <v>517</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466</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1685</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4" customFormat="1" ht="28.5" customHeight="1">
      <c r="A4" s="510" t="s">
        <v>519</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520</v>
      </c>
      <c r="B6" s="512"/>
      <c r="C6" s="3396" t="s">
        <v>521</v>
      </c>
      <c r="D6" s="3397"/>
      <c r="E6" s="3430" t="s">
        <v>522</v>
      </c>
      <c r="F6" s="3431"/>
      <c r="G6" s="3396" t="s">
        <v>523</v>
      </c>
      <c r="H6" s="3397"/>
      <c r="I6" s="3396" t="s">
        <v>524</v>
      </c>
      <c r="J6" s="3397"/>
      <c r="K6" s="513" t="s">
        <v>525</v>
      </c>
      <c r="L6" s="2133"/>
      <c r="M6" s="2134"/>
      <c r="N6" s="2134"/>
      <c r="O6" s="2134"/>
      <c r="P6" s="3398" t="s">
        <v>526</v>
      </c>
      <c r="Q6" s="3399"/>
      <c r="R6" s="3404" t="s">
        <v>522</v>
      </c>
      <c r="S6" s="3405"/>
      <c r="T6" s="3404" t="s">
        <v>523</v>
      </c>
      <c r="U6" s="3405"/>
      <c r="V6" s="3391" t="s">
        <v>524</v>
      </c>
      <c r="W6" s="3391"/>
      <c r="X6" s="1566"/>
      <c r="Y6" s="3404" t="s">
        <v>526</v>
      </c>
      <c r="Z6" s="3405"/>
      <c r="AA6" s="3393" t="s">
        <v>522</v>
      </c>
      <c r="AB6" s="3394" t="s">
        <v>523</v>
      </c>
      <c r="AC6" s="3393" t="s">
        <v>524</v>
      </c>
    </row>
    <row r="7" spans="1:29" ht="15">
      <c r="A7" s="514"/>
      <c r="B7" s="515"/>
      <c r="C7" s="3412" t="s">
        <v>2916</v>
      </c>
      <c r="D7" s="3413"/>
      <c r="E7" s="3432" t="s">
        <v>2917</v>
      </c>
      <c r="F7" s="3433"/>
      <c r="G7" s="3412" t="s">
        <v>2918</v>
      </c>
      <c r="H7" s="3413"/>
      <c r="I7" s="3412" t="s">
        <v>2919</v>
      </c>
      <c r="J7" s="3413"/>
      <c r="K7" s="513"/>
      <c r="L7" s="2133"/>
      <c r="M7" s="2134"/>
      <c r="N7" s="2134"/>
      <c r="O7" s="2134"/>
      <c r="P7" s="3400"/>
      <c r="Q7" s="3401"/>
      <c r="R7" s="3406"/>
      <c r="S7" s="3407"/>
      <c r="T7" s="3406"/>
      <c r="U7" s="3407"/>
      <c r="V7" s="3391"/>
      <c r="W7" s="3391"/>
      <c r="X7" s="1566"/>
      <c r="Y7" s="3406"/>
      <c r="Z7" s="3407"/>
      <c r="AA7" s="3394"/>
      <c r="AB7" s="3394"/>
      <c r="AC7" s="3394"/>
    </row>
    <row r="8" spans="1:29" ht="15.75" thickBot="1">
      <c r="A8" s="516"/>
      <c r="B8" s="517"/>
      <c r="C8" s="3410" t="s">
        <v>2920</v>
      </c>
      <c r="D8" s="3411"/>
      <c r="E8" s="3428" t="s">
        <v>2920</v>
      </c>
      <c r="F8" s="3429"/>
      <c r="G8" s="3410" t="s">
        <v>2920</v>
      </c>
      <c r="H8" s="3411"/>
      <c r="I8" s="3410" t="s">
        <v>2920</v>
      </c>
      <c r="J8" s="3411"/>
      <c r="K8" s="513" t="s">
        <v>527</v>
      </c>
      <c r="L8" s="2133"/>
      <c r="M8" s="2134"/>
      <c r="N8" s="2134"/>
      <c r="O8" s="2134"/>
      <c r="P8" s="3402"/>
      <c r="Q8" s="3403"/>
      <c r="R8" s="3406"/>
      <c r="S8" s="3407"/>
      <c r="T8" s="3408"/>
      <c r="U8" s="3409"/>
      <c r="V8" s="3391"/>
      <c r="W8" s="3391"/>
      <c r="X8" s="1566"/>
      <c r="Y8" s="3408"/>
      <c r="Z8" s="3409"/>
      <c r="AA8" s="3395"/>
      <c r="AB8" s="3395"/>
      <c r="AC8" s="3395"/>
    </row>
    <row r="9" spans="1:29" s="1218" customFormat="1" ht="15.75" thickBot="1">
      <c r="A9" s="2912"/>
      <c r="B9" s="2919" t="s">
        <v>528</v>
      </c>
      <c r="C9" s="518">
        <f>'数据-取费表'!B2</f>
        <v>43445</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21" t="s">
        <v>529</v>
      </c>
      <c r="Q9" s="3423"/>
      <c r="R9" s="1567" t="s">
        <v>8</v>
      </c>
      <c r="S9" s="1568">
        <f t="shared" ref="S9:S17" si="0">F9</f>
        <v>0</v>
      </c>
      <c r="T9" s="1567" t="s">
        <v>8</v>
      </c>
      <c r="U9" s="1568">
        <f t="shared" ref="U9:U17" si="1">H9</f>
        <v>0</v>
      </c>
      <c r="V9" s="1567" t="s">
        <v>8</v>
      </c>
      <c r="W9" s="1568">
        <f t="shared" ref="W9:W17" si="2">J9</f>
        <v>0</v>
      </c>
      <c r="X9" s="1569"/>
      <c r="Y9" s="3421" t="s">
        <v>529</v>
      </c>
      <c r="Z9" s="3422"/>
      <c r="AA9" s="1570" t="e">
        <f>D9/F9</f>
        <v>#DIV/0!</v>
      </c>
      <c r="AB9" s="1570" t="e">
        <f>D9/H9</f>
        <v>#DIV/0!</v>
      </c>
      <c r="AC9" s="1570" t="e">
        <f>D9/J9</f>
        <v>#DIV/0!</v>
      </c>
    </row>
    <row r="10" spans="1:29" s="1218" customFormat="1" ht="15.75" thickBot="1">
      <c r="A10" s="2913"/>
      <c r="B10" s="2920"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21" t="s">
        <v>532</v>
      </c>
      <c r="Q10" s="3422"/>
      <c r="R10" s="1567" t="s">
        <v>8</v>
      </c>
      <c r="S10" s="1568">
        <f t="shared" si="0"/>
        <v>0</v>
      </c>
      <c r="T10" s="1567" t="s">
        <v>8</v>
      </c>
      <c r="U10" s="1568">
        <f t="shared" si="1"/>
        <v>0</v>
      </c>
      <c r="V10" s="1567" t="s">
        <v>8</v>
      </c>
      <c r="W10" s="1568">
        <f t="shared" si="2"/>
        <v>0</v>
      </c>
      <c r="X10" s="1569"/>
      <c r="Y10" s="3421" t="s">
        <v>532</v>
      </c>
      <c r="Z10" s="3422"/>
      <c r="AA10" s="1570" t="e">
        <f t="shared" ref="AA10:AA42" si="3">D10/F10</f>
        <v>#DIV/0!</v>
      </c>
      <c r="AB10" s="1570" t="e">
        <f t="shared" ref="AB10:AB42" si="4">D10/H10</f>
        <v>#DIV/0!</v>
      </c>
      <c r="AC10" s="1570" t="e">
        <f t="shared" ref="AC10:AC42" si="5">D10/J10</f>
        <v>#DIV/0!</v>
      </c>
    </row>
    <row r="11" spans="1:29" s="1218" customFormat="1" ht="15">
      <c r="A11" s="2914"/>
      <c r="B11" s="2921" t="s">
        <v>2752</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90" t="s">
        <v>534</v>
      </c>
      <c r="Q11" s="1149" t="str">
        <f t="shared" ref="Q11:Q17" si="6">B11</f>
        <v>用途</v>
      </c>
      <c r="R11" s="1567" t="s">
        <v>8</v>
      </c>
      <c r="S11" s="1568">
        <f t="shared" si="0"/>
        <v>100</v>
      </c>
      <c r="T11" s="1567" t="s">
        <v>8</v>
      </c>
      <c r="U11" s="1568">
        <f t="shared" si="1"/>
        <v>100</v>
      </c>
      <c r="V11" s="1567" t="s">
        <v>8</v>
      </c>
      <c r="W11" s="1568">
        <f t="shared" si="2"/>
        <v>100</v>
      </c>
      <c r="X11" s="1569"/>
      <c r="Y11" s="3336" t="s">
        <v>535</v>
      </c>
      <c r="Z11" s="1148" t="str">
        <f t="shared" ref="Z11:Z17" si="7">Q11</f>
        <v>用途</v>
      </c>
      <c r="AA11" s="1570">
        <f t="shared" si="3"/>
        <v>1</v>
      </c>
      <c r="AB11" s="1570">
        <f t="shared" si="4"/>
        <v>1</v>
      </c>
      <c r="AC11" s="1570">
        <f t="shared" si="5"/>
        <v>1</v>
      </c>
    </row>
    <row r="12" spans="1:29" s="1336" customFormat="1" ht="27">
      <c r="A12" s="2915"/>
      <c r="B12" s="2920" t="s">
        <v>2753</v>
      </c>
      <c r="C12" s="527"/>
      <c r="D12" s="254">
        <v>100</v>
      </c>
      <c r="E12" s="527"/>
      <c r="F12" s="254">
        <f>ROUND(100/'数据-取费表'!G16,0)</f>
        <v>105</v>
      </c>
      <c r="G12" s="527"/>
      <c r="H12" s="254">
        <f>ROUND(100/'数据-取费表'!G16,0)</f>
        <v>105</v>
      </c>
      <c r="I12" s="527"/>
      <c r="J12" s="254">
        <f>ROUND(100/'数据-取费表'!G16,0)</f>
        <v>105</v>
      </c>
      <c r="K12" s="530"/>
      <c r="L12" s="2138"/>
      <c r="M12" s="2178"/>
      <c r="N12" s="2178"/>
      <c r="O12" s="2139"/>
      <c r="P12" s="3390"/>
      <c r="Q12" s="1149" t="str">
        <f t="shared" si="6"/>
        <v>土地使用年限（年）</v>
      </c>
      <c r="R12" s="1567" t="s">
        <v>8</v>
      </c>
      <c r="S12" s="1568">
        <f t="shared" si="0"/>
        <v>105</v>
      </c>
      <c r="T12" s="1567" t="s">
        <v>8</v>
      </c>
      <c r="U12" s="1568">
        <f t="shared" si="1"/>
        <v>105</v>
      </c>
      <c r="V12" s="1567" t="s">
        <v>8</v>
      </c>
      <c r="W12" s="1568">
        <f t="shared" si="2"/>
        <v>105</v>
      </c>
      <c r="X12" s="1569"/>
      <c r="Y12" s="3336"/>
      <c r="Z12" s="1148" t="str">
        <f t="shared" si="7"/>
        <v>土地使用年限（年）</v>
      </c>
      <c r="AA12" s="1570">
        <f t="shared" si="3"/>
        <v>0.95238095238095233</v>
      </c>
      <c r="AB12" s="1570">
        <f t="shared" si="4"/>
        <v>0.95238095238095233</v>
      </c>
      <c r="AC12" s="1570">
        <f t="shared" si="5"/>
        <v>0.95238095238095233</v>
      </c>
    </row>
    <row r="13" spans="1:29" ht="15">
      <c r="A13" s="2916"/>
      <c r="B13" s="2920"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90"/>
      <c r="Q13" s="1149" t="str">
        <f t="shared" si="6"/>
        <v>容积率</v>
      </c>
      <c r="R13" s="1567" t="s">
        <v>8</v>
      </c>
      <c r="S13" s="1568" t="e">
        <f t="shared" si="0"/>
        <v>#N/A</v>
      </c>
      <c r="T13" s="1567" t="s">
        <v>8</v>
      </c>
      <c r="U13" s="1568" t="e">
        <f t="shared" si="1"/>
        <v>#N/A</v>
      </c>
      <c r="V13" s="1567" t="s">
        <v>8</v>
      </c>
      <c r="W13" s="1568" t="e">
        <f t="shared" si="2"/>
        <v>#N/A</v>
      </c>
      <c r="X13" s="1569"/>
      <c r="Y13" s="3336"/>
      <c r="Z13" s="1148" t="str">
        <f t="shared" si="7"/>
        <v>容积率</v>
      </c>
      <c r="AA13" s="1570" t="e">
        <f t="shared" si="3"/>
        <v>#N/A</v>
      </c>
      <c r="AB13" s="1570" t="e">
        <f t="shared" si="4"/>
        <v>#N/A</v>
      </c>
      <c r="AC13" s="1570" t="e">
        <f t="shared" si="5"/>
        <v>#N/A</v>
      </c>
    </row>
    <row r="14" spans="1:29" s="1218" customFormat="1" ht="15">
      <c r="A14" s="2917"/>
      <c r="B14" s="2923">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90"/>
      <c r="Q14" s="1149">
        <f t="shared" si="6"/>
        <v>111</v>
      </c>
      <c r="R14" s="1567" t="s">
        <v>8</v>
      </c>
      <c r="S14" s="1568">
        <f t="shared" si="0"/>
        <v>100</v>
      </c>
      <c r="T14" s="1567" t="s">
        <v>8</v>
      </c>
      <c r="U14" s="1568">
        <f t="shared" si="1"/>
        <v>100</v>
      </c>
      <c r="V14" s="1567" t="s">
        <v>8</v>
      </c>
      <c r="W14" s="1568">
        <f t="shared" si="2"/>
        <v>100</v>
      </c>
      <c r="X14" s="1569"/>
      <c r="Y14" s="3336"/>
      <c r="Z14" s="1148">
        <f t="shared" si="7"/>
        <v>111</v>
      </c>
      <c r="AA14" s="1570">
        <f>D14/F14</f>
        <v>1</v>
      </c>
      <c r="AB14" s="1570">
        <f>D14/H14</f>
        <v>1</v>
      </c>
      <c r="AC14" s="1570">
        <f>D14/J14</f>
        <v>1</v>
      </c>
    </row>
    <row r="15" spans="1:29" ht="15">
      <c r="A15" s="2917"/>
      <c r="B15" s="2923">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90"/>
      <c r="Q15" s="1149">
        <f t="shared" si="6"/>
        <v>111</v>
      </c>
      <c r="R15" s="1567" t="s">
        <v>8</v>
      </c>
      <c r="S15" s="1568">
        <f t="shared" si="0"/>
        <v>100</v>
      </c>
      <c r="T15" s="1567" t="s">
        <v>8</v>
      </c>
      <c r="U15" s="1568">
        <f t="shared" si="1"/>
        <v>100</v>
      </c>
      <c r="V15" s="1567" t="s">
        <v>8</v>
      </c>
      <c r="W15" s="1568">
        <f t="shared" si="2"/>
        <v>100</v>
      </c>
      <c r="X15" s="1569"/>
      <c r="Y15" s="3336"/>
      <c r="Z15" s="1148">
        <f t="shared" si="7"/>
        <v>111</v>
      </c>
      <c r="AA15" s="1570">
        <f t="shared" si="3"/>
        <v>1</v>
      </c>
      <c r="AB15" s="1570">
        <f t="shared" si="4"/>
        <v>1</v>
      </c>
      <c r="AC15" s="1570">
        <f t="shared" si="5"/>
        <v>1</v>
      </c>
    </row>
    <row r="16" spans="1:29" ht="15.75" thickBot="1">
      <c r="A16" s="2918"/>
      <c r="B16" s="2924">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90"/>
      <c r="Q16" s="1149">
        <f t="shared" si="6"/>
        <v>111</v>
      </c>
      <c r="R16" s="1567" t="s">
        <v>8</v>
      </c>
      <c r="S16" s="1568">
        <f t="shared" si="0"/>
        <v>100</v>
      </c>
      <c r="T16" s="1567" t="s">
        <v>8</v>
      </c>
      <c r="U16" s="1568">
        <f t="shared" si="1"/>
        <v>100</v>
      </c>
      <c r="V16" s="1567" t="s">
        <v>8</v>
      </c>
      <c r="W16" s="1568">
        <f t="shared" si="2"/>
        <v>100</v>
      </c>
      <c r="X16" s="1569"/>
      <c r="Y16" s="3336"/>
      <c r="Z16" s="1148">
        <f t="shared" si="7"/>
        <v>111</v>
      </c>
      <c r="AA16" s="1570">
        <f t="shared" si="3"/>
        <v>1</v>
      </c>
      <c r="AB16" s="1570">
        <f t="shared" si="4"/>
        <v>1</v>
      </c>
      <c r="AC16" s="1570">
        <f t="shared" si="5"/>
        <v>1</v>
      </c>
    </row>
    <row r="17" spans="1:29" ht="15">
      <c r="A17" s="2910" t="s">
        <v>2750</v>
      </c>
      <c r="B17" s="166" t="s">
        <v>597</v>
      </c>
      <c r="C17" s="919">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24" t="s">
        <v>539</v>
      </c>
      <c r="Q17" s="1571" t="str">
        <f t="shared" si="6"/>
        <v>产业集聚程度</v>
      </c>
      <c r="R17" s="1572" t="s">
        <v>8</v>
      </c>
      <c r="S17" s="1573">
        <f t="shared" si="0"/>
        <v>100</v>
      </c>
      <c r="T17" s="1572" t="s">
        <v>8</v>
      </c>
      <c r="U17" s="1573">
        <f t="shared" si="1"/>
        <v>100</v>
      </c>
      <c r="V17" s="1572" t="s">
        <v>8</v>
      </c>
      <c r="W17" s="1573">
        <f t="shared" si="2"/>
        <v>100</v>
      </c>
      <c r="X17" s="1566"/>
      <c r="Y17" s="3424" t="s">
        <v>539</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25"/>
      <c r="Q18" s="1571"/>
      <c r="R18" s="1572"/>
      <c r="S18" s="1573"/>
      <c r="T18" s="1572"/>
      <c r="U18" s="1573"/>
      <c r="V18" s="1572"/>
      <c r="W18" s="1573"/>
      <c r="X18" s="1566"/>
      <c r="Y18" s="3425"/>
      <c r="Z18" s="1574"/>
      <c r="AA18" s="1575">
        <v>1</v>
      </c>
      <c r="AB18" s="1575">
        <v>1</v>
      </c>
      <c r="AC18" s="1575">
        <v>1</v>
      </c>
    </row>
    <row r="19" spans="1:29" ht="15">
      <c r="A19" s="531"/>
      <c r="B19" s="870" t="s">
        <v>542</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25"/>
      <c r="Q19" s="1571" t="str">
        <f>B19</f>
        <v>交通便捷度</v>
      </c>
      <c r="R19" s="1572" t="s">
        <v>8</v>
      </c>
      <c r="S19" s="1573">
        <f>F19</f>
        <v>100</v>
      </c>
      <c r="T19" s="1572" t="s">
        <v>8</v>
      </c>
      <c r="U19" s="1573">
        <f>H19</f>
        <v>100</v>
      </c>
      <c r="V19" s="1572" t="s">
        <v>8</v>
      </c>
      <c r="W19" s="1573">
        <f>J19</f>
        <v>100</v>
      </c>
      <c r="X19" s="1566"/>
      <c r="Y19" s="3425"/>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2"/>
      <c r="M20" s="2134"/>
      <c r="N20" s="2134"/>
      <c r="O20" s="2141"/>
      <c r="P20" s="3425"/>
      <c r="Q20" s="1571"/>
      <c r="R20" s="1572"/>
      <c r="S20" s="1573"/>
      <c r="T20" s="1572"/>
      <c r="U20" s="1573"/>
      <c r="V20" s="1572"/>
      <c r="W20" s="1573"/>
      <c r="X20" s="1566"/>
      <c r="Y20" s="3425"/>
      <c r="Z20" s="1574"/>
      <c r="AA20" s="1575">
        <v>1</v>
      </c>
      <c r="AB20" s="1575">
        <v>1</v>
      </c>
      <c r="AC20" s="1575">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2"/>
      <c r="M21" s="2134"/>
      <c r="N21" s="2134"/>
      <c r="O21" s="2141"/>
      <c r="P21" s="3425"/>
      <c r="Q21" s="1571" t="str">
        <f t="shared" ref="Q21:Q35" si="8">B21</f>
        <v>区域土地利用方向</v>
      </c>
      <c r="R21" s="1572" t="s">
        <v>8</v>
      </c>
      <c r="S21" s="1573">
        <f>F21</f>
        <v>100</v>
      </c>
      <c r="T21" s="1572" t="s">
        <v>8</v>
      </c>
      <c r="U21" s="1573">
        <f>H21</f>
        <v>100</v>
      </c>
      <c r="V21" s="1572" t="s">
        <v>8</v>
      </c>
      <c r="W21" s="1573">
        <f>J21</f>
        <v>100</v>
      </c>
      <c r="X21" s="1566"/>
      <c r="Y21" s="3425"/>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2"/>
      <c r="M22" s="2134"/>
      <c r="N22" s="2134"/>
      <c r="O22" s="2141"/>
      <c r="P22" s="3425"/>
      <c r="Q22" s="1571"/>
      <c r="R22" s="1572"/>
      <c r="S22" s="1573"/>
      <c r="T22" s="1572"/>
      <c r="U22" s="1573"/>
      <c r="V22" s="1572"/>
      <c r="W22" s="1573"/>
      <c r="X22" s="1566"/>
      <c r="Y22" s="3425"/>
      <c r="Z22" s="1574"/>
      <c r="AA22" s="1575"/>
      <c r="AB22" s="1575"/>
      <c r="AC22" s="1575"/>
    </row>
    <row r="23" spans="1:29" ht="15">
      <c r="A23" s="514"/>
      <c r="B23" s="920" t="s">
        <v>598</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25"/>
      <c r="Q23" s="1571" t="str">
        <f t="shared" si="8"/>
        <v>环境状况</v>
      </c>
      <c r="R23" s="1572" t="s">
        <v>8</v>
      </c>
      <c r="S23" s="1573">
        <f>F23</f>
        <v>100</v>
      </c>
      <c r="T23" s="1572" t="s">
        <v>8</v>
      </c>
      <c r="U23" s="1573">
        <f>H23</f>
        <v>100</v>
      </c>
      <c r="V23" s="1572" t="s">
        <v>8</v>
      </c>
      <c r="W23" s="1573">
        <f>J23</f>
        <v>100</v>
      </c>
      <c r="X23" s="1566"/>
      <c r="Y23" s="3425"/>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25"/>
      <c r="Q24" s="1571"/>
      <c r="R24" s="1572"/>
      <c r="S24" s="1573"/>
      <c r="T24" s="1572"/>
      <c r="U24" s="1573"/>
      <c r="V24" s="1572"/>
      <c r="W24" s="1573"/>
      <c r="X24" s="1566"/>
      <c r="Y24" s="3425"/>
      <c r="Z24" s="1574"/>
      <c r="AA24" s="1575">
        <v>1</v>
      </c>
      <c r="AB24" s="1575">
        <v>1</v>
      </c>
      <c r="AC24" s="1575">
        <v>1</v>
      </c>
    </row>
    <row r="25" spans="1:29" s="1218" customFormat="1" ht="15">
      <c r="A25" s="576"/>
      <c r="B25" s="2593" t="s">
        <v>2545</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25"/>
      <c r="Q25" s="1149" t="str">
        <f t="shared" si="8"/>
        <v>公共配套设施</v>
      </c>
      <c r="R25" s="1567" t="s">
        <v>8</v>
      </c>
      <c r="S25" s="1568">
        <f>F25</f>
        <v>100</v>
      </c>
      <c r="T25" s="1567" t="s">
        <v>8</v>
      </c>
      <c r="U25" s="1568">
        <f>H25</f>
        <v>100</v>
      </c>
      <c r="V25" s="1567" t="s">
        <v>8</v>
      </c>
      <c r="W25" s="1568">
        <f>J25</f>
        <v>100</v>
      </c>
      <c r="X25" s="1569"/>
      <c r="Y25" s="3425"/>
      <c r="Z25" s="1148" t="str">
        <f>Q25</f>
        <v>公共配套设施</v>
      </c>
      <c r="AA25" s="1575">
        <f>D25/F25</f>
        <v>1</v>
      </c>
      <c r="AB25" s="1575">
        <f>D25/H25</f>
        <v>1</v>
      </c>
      <c r="AC25" s="1575">
        <f>D25/J25</f>
        <v>1</v>
      </c>
    </row>
    <row r="26" spans="1:29" s="1218" customFormat="1" ht="15">
      <c r="A26" s="576"/>
      <c r="B26" s="594"/>
      <c r="C26" s="2592"/>
      <c r="D26" s="554"/>
      <c r="E26" s="553"/>
      <c r="F26" s="554"/>
      <c r="G26" s="553"/>
      <c r="H26" s="554"/>
      <c r="I26" s="575"/>
      <c r="J26" s="554"/>
      <c r="K26" s="530"/>
      <c r="L26" s="2135"/>
      <c r="M26" s="2136"/>
      <c r="N26" s="2136"/>
      <c r="O26" s="2137"/>
      <c r="P26" s="3425"/>
      <c r="Q26" s="1149"/>
      <c r="R26" s="1567"/>
      <c r="S26" s="1568"/>
      <c r="T26" s="1567"/>
      <c r="U26" s="1568"/>
      <c r="V26" s="1567"/>
      <c r="W26" s="1568"/>
      <c r="X26" s="1569"/>
      <c r="Y26" s="3425"/>
      <c r="Z26" s="1148"/>
      <c r="AA26" s="1570">
        <v>1</v>
      </c>
      <c r="AB26" s="1570">
        <v>1</v>
      </c>
      <c r="AC26" s="1570">
        <v>1</v>
      </c>
    </row>
    <row r="27" spans="1:29" s="1218" customFormat="1" ht="15">
      <c r="A27" s="576"/>
      <c r="B27" s="2593" t="s">
        <v>2546</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25"/>
      <c r="Q27" s="2578" t="str">
        <f t="shared" ref="Q27" si="9">B27</f>
        <v>基础设施水平</v>
      </c>
      <c r="R27" s="1567" t="s">
        <v>8</v>
      </c>
      <c r="S27" s="1568">
        <f>F27</f>
        <v>100</v>
      </c>
      <c r="T27" s="1567" t="s">
        <v>8</v>
      </c>
      <c r="U27" s="1568">
        <f>H27</f>
        <v>100</v>
      </c>
      <c r="V27" s="1567" t="s">
        <v>8</v>
      </c>
      <c r="W27" s="1568">
        <f>J27</f>
        <v>100</v>
      </c>
      <c r="X27" s="1569"/>
      <c r="Y27" s="3425"/>
      <c r="Z27" s="2575" t="str">
        <f>Q27</f>
        <v>基础设施水平</v>
      </c>
      <c r="AA27" s="1575">
        <f>D27/F27</f>
        <v>1</v>
      </c>
      <c r="AB27" s="1575">
        <f>D27/H27</f>
        <v>1</v>
      </c>
      <c r="AC27" s="1575">
        <f>D27/J27</f>
        <v>1</v>
      </c>
    </row>
    <row r="28" spans="1:29" s="1218" customFormat="1" ht="15">
      <c r="A28" s="576"/>
      <c r="B28" s="594"/>
      <c r="C28" s="2592"/>
      <c r="D28" s="554"/>
      <c r="E28" s="578"/>
      <c r="F28" s="554"/>
      <c r="G28" s="578"/>
      <c r="H28" s="554"/>
      <c r="I28" s="578"/>
      <c r="J28" s="554"/>
      <c r="K28" s="530"/>
      <c r="L28" s="2135"/>
      <c r="M28" s="2136"/>
      <c r="N28" s="2136"/>
      <c r="O28" s="2137"/>
      <c r="P28" s="3425"/>
      <c r="Q28" s="2578"/>
      <c r="R28" s="1567"/>
      <c r="S28" s="1568"/>
      <c r="T28" s="1567"/>
      <c r="U28" s="1568"/>
      <c r="V28" s="1567"/>
      <c r="W28" s="1568"/>
      <c r="X28" s="1569"/>
      <c r="Y28" s="3425"/>
      <c r="Z28" s="2575"/>
      <c r="AA28" s="1570">
        <v>1</v>
      </c>
      <c r="AB28" s="1570">
        <v>1</v>
      </c>
      <c r="AC28" s="1570">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2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5"/>
      <c r="Z29" s="1574" t="str">
        <f t="shared" ref="Z29:Z42" si="13">Q29</f>
        <v>临街状况</v>
      </c>
      <c r="AA29" s="1575">
        <f t="shared" si="3"/>
        <v>1</v>
      </c>
      <c r="AB29" s="1575">
        <f t="shared" si="4"/>
        <v>1</v>
      </c>
      <c r="AC29" s="1575">
        <f t="shared" si="5"/>
        <v>1</v>
      </c>
    </row>
    <row r="30" spans="1:29" ht="27">
      <c r="A30" s="531"/>
      <c r="B30" s="920" t="s">
        <v>547</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25"/>
      <c r="Q30" s="1571" t="str">
        <f t="shared" si="8"/>
        <v>毗邻道路的类型与等级</v>
      </c>
      <c r="R30" s="1572" t="s">
        <v>8</v>
      </c>
      <c r="S30" s="1573">
        <f t="shared" si="10"/>
        <v>100</v>
      </c>
      <c r="T30" s="1572" t="s">
        <v>8</v>
      </c>
      <c r="U30" s="1573">
        <f t="shared" si="11"/>
        <v>100</v>
      </c>
      <c r="V30" s="1572" t="s">
        <v>8</v>
      </c>
      <c r="W30" s="1573">
        <f t="shared" si="12"/>
        <v>100</v>
      </c>
      <c r="X30" s="1566"/>
      <c r="Y30" s="3425"/>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25"/>
      <c r="Q31" s="1571"/>
      <c r="R31" s="1572"/>
      <c r="S31" s="1573"/>
      <c r="T31" s="1572"/>
      <c r="U31" s="1573"/>
      <c r="V31" s="1572"/>
      <c r="W31" s="1573"/>
      <c r="X31" s="1566"/>
      <c r="Y31" s="3425"/>
      <c r="Z31" s="1574"/>
      <c r="AA31" s="1575">
        <v>1</v>
      </c>
      <c r="AB31" s="1575">
        <v>1</v>
      </c>
      <c r="AC31" s="1575">
        <v>1</v>
      </c>
    </row>
    <row r="32" spans="1:29" ht="15">
      <c r="A32" s="531"/>
      <c r="B32" s="526" t="s">
        <v>548</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25"/>
      <c r="Q32" s="1571" t="str">
        <f t="shared" si="8"/>
        <v>土地级别</v>
      </c>
      <c r="R32" s="1572" t="s">
        <v>8</v>
      </c>
      <c r="S32" s="1573">
        <f t="shared" si="10"/>
        <v>100</v>
      </c>
      <c r="T32" s="1572" t="s">
        <v>8</v>
      </c>
      <c r="U32" s="1573">
        <f t="shared" si="11"/>
        <v>100</v>
      </c>
      <c r="V32" s="1572" t="s">
        <v>8</v>
      </c>
      <c r="W32" s="1573">
        <f t="shared" si="12"/>
        <v>100</v>
      </c>
      <c r="X32" s="1566"/>
      <c r="Y32" s="3425"/>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25"/>
      <c r="Q33" s="1571">
        <f t="shared" si="8"/>
        <v>111</v>
      </c>
      <c r="R33" s="1572" t="s">
        <v>8</v>
      </c>
      <c r="S33" s="1573">
        <f t="shared" si="10"/>
        <v>100</v>
      </c>
      <c r="T33" s="1572" t="s">
        <v>8</v>
      </c>
      <c r="U33" s="1573">
        <f t="shared" si="11"/>
        <v>100</v>
      </c>
      <c r="V33" s="1572" t="s">
        <v>8</v>
      </c>
      <c r="W33" s="1573">
        <f t="shared" si="12"/>
        <v>100</v>
      </c>
      <c r="X33" s="1566"/>
      <c r="Y33" s="3425"/>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26" t="s">
        <v>549</v>
      </c>
      <c r="Q34" s="1571">
        <f t="shared" si="8"/>
        <v>111</v>
      </c>
      <c r="R34" s="1572" t="s">
        <v>8</v>
      </c>
      <c r="S34" s="1573">
        <f t="shared" si="10"/>
        <v>100</v>
      </c>
      <c r="T34" s="1572" t="s">
        <v>8</v>
      </c>
      <c r="U34" s="1573">
        <f t="shared" si="11"/>
        <v>100</v>
      </c>
      <c r="V34" s="1572" t="s">
        <v>8</v>
      </c>
      <c r="W34" s="1573">
        <f t="shared" si="12"/>
        <v>100</v>
      </c>
      <c r="X34" s="1566"/>
      <c r="Y34" s="3427" t="s">
        <v>549</v>
      </c>
      <c r="Z34" s="1574">
        <f t="shared" si="13"/>
        <v>111</v>
      </c>
      <c r="AA34" s="1575">
        <f t="shared" si="3"/>
        <v>1</v>
      </c>
      <c r="AB34" s="1575">
        <f t="shared" si="4"/>
        <v>1</v>
      </c>
      <c r="AC34" s="1575">
        <f t="shared" si="5"/>
        <v>1</v>
      </c>
    </row>
    <row r="35" spans="1:29" s="1337" customFormat="1" ht="15.75" thickBot="1">
      <c r="A35" s="588"/>
      <c r="B35" s="259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27"/>
      <c r="Q35" s="1571">
        <f t="shared" si="8"/>
        <v>111</v>
      </c>
      <c r="R35" s="1576" t="s">
        <v>8</v>
      </c>
      <c r="S35" s="1577">
        <f t="shared" si="10"/>
        <v>100</v>
      </c>
      <c r="T35" s="1576" t="s">
        <v>8</v>
      </c>
      <c r="U35" s="1577">
        <f t="shared" si="11"/>
        <v>100</v>
      </c>
      <c r="V35" s="1576" t="s">
        <v>8</v>
      </c>
      <c r="W35" s="1577">
        <f t="shared" si="12"/>
        <v>100</v>
      </c>
      <c r="X35" s="1578"/>
      <c r="Y35" s="3427"/>
      <c r="Z35" s="1579">
        <f t="shared" si="13"/>
        <v>111</v>
      </c>
      <c r="AA35" s="1575">
        <f t="shared" si="3"/>
        <v>1</v>
      </c>
      <c r="AB35" s="1575">
        <f t="shared" si="4"/>
        <v>1</v>
      </c>
      <c r="AC35" s="1575">
        <f t="shared" si="5"/>
        <v>1</v>
      </c>
    </row>
    <row r="36" spans="1:29" ht="15">
      <c r="A36" s="2907" t="s">
        <v>2751</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27"/>
      <c r="Q36" s="1571" t="str">
        <f>B36</f>
        <v>宗地面积</v>
      </c>
      <c r="R36" s="1572" t="s">
        <v>8</v>
      </c>
      <c r="S36" s="1573" t="e">
        <f t="shared" si="10"/>
        <v>#N/A</v>
      </c>
      <c r="T36" s="1572" t="s">
        <v>8</v>
      </c>
      <c r="U36" s="1573" t="e">
        <f t="shared" si="11"/>
        <v>#N/A</v>
      </c>
      <c r="V36" s="1572" t="s">
        <v>8</v>
      </c>
      <c r="W36" s="1573" t="e">
        <f t="shared" si="12"/>
        <v>#N/A</v>
      </c>
      <c r="X36" s="1566"/>
      <c r="Y36" s="3427"/>
      <c r="Z36" s="1574" t="str">
        <f t="shared" si="13"/>
        <v>宗地面积</v>
      </c>
      <c r="AA36" s="1575" t="e">
        <f t="shared" si="3"/>
        <v>#N/A</v>
      </c>
      <c r="AB36" s="1575" t="e">
        <f t="shared" si="4"/>
        <v>#N/A</v>
      </c>
      <c r="AC36" s="1575"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27"/>
      <c r="Q37" s="1571" t="str">
        <f t="shared" ref="Q37:Q42" si="14">B37</f>
        <v>宗地形状</v>
      </c>
      <c r="R37" s="1572" t="s">
        <v>8</v>
      </c>
      <c r="S37" s="1573">
        <f t="shared" si="10"/>
        <v>100</v>
      </c>
      <c r="T37" s="1572" t="s">
        <v>8</v>
      </c>
      <c r="U37" s="1573">
        <f t="shared" si="11"/>
        <v>100</v>
      </c>
      <c r="V37" s="1572" t="s">
        <v>8</v>
      </c>
      <c r="W37" s="1573">
        <f t="shared" si="12"/>
        <v>100</v>
      </c>
      <c r="X37" s="1566"/>
      <c r="Y37" s="3427"/>
      <c r="Z37" s="1574" t="str">
        <f t="shared" si="13"/>
        <v>宗地形状</v>
      </c>
      <c r="AA37" s="1575">
        <f t="shared" si="3"/>
        <v>1</v>
      </c>
      <c r="AB37" s="1575">
        <f t="shared" si="4"/>
        <v>1</v>
      </c>
      <c r="AC37" s="1575">
        <f t="shared" si="5"/>
        <v>1</v>
      </c>
    </row>
    <row r="38" spans="1:29" s="1218" customFormat="1" ht="15">
      <c r="A38" s="599"/>
      <c r="B38" s="1895"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27"/>
      <c r="Q38" s="1571" t="str">
        <f t="shared" si="14"/>
        <v>宗地开发程度</v>
      </c>
      <c r="R38" s="1567" t="s">
        <v>8</v>
      </c>
      <c r="S38" s="1568">
        <f t="shared" si="10"/>
        <v>100</v>
      </c>
      <c r="T38" s="1567" t="s">
        <v>8</v>
      </c>
      <c r="U38" s="1568">
        <f t="shared" si="11"/>
        <v>100</v>
      </c>
      <c r="V38" s="1567" t="s">
        <v>8</v>
      </c>
      <c r="W38" s="1568">
        <f t="shared" si="12"/>
        <v>100</v>
      </c>
      <c r="X38" s="1569"/>
      <c r="Y38" s="3427"/>
      <c r="Z38" s="1148" t="str">
        <f t="shared" si="13"/>
        <v>宗地开发程度</v>
      </c>
      <c r="AA38" s="1570">
        <f t="shared" si="3"/>
        <v>1</v>
      </c>
      <c r="AB38" s="1570">
        <f t="shared" si="4"/>
        <v>1</v>
      </c>
      <c r="AC38" s="1570">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27" t="s">
        <v>600</v>
      </c>
      <c r="Q39" s="1571" t="str">
        <f t="shared" si="14"/>
        <v>工程地质条件</v>
      </c>
      <c r="R39" s="1572" t="s">
        <v>8</v>
      </c>
      <c r="S39" s="1573">
        <f t="shared" si="10"/>
        <v>100</v>
      </c>
      <c r="T39" s="1572" t="s">
        <v>8</v>
      </c>
      <c r="U39" s="1573">
        <f t="shared" si="11"/>
        <v>100</v>
      </c>
      <c r="V39" s="1572" t="s">
        <v>8</v>
      </c>
      <c r="W39" s="1573">
        <f t="shared" si="12"/>
        <v>100</v>
      </c>
      <c r="X39" s="1566"/>
      <c r="Y39" s="3427" t="s">
        <v>600</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27"/>
      <c r="Q40" s="1571">
        <f t="shared" si="14"/>
        <v>111</v>
      </c>
      <c r="R40" s="1572" t="s">
        <v>8</v>
      </c>
      <c r="S40" s="1573">
        <f t="shared" si="10"/>
        <v>100</v>
      </c>
      <c r="T40" s="1572" t="s">
        <v>8</v>
      </c>
      <c r="U40" s="1573">
        <f t="shared" si="11"/>
        <v>100</v>
      </c>
      <c r="V40" s="1572" t="s">
        <v>8</v>
      </c>
      <c r="W40" s="1573">
        <f t="shared" si="12"/>
        <v>100</v>
      </c>
      <c r="X40" s="1566"/>
      <c r="Y40" s="3427"/>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27"/>
      <c r="Q41" s="1571">
        <f t="shared" si="14"/>
        <v>111</v>
      </c>
      <c r="R41" s="1572" t="s">
        <v>8</v>
      </c>
      <c r="S41" s="1573">
        <f t="shared" si="10"/>
        <v>100</v>
      </c>
      <c r="T41" s="1572" t="s">
        <v>8</v>
      </c>
      <c r="U41" s="1573">
        <f t="shared" si="11"/>
        <v>100</v>
      </c>
      <c r="V41" s="1572" t="s">
        <v>8</v>
      </c>
      <c r="W41" s="1573">
        <f t="shared" si="12"/>
        <v>100</v>
      </c>
      <c r="X41" s="1566"/>
      <c r="Y41" s="3427"/>
      <c r="Z41" s="1574">
        <f t="shared" si="13"/>
        <v>111</v>
      </c>
      <c r="AA41" s="1575">
        <f t="shared" si="3"/>
        <v>1</v>
      </c>
      <c r="AB41" s="1575">
        <f t="shared" si="4"/>
        <v>1</v>
      </c>
      <c r="AC41" s="1575">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27"/>
      <c r="Q42" s="1571">
        <f t="shared" si="14"/>
        <v>111</v>
      </c>
      <c r="R42" s="1576" t="s">
        <v>8</v>
      </c>
      <c r="S42" s="1577">
        <f t="shared" si="10"/>
        <v>100</v>
      </c>
      <c r="T42" s="1576" t="s">
        <v>8</v>
      </c>
      <c r="U42" s="1577">
        <f t="shared" si="11"/>
        <v>100</v>
      </c>
      <c r="V42" s="1576" t="s">
        <v>8</v>
      </c>
      <c r="W42" s="1577">
        <f t="shared" si="12"/>
        <v>100</v>
      </c>
      <c r="X42" s="1578"/>
      <c r="Y42" s="3427"/>
      <c r="Z42" s="1579">
        <f t="shared" si="13"/>
        <v>111</v>
      </c>
      <c r="AA42" s="1575">
        <f t="shared" si="3"/>
        <v>1</v>
      </c>
      <c r="AB42" s="1575">
        <f t="shared" si="4"/>
        <v>1</v>
      </c>
      <c r="AC42" s="1575">
        <f t="shared" si="5"/>
        <v>1</v>
      </c>
    </row>
    <row r="43" spans="1:29" ht="15">
      <c r="A43" s="606" t="s">
        <v>555</v>
      </c>
      <c r="B43" s="607" t="s">
        <v>2921</v>
      </c>
      <c r="C43" s="608" t="s">
        <v>1</v>
      </c>
      <c r="D43" s="609"/>
      <c r="E43" s="610"/>
      <c r="F43" s="611"/>
      <c r="G43" s="612"/>
      <c r="H43" s="613"/>
      <c r="I43" s="610"/>
      <c r="J43" s="613"/>
      <c r="K43" s="1338"/>
      <c r="L43" s="2144"/>
      <c r="M43" s="2134"/>
      <c r="N43" s="2134"/>
      <c r="O43" s="2145"/>
      <c r="P43" s="3390" t="str">
        <f>A43</f>
        <v>成交单价</v>
      </c>
      <c r="Q43" s="3390"/>
      <c r="R43" s="3391">
        <f>E43</f>
        <v>0</v>
      </c>
      <c r="S43" s="3391"/>
      <c r="T43" s="3391">
        <f>G43</f>
        <v>0</v>
      </c>
      <c r="U43" s="3391"/>
      <c r="V43" s="3391">
        <f>I43</f>
        <v>0</v>
      </c>
      <c r="W43" s="3391"/>
      <c r="X43" s="1558"/>
      <c r="Y43" s="1580"/>
      <c r="Z43" s="1558"/>
      <c r="AA43" s="1558"/>
      <c r="AB43" s="1558"/>
      <c r="AC43" s="1558"/>
    </row>
    <row r="44" spans="1:29" ht="15.75" thickBot="1">
      <c r="A44" s="614" t="s">
        <v>2689</v>
      </c>
      <c r="B44" s="615"/>
      <c r="C44" s="616" t="e">
        <f>R45</f>
        <v>#DIV/0!</v>
      </c>
      <c r="D44" s="617"/>
      <c r="E44" s="616" t="e">
        <f>R44</f>
        <v>#DIV/0!</v>
      </c>
      <c r="F44" s="618"/>
      <c r="G44" s="619" t="e">
        <f>T44</f>
        <v>#DIV/0!</v>
      </c>
      <c r="H44" s="617"/>
      <c r="I44" s="616" t="e">
        <f>V44</f>
        <v>#DIV/0!</v>
      </c>
      <c r="J44" s="617"/>
      <c r="K44" s="1339"/>
      <c r="L44" s="2144"/>
      <c r="M44" s="2134"/>
      <c r="N44" s="2134"/>
      <c r="O44" s="2145"/>
      <c r="P44" s="3390" t="str">
        <f>A44</f>
        <v>比较价格（元/平方米）</v>
      </c>
      <c r="Q44" s="3390"/>
      <c r="R44" s="3392" t="e">
        <f>ROUND(PRODUCT(R43,AA9:AA42),0)</f>
        <v>#DIV/0!</v>
      </c>
      <c r="S44" s="3392"/>
      <c r="T44" s="3392" t="e">
        <f>ROUND(PRODUCT(T43,AB9:AB42),0)</f>
        <v>#DIV/0!</v>
      </c>
      <c r="U44" s="3392"/>
      <c r="V44" s="3392" t="e">
        <f>ROUND(PRODUCT(V43,AC9:AC42),0)</f>
        <v>#DIV/0!</v>
      </c>
      <c r="W44" s="3392"/>
      <c r="X44" s="1558"/>
      <c r="Y44" s="1558"/>
      <c r="Z44" s="1558"/>
      <c r="AA44" s="1558"/>
      <c r="AB44" s="1558"/>
      <c r="AC44" s="1558"/>
    </row>
    <row r="45" spans="1:29" ht="15.75" thickBot="1">
      <c r="A45" s="620" t="s">
        <v>2922</v>
      </c>
      <c r="B45" s="621"/>
      <c r="C45" s="622" t="e">
        <f>R45</f>
        <v>#DIV/0!</v>
      </c>
      <c r="D45" s="622"/>
      <c r="E45" s="622"/>
      <c r="F45" s="622"/>
      <c r="G45" s="622"/>
      <c r="H45" s="622"/>
      <c r="I45" s="622"/>
      <c r="J45" s="622"/>
      <c r="K45" s="1340"/>
      <c r="L45" s="2144"/>
      <c r="M45" s="2134"/>
      <c r="N45" s="2134"/>
      <c r="O45" s="2145"/>
      <c r="P45" s="3387" t="str">
        <f>A45</f>
        <v>估价对象XX用房的比较价格（楼面单价，元/平方米）</v>
      </c>
      <c r="Q45" s="3388"/>
      <c r="R45" s="3389" t="e">
        <f>ROUND(AVERAGE(R44:V44),0)</f>
        <v>#DIV/0!</v>
      </c>
      <c r="S45" s="3389"/>
      <c r="T45" s="3389"/>
      <c r="U45" s="3389"/>
      <c r="V45" s="3389"/>
      <c r="W45" s="3389"/>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559</v>
      </c>
      <c r="B52" s="629" t="s">
        <v>560</v>
      </c>
      <c r="C52" s="1559" t="s">
        <v>1724</v>
      </c>
      <c r="D52" s="2227" t="s">
        <v>2293</v>
      </c>
      <c r="E52" s="630" t="s">
        <v>561</v>
      </c>
      <c r="F52" s="1951" t="s">
        <v>562</v>
      </c>
      <c r="G52" s="3434" t="s">
        <v>2284</v>
      </c>
      <c r="H52" s="3435"/>
      <c r="I52" s="1952" t="s">
        <v>1947</v>
      </c>
      <c r="J52" s="1554" t="str">
        <f>项目基本情况!F41</f>
        <v>江苏省镇江市</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2" t="s">
        <v>563</v>
      </c>
      <c r="B53" s="633" t="e">
        <f>C45</f>
        <v>#DIV/0!</v>
      </c>
      <c r="C53" s="634">
        <v>1</v>
      </c>
      <c r="D53" s="2228">
        <v>1</v>
      </c>
      <c r="E53" s="634">
        <f>'数据-汇总表'!E8+'数据-汇总表'!E9</f>
        <v>412380.85000000003</v>
      </c>
      <c r="F53" s="1950" t="e">
        <f t="shared" ref="F53:F62" si="15">ROUND(B53*E53/10000,0)</f>
        <v>#DIV/0!</v>
      </c>
      <c r="G53" s="3436"/>
      <c r="H53" s="3437"/>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6" t="s">
        <v>564</v>
      </c>
      <c r="B54" s="637" t="e">
        <f>ROUND($C$45*C54*D54,0)</f>
        <v>#DIV/0!</v>
      </c>
      <c r="C54" s="377">
        <f t="shared" ref="C54:C62" si="16">IF($C$52="北京市系数",I54,J54)</f>
        <v>0</v>
      </c>
      <c r="D54" s="2229">
        <v>0.25</v>
      </c>
      <c r="E54" s="638"/>
      <c r="F54" s="1950" t="e">
        <f t="shared" si="15"/>
        <v>#DIV/0!</v>
      </c>
      <c r="G54" s="3438"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6" t="s">
        <v>565</v>
      </c>
      <c r="B55" s="637" t="e">
        <f t="shared" ref="B55:B62" si="17">ROUND($C$45*C55*D55,0)</f>
        <v>#DIV/0!</v>
      </c>
      <c r="C55" s="377">
        <f t="shared" si="16"/>
        <v>0</v>
      </c>
      <c r="D55" s="2229">
        <v>0.25</v>
      </c>
      <c r="E55" s="638"/>
      <c r="F55" s="1950" t="e">
        <f t="shared" si="15"/>
        <v>#DIV/0!</v>
      </c>
      <c r="G55" s="3438"/>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6" t="s">
        <v>566</v>
      </c>
      <c r="B56" s="637" t="e">
        <f t="shared" si="17"/>
        <v>#DIV/0!</v>
      </c>
      <c r="C56" s="377">
        <f t="shared" si="16"/>
        <v>0</v>
      </c>
      <c r="D56" s="2229">
        <v>0.25</v>
      </c>
      <c r="E56" s="638"/>
      <c r="F56" s="1950" t="e">
        <f t="shared" si="15"/>
        <v>#DIV/0!</v>
      </c>
      <c r="G56" s="3438"/>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6" t="s">
        <v>567</v>
      </c>
      <c r="B57" s="637" t="e">
        <f t="shared" si="17"/>
        <v>#DIV/0!</v>
      </c>
      <c r="C57" s="377">
        <f t="shared" si="16"/>
        <v>0</v>
      </c>
      <c r="D57" s="2229">
        <v>0.25</v>
      </c>
      <c r="E57" s="638"/>
      <c r="F57" s="1950" t="e">
        <f t="shared" si="15"/>
        <v>#DIV/0!</v>
      </c>
      <c r="G57" s="3438"/>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2327</v>
      </c>
      <c r="B58" s="637" t="e">
        <f t="shared" si="17"/>
        <v>#DIV/0!</v>
      </c>
      <c r="C58" s="377">
        <f t="shared" si="16"/>
        <v>0</v>
      </c>
      <c r="D58" s="2229">
        <v>0.25</v>
      </c>
      <c r="E58" s="640">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568</v>
      </c>
      <c r="B59" s="637" t="e">
        <f t="shared" si="17"/>
        <v>#DIV/0!</v>
      </c>
      <c r="C59" s="377">
        <f t="shared" si="16"/>
        <v>0</v>
      </c>
      <c r="D59" s="2229">
        <v>0.25</v>
      </c>
      <c r="E59" s="640">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569</v>
      </c>
      <c r="B60" s="637" t="e">
        <f t="shared" si="17"/>
        <v>#DIV/0!</v>
      </c>
      <c r="C60" s="377">
        <f t="shared" si="16"/>
        <v>0</v>
      </c>
      <c r="D60" s="2229">
        <v>0.25</v>
      </c>
      <c r="E60" s="640">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570</v>
      </c>
      <c r="B61" s="637" t="e">
        <f t="shared" si="17"/>
        <v>#DIV/0!</v>
      </c>
      <c r="C61" s="377">
        <f t="shared" si="16"/>
        <v>0</v>
      </c>
      <c r="D61" s="2229">
        <v>0.25</v>
      </c>
      <c r="E61" s="640">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6" t="s">
        <v>571</v>
      </c>
      <c r="B62" s="637" t="e">
        <f t="shared" si="17"/>
        <v>#DIV/0!</v>
      </c>
      <c r="C62" s="377">
        <f t="shared" si="16"/>
        <v>0</v>
      </c>
      <c r="D62" s="2229">
        <v>0.25</v>
      </c>
      <c r="E62" s="640">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1" t="s">
        <v>572</v>
      </c>
      <c r="B63" s="642" t="s">
        <v>17</v>
      </c>
      <c r="C63" s="642" t="s">
        <v>18</v>
      </c>
      <c r="D63" s="642" t="s">
        <v>2294</v>
      </c>
      <c r="E63" s="642">
        <f>IF(B43="楼面地价",SUM(E53:E62),'数据-汇总表'!D3)</f>
        <v>117823.1</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2018-12-1</v>
      </c>
      <c r="D65" s="2799">
        <f>EDATE(C65,-3)</f>
        <v>43344</v>
      </c>
      <c r="E65" s="2799">
        <f t="shared" ref="E65:N65" si="18">EDATE(D65,-3)</f>
        <v>43252</v>
      </c>
      <c r="F65" s="2799">
        <f t="shared" si="18"/>
        <v>43160</v>
      </c>
      <c r="G65" s="2799">
        <f t="shared" si="18"/>
        <v>43070</v>
      </c>
      <c r="H65" s="2799">
        <f t="shared" si="18"/>
        <v>42979</v>
      </c>
      <c r="I65" s="2799">
        <f t="shared" si="18"/>
        <v>42887</v>
      </c>
      <c r="J65" s="2799">
        <f t="shared" si="18"/>
        <v>42795</v>
      </c>
      <c r="K65" s="2799">
        <f t="shared" si="18"/>
        <v>42705</v>
      </c>
      <c r="L65" s="2799">
        <f t="shared" si="18"/>
        <v>42614</v>
      </c>
      <c r="M65" s="2799">
        <f t="shared" si="18"/>
        <v>42522</v>
      </c>
      <c r="N65" s="2799">
        <f t="shared" si="18"/>
        <v>42430</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68" t="s">
        <v>2530</v>
      </c>
      <c r="B67" s="645"/>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18" customFormat="1" ht="27.75" customHeight="1">
      <c r="A68" s="2798" t="s">
        <v>2645</v>
      </c>
      <c r="B68" s="478" t="str">
        <f>"北京市平均增长率"&amp;TEXT(基准地价!P24,"0.00%")</f>
        <v>北京市平均增长率1.42%</v>
      </c>
      <c r="C68" s="892">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8" customFormat="1" ht="15.75" thickBot="1">
      <c r="A69" s="652" t="s">
        <v>574</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8" customFormat="1" ht="15">
      <c r="A70" s="658" t="s">
        <v>530</v>
      </c>
      <c r="B70" s="647"/>
      <c r="C70" s="659" t="s">
        <v>575</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576</v>
      </c>
      <c r="B72" s="664" t="s">
        <v>533</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536</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538</v>
      </c>
      <c r="B85" s="664" t="s">
        <v>601</v>
      </c>
      <c r="C85" s="702" t="s">
        <v>578</v>
      </c>
      <c r="D85" s="702" t="s">
        <v>579</v>
      </c>
      <c r="E85" s="702" t="s">
        <v>580</v>
      </c>
      <c r="F85" s="702" t="s">
        <v>581</v>
      </c>
      <c r="G85" s="702" t="s">
        <v>582</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585</v>
      </c>
      <c r="C87" s="707" t="s">
        <v>578</v>
      </c>
      <c r="D87" s="707" t="s">
        <v>579</v>
      </c>
      <c r="E87" s="707" t="s">
        <v>580</v>
      </c>
      <c r="F87" s="707" t="s">
        <v>581</v>
      </c>
      <c r="G87" s="707" t="s">
        <v>582</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8"/>
      <c r="B89" s="672" t="s">
        <v>586</v>
      </c>
      <c r="C89" s="707" t="s">
        <v>578</v>
      </c>
      <c r="D89" s="707" t="s">
        <v>579</v>
      </c>
      <c r="E89" s="707" t="s">
        <v>580</v>
      </c>
      <c r="F89" s="707" t="s">
        <v>581</v>
      </c>
      <c r="G89" s="707" t="s">
        <v>582</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8"/>
      <c r="B91" s="672" t="s">
        <v>587</v>
      </c>
      <c r="C91" s="702" t="s">
        <v>578</v>
      </c>
      <c r="D91" s="702" t="s">
        <v>579</v>
      </c>
      <c r="E91" s="702" t="s">
        <v>580</v>
      </c>
      <c r="F91" s="702" t="s">
        <v>581</v>
      </c>
      <c r="G91" s="702" t="s">
        <v>582</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6"/>
      <c r="B93" s="1896" t="s">
        <v>2545</v>
      </c>
      <c r="C93" s="702" t="s">
        <v>578</v>
      </c>
      <c r="D93" s="702" t="s">
        <v>579</v>
      </c>
      <c r="E93" s="702" t="s">
        <v>580</v>
      </c>
      <c r="F93" s="702" t="s">
        <v>581</v>
      </c>
      <c r="G93" s="702" t="s">
        <v>582</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6"/>
      <c r="B95" s="2597" t="s">
        <v>2547</v>
      </c>
      <c r="C95" s="2598" t="s">
        <v>2548</v>
      </c>
      <c r="D95" s="2598" t="s">
        <v>2549</v>
      </c>
      <c r="E95" s="2598" t="s">
        <v>2550</v>
      </c>
      <c r="F95" s="2598" t="s">
        <v>2551</v>
      </c>
      <c r="G95" s="2598" t="s">
        <v>2552</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588</v>
      </c>
      <c r="D97" s="673" t="s">
        <v>589</v>
      </c>
      <c r="E97" s="673" t="s">
        <v>590</v>
      </c>
      <c r="F97" s="673" t="s">
        <v>591</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547</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548</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593</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7"/>
      <c r="B114" s="1896" t="s">
        <v>2423</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595</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2424</v>
      </c>
      <c r="D1" s="1520">
        <f>SUM(D29:D30,D33:D39)</f>
        <v>0</v>
      </c>
      <c r="E1" s="1405" t="s">
        <v>2425</v>
      </c>
      <c r="F1" s="2452"/>
      <c r="G1" s="1400"/>
      <c r="H1" s="1400"/>
      <c r="I1" s="1400"/>
      <c r="J1" s="1400"/>
      <c r="K1" s="1400"/>
      <c r="L1" s="1882" t="s">
        <v>2238</v>
      </c>
      <c r="M1" s="1883">
        <f>SUMPRODUCT((区片价!B5:B9=I2)*(区片价!C3:F3=E2)*(区片价!C5:F9))</f>
        <v>0</v>
      </c>
      <c r="N1" s="1884">
        <f>SUMPRODUCT((因素修正幅度!B5:B9=I2)*(因素修正幅度!C3:F3=E2)*(因素修正幅度!C5:F9))</f>
        <v>0</v>
      </c>
      <c r="O1" s="2189"/>
      <c r="P1" s="2189"/>
      <c r="Q1" s="2189"/>
      <c r="R1" s="2936" t="s">
        <v>2758</v>
      </c>
      <c r="S1" s="2936" t="s">
        <v>2759</v>
      </c>
      <c r="T1" s="2936" t="s">
        <v>2780</v>
      </c>
      <c r="U1" s="2936" t="s">
        <v>2781</v>
      </c>
      <c r="V1" s="2936" t="s">
        <v>2782</v>
      </c>
      <c r="W1" s="2189"/>
      <c r="X1" s="2189"/>
      <c r="Y1" s="2189"/>
      <c r="Z1" s="2189"/>
      <c r="AA1" s="2189"/>
      <c r="AB1" s="2189"/>
      <c r="AC1" s="2190"/>
    </row>
    <row r="2" spans="1:39" ht="15.75">
      <c r="A2" s="1405" t="s">
        <v>919</v>
      </c>
      <c r="B2" s="1036"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2239</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1687</v>
      </c>
      <c r="B3" s="1036" t="e">
        <f>ROUND(B2*10000/D1,0)</f>
        <v>#DIV/0!</v>
      </c>
      <c r="C3" s="1406" t="s">
        <v>926</v>
      </c>
      <c r="D3" s="1407" t="s">
        <v>927</v>
      </c>
      <c r="E3" s="1411"/>
      <c r="F3" s="1412" t="s">
        <v>2923</v>
      </c>
      <c r="G3" s="1037">
        <f>IF(F3="宗地容积率",'数据-汇总表'!I4,IF(F3="估价对象容积率",'数据-汇总表'!I6,'数据-汇总表'!I7))</f>
        <v>3.5</v>
      </c>
      <c r="H3" s="1413" t="s">
        <v>928</v>
      </c>
      <c r="I3" s="1038">
        <v>8</v>
      </c>
      <c r="J3" s="1409" t="s">
        <v>929</v>
      </c>
      <c r="K3" s="1400"/>
      <c r="L3" s="1885" t="s">
        <v>2240</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2280</v>
      </c>
      <c r="B4" s="2453" t="e">
        <f>ROUND(B2*10000/F1,0)</f>
        <v>#DIV/0!</v>
      </c>
      <c r="C4" s="1894" t="s">
        <v>2254</v>
      </c>
      <c r="D4" s="1894" t="e">
        <f>ROUND(B2/(F1/666.67),0)</f>
        <v>#DIV/0!</v>
      </c>
      <c r="E4" s="1894" t="s">
        <v>2255</v>
      </c>
      <c r="F4" s="1892"/>
      <c r="G4" s="1892"/>
      <c r="H4" s="1892"/>
      <c r="I4" s="1892"/>
      <c r="J4" s="1893"/>
      <c r="K4" s="1400"/>
      <c r="L4" s="1885" t="s">
        <v>2241</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1823</v>
      </c>
      <c r="B5" s="1414" t="s">
        <v>930</v>
      </c>
      <c r="C5" s="1039" t="e">
        <f>ROUND(IF(E2="商业",IF(F16="增加",C6*C7+C16,C6*C7-C16),IF(E2="住宅",IF(F16="增加",C6*C12+C16,C6*C12-C16),IF(F16="增加",C6+C16,C6-C16))),0)</f>
        <v>#DIV/0!</v>
      </c>
      <c r="D5" s="3121">
        <f>ROUND(IF(E2="商业",IF(F16="增加",C6+C16,C6-C16)),0)</f>
        <v>0</v>
      </c>
      <c r="E5" s="1415"/>
      <c r="F5" s="1415"/>
      <c r="G5" s="1416"/>
      <c r="H5" s="1416"/>
      <c r="I5" s="1416"/>
      <c r="J5" s="1417"/>
      <c r="K5" s="1593"/>
      <c r="L5" s="1885" t="s">
        <v>2242</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0">
        <f>SUMIF(L1:L12,基准地价!G2,M1:M12)</f>
        <v>0</v>
      </c>
      <c r="D6" s="1422" t="s">
        <v>1695</v>
      </c>
      <c r="E6" s="1423"/>
      <c r="F6" s="1423"/>
      <c r="G6" s="1424"/>
      <c r="H6" s="1424"/>
      <c r="I6" s="1424"/>
      <c r="J6" s="1425"/>
      <c r="K6" s="1594"/>
      <c r="L6" s="1885" t="s">
        <v>2243</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48" t="str">
        <f>IF(E2="商业",IF(C8="不临58条商业街","",2),"")</f>
        <v/>
      </c>
      <c r="B7" s="1426" t="s">
        <v>931</v>
      </c>
      <c r="C7" s="1041" t="e">
        <f>IF(C8="不临58条商业街",1,ROUND(1+(1.6*E8+1.2*E9+0.8*E10+0.4*E11)*C9,4))</f>
        <v>#DIV/0!</v>
      </c>
      <c r="D7" s="1427" t="s">
        <v>932</v>
      </c>
      <c r="E7" s="1042"/>
      <c r="F7" s="1428"/>
      <c r="G7" s="1429"/>
      <c r="H7" s="1429"/>
      <c r="I7" s="1429"/>
      <c r="J7" s="1430"/>
      <c r="K7" s="1594"/>
      <c r="L7" s="1885" t="s">
        <v>2244</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2761</v>
      </c>
      <c r="X7" s="2927">
        <f>G2</f>
        <v>0</v>
      </c>
      <c r="Y7" s="2927" t="s">
        <v>2762</v>
      </c>
      <c r="Z7" s="2928">
        <f>G3</f>
        <v>3.5</v>
      </c>
      <c r="AA7" s="2192"/>
      <c r="AB7" s="2192"/>
      <c r="AC7" s="2193"/>
      <c r="AD7" s="2929"/>
      <c r="AE7" s="2929"/>
      <c r="AF7" s="2929"/>
      <c r="AG7" s="2929"/>
      <c r="AH7" s="2929"/>
      <c r="AI7" s="2929"/>
      <c r="AJ7" s="2930"/>
    </row>
    <row r="8" spans="1:39" ht="15">
      <c r="A8" s="3449"/>
      <c r="B8" s="1413" t="s">
        <v>933</v>
      </c>
      <c r="C8" s="1528"/>
      <c r="D8" s="1043" t="s">
        <v>934</v>
      </c>
      <c r="E8" s="1044" t="e">
        <f>ROUND(C11/E7,4)</f>
        <v>#DIV/0!</v>
      </c>
      <c r="F8" s="1431" t="s">
        <v>935</v>
      </c>
      <c r="G8" s="1432"/>
      <c r="H8" s="1432"/>
      <c r="I8" s="1432"/>
      <c r="J8" s="1433"/>
      <c r="K8" s="1400"/>
      <c r="L8" s="1885" t="s">
        <v>2245</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40" t="s">
        <v>2779</v>
      </c>
      <c r="X8" s="3441"/>
      <c r="Y8" s="1849" t="s">
        <v>2763</v>
      </c>
      <c r="Z8" s="1849" t="s">
        <v>2764</v>
      </c>
      <c r="AA8" s="1849" t="s">
        <v>2765</v>
      </c>
      <c r="AB8" s="1849" t="s">
        <v>2766</v>
      </c>
      <c r="AC8" s="1849" t="s">
        <v>2767</v>
      </c>
      <c r="AD8" s="1849" t="s">
        <v>2768</v>
      </c>
      <c r="AE8" s="1849" t="s">
        <v>2769</v>
      </c>
      <c r="AF8" s="1849" t="s">
        <v>2770</v>
      </c>
      <c r="AG8" s="1849" t="s">
        <v>2771</v>
      </c>
      <c r="AH8" s="1849" t="s">
        <v>2772</v>
      </c>
      <c r="AI8" s="1849" t="s">
        <v>2773</v>
      </c>
      <c r="AJ8" s="1849" t="s">
        <v>2774</v>
      </c>
    </row>
    <row r="9" spans="1:39" ht="15">
      <c r="A9" s="3449"/>
      <c r="B9" s="1413" t="s">
        <v>936</v>
      </c>
      <c r="C9" s="1045">
        <f>SUMIF(修正!C59:C119,C8,修正!E59:E119)</f>
        <v>0</v>
      </c>
      <c r="D9" s="1046" t="s">
        <v>937</v>
      </c>
      <c r="E9" s="1046" t="e">
        <f>ROUND(C11/E7,4)</f>
        <v>#DIV/0!</v>
      </c>
      <c r="F9" s="1431" t="s">
        <v>938</v>
      </c>
      <c r="G9" s="1432"/>
      <c r="H9" s="1432"/>
      <c r="I9" s="1432"/>
      <c r="J9" s="1433"/>
      <c r="K9" s="1400"/>
      <c r="L9" s="1885" t="s">
        <v>2246</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39" t="s">
        <v>2775</v>
      </c>
      <c r="X9" s="2931" t="s">
        <v>2776</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49"/>
      <c r="B10" s="1413" t="s">
        <v>939</v>
      </c>
      <c r="C10" s="1046">
        <f>SUMIF(修正!C59:C119,C8,修正!F59:F119)</f>
        <v>0</v>
      </c>
      <c r="D10" s="1046" t="s">
        <v>940</v>
      </c>
      <c r="E10" s="1046" t="e">
        <f>ROUND(C11/E7,4)</f>
        <v>#DIV/0!</v>
      </c>
      <c r="F10" s="1431" t="s">
        <v>941</v>
      </c>
      <c r="G10" s="1432"/>
      <c r="H10" s="1432"/>
      <c r="I10" s="1432"/>
      <c r="J10" s="1433"/>
      <c r="K10" s="1400"/>
      <c r="L10" s="1885" t="s">
        <v>2247</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39"/>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49"/>
      <c r="B11" s="1434" t="s">
        <v>942</v>
      </c>
      <c r="C11" s="1047">
        <f>C10/4</f>
        <v>0</v>
      </c>
      <c r="D11" s="1047" t="s">
        <v>943</v>
      </c>
      <c r="E11" s="1047" t="e">
        <f>ROUND(C11/E7,4)</f>
        <v>#DIV/0!</v>
      </c>
      <c r="F11" s="1435" t="s">
        <v>944</v>
      </c>
      <c r="G11" s="1436"/>
      <c r="H11" s="1436"/>
      <c r="I11" s="1436"/>
      <c r="J11" s="1437"/>
      <c r="K11" s="1400"/>
      <c r="L11" s="1885" t="s">
        <v>2248</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39" t="s">
        <v>2777</v>
      </c>
      <c r="X11" s="1046" t="s">
        <v>2762</v>
      </c>
      <c r="Y11" s="1652">
        <f>$G$3</f>
        <v>3.5</v>
      </c>
      <c r="Z11" s="1652">
        <f t="shared" ref="Z11:AJ11" si="3">$G$3</f>
        <v>3.5</v>
      </c>
      <c r="AA11" s="1652">
        <f t="shared" si="3"/>
        <v>3.5</v>
      </c>
      <c r="AB11" s="1652">
        <f t="shared" si="3"/>
        <v>3.5</v>
      </c>
      <c r="AC11" s="1652">
        <f t="shared" si="3"/>
        <v>3.5</v>
      </c>
      <c r="AD11" s="1652">
        <f t="shared" si="3"/>
        <v>3.5</v>
      </c>
      <c r="AE11" s="1652">
        <f t="shared" si="3"/>
        <v>3.5</v>
      </c>
      <c r="AF11" s="1652">
        <f t="shared" si="3"/>
        <v>3.5</v>
      </c>
      <c r="AG11" s="1652">
        <f t="shared" si="3"/>
        <v>3.5</v>
      </c>
      <c r="AH11" s="1652">
        <f t="shared" si="3"/>
        <v>3.5</v>
      </c>
      <c r="AI11" s="1652">
        <f t="shared" si="3"/>
        <v>3.5</v>
      </c>
      <c r="AJ11" s="1652">
        <f t="shared" si="3"/>
        <v>3.5</v>
      </c>
    </row>
    <row r="12" spans="1:39" ht="25.5" thickBot="1">
      <c r="A12" s="3448" t="s">
        <v>1871</v>
      </c>
      <c r="B12" s="1438" t="s">
        <v>945</v>
      </c>
      <c r="C12" s="1041">
        <f>ROUND(C15*D15*E15*F15*G15*H15*I15*J15,4)</f>
        <v>1</v>
      </c>
      <c r="D12" s="1439" t="s">
        <v>946</v>
      </c>
      <c r="E12" s="1440"/>
      <c r="F12" s="1440"/>
      <c r="G12" s="1441"/>
      <c r="H12" s="1441"/>
      <c r="I12" s="1441"/>
      <c r="J12" s="1442"/>
      <c r="K12" s="1400"/>
      <c r="L12" s="1888" t="s">
        <v>2249</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39"/>
      <c r="X12" s="2934" t="s">
        <v>2778</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50"/>
      <c r="B13" s="1443" t="s">
        <v>1696</v>
      </c>
      <c r="C13" s="1444" t="s">
        <v>1697</v>
      </c>
      <c r="D13" s="1087" t="s">
        <v>1698</v>
      </c>
      <c r="E13" s="1087" t="s">
        <v>1699</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439"/>
      <c r="X13" s="2934"/>
      <c r="Y13" s="2933">
        <f>(-0.163*(Y12^2)-0.59*Y12+7617)*(10^(-4))/Y11</f>
        <v>0.21762857142857145</v>
      </c>
      <c r="Z13" s="2933">
        <f t="shared" ref="Z13:AJ13" si="5">(-0.163*(Z12^2)-0.59*Z12+7617)*(10^(-4))/Z11</f>
        <v>0.21762857142857145</v>
      </c>
      <c r="AA13" s="2933">
        <f t="shared" si="5"/>
        <v>0.21762857142857145</v>
      </c>
      <c r="AB13" s="2933">
        <f t="shared" si="5"/>
        <v>0.21762857142857145</v>
      </c>
      <c r="AC13" s="2933">
        <f t="shared" si="5"/>
        <v>0.21762857142857145</v>
      </c>
      <c r="AD13" s="2933">
        <f t="shared" si="5"/>
        <v>0.21762857142857145</v>
      </c>
      <c r="AE13" s="2933">
        <f t="shared" si="5"/>
        <v>0.21762857142857145</v>
      </c>
      <c r="AF13" s="2933">
        <f t="shared" si="5"/>
        <v>0.21762857142857145</v>
      </c>
      <c r="AG13" s="2933">
        <f t="shared" si="5"/>
        <v>0.21762857142857145</v>
      </c>
      <c r="AH13" s="2933">
        <f t="shared" si="5"/>
        <v>0.21762857142857145</v>
      </c>
      <c r="AI13" s="2933">
        <f t="shared" si="5"/>
        <v>0.21762857142857145</v>
      </c>
      <c r="AJ13" s="2933">
        <f t="shared" si="5"/>
        <v>0.21762857142857145</v>
      </c>
    </row>
    <row r="14" spans="1:39" ht="12.75" customHeight="1" thickBot="1">
      <c r="A14" s="3450"/>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51"/>
      <c r="B15" s="1458" t="s">
        <v>1700</v>
      </c>
      <c r="C15" s="1049">
        <f>IF(C14="有",1.1,1)</f>
        <v>1</v>
      </c>
      <c r="D15" s="1049">
        <f>IF(D14="有",1.1,1)</f>
        <v>1</v>
      </c>
      <c r="E15" s="1049">
        <f>IF(E14="有",1.1,1)</f>
        <v>1</v>
      </c>
      <c r="F15" s="1049">
        <f>IF(F14="500米范围内",1.2,IF(F14="500-1000米",1.1,1))</f>
        <v>1</v>
      </c>
      <c r="G15" s="1050">
        <v>1</v>
      </c>
      <c r="H15" s="1050">
        <v>1</v>
      </c>
      <c r="I15" s="1050">
        <v>1</v>
      </c>
      <c r="J15" s="1051">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448" t="s">
        <v>1838</v>
      </c>
      <c r="B16" s="1426" t="s">
        <v>949</v>
      </c>
      <c r="C16" s="1052" t="e">
        <f>ROUND(SUM(G17:J17)/C17,0)</f>
        <v>#DIV/0!</v>
      </c>
      <c r="D16" s="1459" t="s">
        <v>950</v>
      </c>
      <c r="E16" s="1460"/>
      <c r="F16" s="1461"/>
      <c r="G16" s="1462"/>
      <c r="H16" s="1462"/>
      <c r="I16" s="1462"/>
      <c r="J16" s="1462"/>
      <c r="K16" s="1400"/>
      <c r="L16" s="1463" t="s">
        <v>987</v>
      </c>
      <c r="M16" s="1045">
        <v>0.25</v>
      </c>
      <c r="N16" s="1045">
        <v>0.2</v>
      </c>
      <c r="O16" s="1045">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49"/>
      <c r="B17" s="1464" t="s">
        <v>952</v>
      </c>
      <c r="C17" s="1053">
        <f>SUMPRODUCT((修正!A2:A5=E2)*(修正!B1:M1=G2)*(修正!B2:M5))</f>
        <v>0</v>
      </c>
      <c r="D17" s="1466" t="s">
        <v>953</v>
      </c>
      <c r="E17" s="1467" t="str">
        <f>IF(OR(G2="八级",G2="九级",G2="十级",G2="十一级",G2="十二级"),"五通一平","七通一平")</f>
        <v>七通一平</v>
      </c>
      <c r="F17" s="1465"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5" t="e">
        <f>ROUND(IF(H19="按公示增长率计算",SUMPRODUCT((地价!A3:A24=YEAR(G19)&amp;"-"&amp;ROUNDUP(MONTH(G19)/3,0))*(地价!X2:AB2=E2)*(地价!X3:AB24)),IF(H19="地价指数",M20/M19,(1+I19)^O19)),4)</f>
        <v>#DIV/0!</v>
      </c>
      <c r="D19" s="1473" t="s">
        <v>957</v>
      </c>
      <c r="E19" s="1056">
        <v>41640</v>
      </c>
      <c r="F19" s="1473" t="s">
        <v>958</v>
      </c>
      <c r="G19" s="1057">
        <f>'数据-取费表'!B2</f>
        <v>43445</v>
      </c>
      <c r="H19" s="1474" t="s">
        <v>2924</v>
      </c>
      <c r="I19" s="2784" t="str">
        <f>IF(H19="季度增幅（自定义）",SUMIF(N21:N24,E2,O21:O24),"")</f>
        <v/>
      </c>
      <c r="J19" s="1470"/>
      <c r="K19" s="1480"/>
      <c r="L19" s="3040" t="s">
        <v>2837</v>
      </c>
      <c r="M19" s="3041">
        <f>ROUND(SUMIF(地价!B2:F2,E2,地价!B24:F24),0)</f>
        <v>0</v>
      </c>
      <c r="N19" s="2786" t="s">
        <v>1676</v>
      </c>
      <c r="O19" s="2785">
        <f>ROUNDDOWN(DATEDIF(E19,G19,"M")/3,0)</f>
        <v>19</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971</v>
      </c>
      <c r="C20" s="2780" t="e">
        <f>ROUND(POWER(1+G20,J20-I20)*(POWER(1+G20,I20)-1)/(POWER(1+G20,J20)-1),4)</f>
        <v>#DIV/0!</v>
      </c>
      <c r="D20" s="2781" t="s">
        <v>972</v>
      </c>
      <c r="E20" s="3096">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2" t="s">
        <v>2838</v>
      </c>
      <c r="M20" s="3043">
        <f>ROUND(SUMPRODUCT((地价!A4:A24=YEAR(G19)&amp;"-"&amp;ROUNDUP(MONTH(G19)/3,0))*(地价!B2:F2=E2)*(地价!B4:F24)),0)</f>
        <v>0</v>
      </c>
      <c r="N20" s="2789" t="s">
        <v>2642</v>
      </c>
      <c r="O20" s="2787" t="s">
        <v>2641</v>
      </c>
      <c r="P20" s="2788" t="s">
        <v>2646</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1837</v>
      </c>
      <c r="B21" s="1479" t="s">
        <v>2757</v>
      </c>
      <c r="C21" s="1156">
        <f>IF(B21="容积率修正",IF(G3&lt;=10,D22,J22),C23)</f>
        <v>0</v>
      </c>
      <c r="D21" s="1480"/>
      <c r="E21" s="1480"/>
      <c r="F21" s="1480"/>
      <c r="G21" s="1480"/>
      <c r="H21" s="1480"/>
      <c r="I21" s="1480"/>
      <c r="J21" s="1481"/>
      <c r="K21" s="1480"/>
      <c r="L21" s="1480"/>
      <c r="M21" s="1480"/>
      <c r="N21" s="1477" t="s">
        <v>975</v>
      </c>
      <c r="O21" s="1541"/>
      <c r="P21" s="2769">
        <f>SUMPRODUCT((地价!A3:A24=YEAR(G19)&amp;"-"&amp;ROUNDUP(MONTH(G19)/3,0))*(地价!AD2:AH2=N21)*(地价!AD3:AH24))</f>
        <v>1.5299999999999999E-2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8" t="s">
        <v>1702</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80"/>
      <c r="L22" s="1480"/>
      <c r="M22" s="1480"/>
      <c r="N22" s="1477" t="s">
        <v>978</v>
      </c>
      <c r="O22" s="1541"/>
      <c r="P22" s="2769">
        <f>SUMPRODUCT((地价!A3:A24=YEAR(G19)&amp;"-"&amp;ROUNDUP(MONTH(G19)/3,0))*(地价!AD2:AH2=N22)*(地价!AD3:AH24))</f>
        <v>1.5299999999999999E-2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1871</v>
      </c>
      <c r="B23" s="1482" t="s">
        <v>979</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SUMPRODUCT((地价!A3:A24=YEAR(G19)&amp;"-"&amp;ROUNDUP(MONTH(G19)/3,0))*(地价!AD2:AH2=N23)*(地价!AD3:AH24))</f>
        <v>2.41E-2</v>
      </c>
      <c r="R23" s="2925"/>
      <c r="S23" s="2925"/>
      <c r="T23" s="2925"/>
      <c r="U23" s="2925"/>
      <c r="V23" s="2925"/>
      <c r="W23" s="2195"/>
      <c r="X23" s="2195"/>
      <c r="Y23" s="2195"/>
      <c r="Z23" s="2195"/>
      <c r="AA23" s="2195"/>
      <c r="AB23" s="2195"/>
      <c r="AC23" s="2195"/>
      <c r="AN23" s="1403"/>
    </row>
    <row r="24" spans="1:40" s="1420" customFormat="1" ht="15.75" thickBot="1">
      <c r="A24" s="1640" t="s">
        <v>1872</v>
      </c>
      <c r="B24" s="1414" t="s">
        <v>980</v>
      </c>
      <c r="C24" s="1060">
        <f>SUMIF(A44:A87,E2,B44:B87)</f>
        <v>0</v>
      </c>
      <c r="D24" s="1534"/>
      <c r="E24" s="1535"/>
      <c r="F24" s="1535"/>
      <c r="G24" s="1535"/>
      <c r="H24" s="1535"/>
      <c r="I24" s="1535"/>
      <c r="J24" s="1535"/>
      <c r="K24" s="1480"/>
      <c r="L24" s="1480"/>
      <c r="M24" s="1480"/>
      <c r="N24" s="1483" t="s">
        <v>981</v>
      </c>
      <c r="O24" s="1542"/>
      <c r="P24" s="1540">
        <f>SUMPRODUCT((地价!A3:A24=YEAR(G19)&amp;"-"&amp;ROUNDUP(MONTH(G19)/3,0))*(地价!AD2:AH2=N24)*(地价!AD3:AH24))</f>
        <v>1.4200000000000001E-2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797" t="s">
        <v>2644</v>
      </c>
      <c r="O25" s="2195"/>
      <c r="P25" s="1540">
        <f>SUMPRODUCT((地价!A3:A24=YEAR(G19)&amp;"-"&amp;ROUNDUP(MONTH(G19)/3,0))*(地价!AD2:AH2=N25)*(地价!AD3:AH24))</f>
        <v>2.1899999999999999E-2</v>
      </c>
      <c r="R25" s="2925"/>
      <c r="S25" s="2925"/>
      <c r="T25" s="2925"/>
      <c r="U25" s="2925"/>
      <c r="V25" s="2925"/>
      <c r="W25" s="2195"/>
      <c r="X25" s="2195"/>
      <c r="Y25" s="2195"/>
      <c r="Z25" s="2195"/>
      <c r="AA25" s="2195"/>
      <c r="AB25" s="2195"/>
      <c r="AC25" s="2195"/>
    </row>
    <row r="26" spans="1:40" ht="14.25">
      <c r="A26" s="1488"/>
      <c r="B26" s="1482" t="s">
        <v>986</v>
      </c>
      <c r="C26" s="1061"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2"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1"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994</v>
      </c>
      <c r="C30" s="1049"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54" t="s">
        <v>2950</v>
      </c>
      <c r="B33" s="1523" t="s">
        <v>999</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55"/>
      <c r="B34" s="1444" t="s">
        <v>1000</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55"/>
      <c r="B35" s="1444" t="s">
        <v>1001</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56"/>
      <c r="B36" s="1444" t="s">
        <v>1002</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6" t="e">
        <f>ROUND(C5*C19*C20*C24*F37,0)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6" t="e">
        <f>ROUND(C5*C19*C20*C24*F38,0)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49" t="e">
        <f>ROUND(C5*C19*C20*C24*F39,0)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4"/>
      <c r="H44" s="2423"/>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1008</v>
      </c>
      <c r="B46" s="2408" t="s">
        <v>1009</v>
      </c>
      <c r="C46" s="2430" t="s">
        <v>1010</v>
      </c>
      <c r="D46" s="2431" t="s">
        <v>1011</v>
      </c>
      <c r="E46" s="2432" t="s">
        <v>1013</v>
      </c>
      <c r="F46" s="2433" t="s">
        <v>2250</v>
      </c>
      <c r="G46" s="2431" t="s">
        <v>1014</v>
      </c>
      <c r="H46" s="2414" t="s">
        <v>2416</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5" t="s">
        <v>1020</v>
      </c>
      <c r="B47" s="2411" t="str">
        <f>估价对象房地状况!C16</f>
        <v>估价对象位于XX商圈，周边商业氛围成熟，人流量大，商业繁华度好</v>
      </c>
      <c r="C47" s="1048"/>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5" t="s">
        <v>1021</v>
      </c>
      <c r="B48" s="2408" t="str">
        <f>估价对象房地状况!C18</f>
        <v>估价对象周边道路状况、公共交通通达情况、停车便捷程度，综合评价交通便捷度较好</v>
      </c>
      <c r="C48" s="1048"/>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1022</v>
      </c>
      <c r="B49" s="2408">
        <f>估价对象房地状况!C19</f>
        <v>0</v>
      </c>
      <c r="C49" s="1048"/>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5" t="s">
        <v>1023</v>
      </c>
      <c r="B50" s="3098" t="s">
        <v>2926</v>
      </c>
      <c r="C50" s="1048"/>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1024</v>
      </c>
      <c r="B51" s="2408">
        <f>估价对象房地状况!C24</f>
        <v>0</v>
      </c>
      <c r="C51" s="1048"/>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5" t="s">
        <v>1025</v>
      </c>
      <c r="B52" s="3097" t="s">
        <v>2925</v>
      </c>
      <c r="C52" s="1048"/>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f>估价对象房地状况!C21</f>
        <v>0</v>
      </c>
      <c r="C53" s="1048"/>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f>估价对象房地状况!C22</f>
        <v>0</v>
      </c>
      <c r="C54" s="1048"/>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24.75" thickBot="1">
      <c r="A55" s="2441" t="s">
        <v>1028</v>
      </c>
      <c r="B55" s="2412">
        <f>估价对象房地状况!C20</f>
        <v>0</v>
      </c>
      <c r="C55" s="1048"/>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1008</v>
      </c>
      <c r="B57" s="2408"/>
      <c r="C57" s="2430" t="s">
        <v>1010</v>
      </c>
      <c r="D57" s="2431" t="s">
        <v>1011</v>
      </c>
      <c r="E57" s="2432" t="s">
        <v>1013</v>
      </c>
      <c r="F57" s="2433" t="s">
        <v>2251</v>
      </c>
      <c r="G57" s="2431" t="s">
        <v>1014</v>
      </c>
      <c r="H57" s="2414" t="s">
        <v>2416</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5" t="s">
        <v>1030</v>
      </c>
      <c r="B58" s="2411">
        <f>估价对象房地状况!C17</f>
        <v>0</v>
      </c>
      <c r="C58" s="1048"/>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5" t="s">
        <v>1021</v>
      </c>
      <c r="B59" s="2408" t="str">
        <f>估价对象房地状况!C18</f>
        <v>估价对象周边道路状况、公共交通通达情况、停车便捷程度，综合评价交通便捷度较好</v>
      </c>
      <c r="C59" s="1048"/>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1022</v>
      </c>
      <c r="B60" s="2408">
        <f>估价对象房地状况!C19</f>
        <v>0</v>
      </c>
      <c r="C60" s="1048"/>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1023</v>
      </c>
      <c r="B61" s="3098" t="s">
        <v>2927</v>
      </c>
      <c r="C61" s="1048"/>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1024</v>
      </c>
      <c r="B62" s="2408">
        <f>估价对象房地状况!C24</f>
        <v>0</v>
      </c>
      <c r="C62" s="1048"/>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1025</v>
      </c>
      <c r="B63" s="3097" t="s">
        <v>2925</v>
      </c>
      <c r="C63" s="1048"/>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1026</v>
      </c>
      <c r="B64" s="2409">
        <f>估价对象房地状况!C21</f>
        <v>0</v>
      </c>
      <c r="C64" s="1048"/>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1027</v>
      </c>
      <c r="B65" s="2409">
        <f>估价对象房地状况!C22</f>
        <v>0</v>
      </c>
      <c r="C65" s="1048"/>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24.75" thickBot="1">
      <c r="A66" s="2441" t="s">
        <v>1028</v>
      </c>
      <c r="B66" s="2413">
        <f>估价对象房地状况!C20</f>
        <v>0</v>
      </c>
      <c r="C66" s="1048"/>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1008</v>
      </c>
      <c r="B68" s="2408"/>
      <c r="C68" s="2430" t="s">
        <v>1010</v>
      </c>
      <c r="D68" s="2431" t="s">
        <v>1011</v>
      </c>
      <c r="E68" s="2432" t="s">
        <v>1013</v>
      </c>
      <c r="F68" s="2433" t="s">
        <v>2252</v>
      </c>
      <c r="G68" s="2431" t="s">
        <v>1014</v>
      </c>
      <c r="H68" s="2414" t="s">
        <v>2416</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5" t="s">
        <v>1032</v>
      </c>
      <c r="B69" s="2411" t="str">
        <f>估价对象房地状况!C15</f>
        <v>估价对象周边居住用地比例、居住小区规模和社区发展完善程度，综合评价居住社区成熟度一般</v>
      </c>
      <c r="C69" s="1157"/>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5" t="s">
        <v>1033</v>
      </c>
      <c r="B70" s="2408" t="str">
        <f>估价对象房地状况!C18</f>
        <v>估价对象周边道路状况、公共交通通达情况、停车便捷程度，综合评价交通便捷度较好</v>
      </c>
      <c r="C70" s="1157"/>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1022</v>
      </c>
      <c r="B71" s="2408">
        <f>估价对象房地状况!C19</f>
        <v>0</v>
      </c>
      <c r="C71" s="1157"/>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1034</v>
      </c>
      <c r="B72" s="2408">
        <f>估价对象房地状况!C24</f>
        <v>0</v>
      </c>
      <c r="C72" s="1157"/>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1026</v>
      </c>
      <c r="B73" s="2409">
        <f>估价对象房地状况!C21</f>
        <v>0</v>
      </c>
      <c r="C73" s="1157"/>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1027</v>
      </c>
      <c r="B74" s="2409">
        <f>估价对象房地状况!C22</f>
        <v>0</v>
      </c>
      <c r="C74" s="1157"/>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1025</v>
      </c>
      <c r="B75" s="3097" t="s">
        <v>2925</v>
      </c>
      <c r="C75" s="1157"/>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24">
      <c r="A76" s="1065" t="s">
        <v>1028</v>
      </c>
      <c r="B76" s="2411">
        <f>估价对象房地状况!C20</f>
        <v>0</v>
      </c>
      <c r="C76" s="1157"/>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7"/>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4"/>
      <c r="K78" s="1064"/>
      <c r="L78" s="1064"/>
      <c r="M78" s="1064"/>
      <c r="N78" s="1064"/>
      <c r="AC78" s="1404"/>
      <c r="AD78" s="1403"/>
      <c r="AJ78" s="1402"/>
      <c r="AN78" s="1403"/>
    </row>
    <row r="79" spans="1:40" ht="24">
      <c r="A79" s="1065" t="s">
        <v>1008</v>
      </c>
      <c r="B79" s="2408"/>
      <c r="C79" s="2430" t="s">
        <v>1010</v>
      </c>
      <c r="D79" s="2431" t="s">
        <v>1011</v>
      </c>
      <c r="E79" s="2432" t="s">
        <v>1013</v>
      </c>
      <c r="F79" s="2433" t="s">
        <v>2253</v>
      </c>
      <c r="G79" s="2431" t="s">
        <v>1014</v>
      </c>
      <c r="H79" s="2414" t="s">
        <v>2416</v>
      </c>
      <c r="I79" s="2431" t="s">
        <v>1012</v>
      </c>
      <c r="J79" s="2434" t="s">
        <v>1015</v>
      </c>
      <c r="K79" s="2434" t="s">
        <v>1016</v>
      </c>
      <c r="L79" s="2434" t="s">
        <v>1017</v>
      </c>
      <c r="M79" s="2434" t="s">
        <v>1018</v>
      </c>
      <c r="N79" s="2434" t="s">
        <v>1019</v>
      </c>
      <c r="AC79" s="1404"/>
      <c r="AD79" s="1403"/>
      <c r="AJ79" s="1402"/>
      <c r="AN79" s="1403"/>
    </row>
    <row r="80" spans="1:40" ht="24">
      <c r="A80" s="1065" t="s">
        <v>1037</v>
      </c>
      <c r="B80" s="2408">
        <f>估价对象房地状况!G15</f>
        <v>0</v>
      </c>
      <c r="C80" s="1048"/>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14.25">
      <c r="A81" s="1065" t="s">
        <v>1033</v>
      </c>
      <c r="B81" s="2408">
        <f>估价对象房地状况!G16</f>
        <v>0</v>
      </c>
      <c r="C81" s="1048"/>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5" t="s">
        <v>1022</v>
      </c>
      <c r="B82" s="2408">
        <f>估价对象房地状况!G17</f>
        <v>0</v>
      </c>
      <c r="C82" s="1048"/>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5" t="s">
        <v>1034</v>
      </c>
      <c r="B83" s="2408">
        <f>估价对象房地状况!G22</f>
        <v>0</v>
      </c>
      <c r="C83" s="1048"/>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5" t="s">
        <v>1026</v>
      </c>
      <c r="B84" s="2409">
        <f>估价对象房地状况!G19</f>
        <v>0</v>
      </c>
      <c r="C84" s="1048"/>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5" t="s">
        <v>1027</v>
      </c>
      <c r="B85" s="2409">
        <f>估价对象房地状况!G20</f>
        <v>0</v>
      </c>
      <c r="C85" s="1048"/>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5" t="s">
        <v>1025</v>
      </c>
      <c r="B86" s="3097" t="s">
        <v>2925</v>
      </c>
      <c r="C86" s="1048"/>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15" thickBot="1">
      <c r="A87" s="2441" t="s">
        <v>1038</v>
      </c>
      <c r="B87" s="2410">
        <f>估价对象房地状况!G18</f>
        <v>0</v>
      </c>
      <c r="C87" s="1048"/>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52" t="s">
        <v>1633</v>
      </c>
      <c r="B90" s="3452"/>
      <c r="C90" s="3452"/>
      <c r="D90" s="3452"/>
      <c r="E90" s="3452"/>
      <c r="F90" s="3452"/>
      <c r="G90" s="3452"/>
      <c r="H90" s="3452"/>
      <c r="I90" s="3452"/>
      <c r="J90" s="3452"/>
      <c r="K90" s="2450"/>
      <c r="L90" s="2450"/>
      <c r="M90" s="2450"/>
      <c r="N90" s="2450"/>
    </row>
    <row r="91" spans="1:40">
      <c r="A91" s="3453" t="s">
        <v>1443</v>
      </c>
      <c r="B91" s="3453" t="s">
        <v>1634</v>
      </c>
      <c r="C91" s="1138" t="s">
        <v>1635</v>
      </c>
      <c r="D91" s="1139"/>
      <c r="E91" s="1139"/>
      <c r="F91" s="1139"/>
      <c r="G91" s="1139"/>
      <c r="H91" s="1139"/>
      <c r="I91" s="1139"/>
      <c r="J91" s="1140"/>
      <c r="K91" s="1132"/>
      <c r="L91" s="1132"/>
      <c r="M91" s="1132"/>
      <c r="N91" s="1132"/>
    </row>
    <row r="92" spans="1:40">
      <c r="A92" s="3453"/>
      <c r="B92" s="3453"/>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42" t="s">
        <v>2760</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43"/>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43"/>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43"/>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43"/>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43"/>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43"/>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44"/>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42" t="s">
        <v>1637</v>
      </c>
      <c r="B101" s="1145" t="s">
        <v>905</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43"/>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43"/>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43"/>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43"/>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43"/>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43"/>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43"/>
      <c r="B108" s="3445"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44"/>
      <c r="B109" s="3446"/>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47" t="s">
        <v>1639</v>
      </c>
      <c r="B110" s="3447"/>
      <c r="C110" s="3447"/>
      <c r="D110" s="3447"/>
      <c r="E110" s="3447"/>
      <c r="F110" s="3447"/>
      <c r="G110" s="3447"/>
      <c r="H110" s="3447"/>
      <c r="I110" s="3447"/>
      <c r="J110" s="3447"/>
      <c r="K110" s="2448"/>
      <c r="L110" s="2448"/>
      <c r="M110" s="2448"/>
      <c r="N110" s="2448"/>
    </row>
    <row r="112" spans="1:14" ht="12.75" thickBot="1"/>
    <row r="113" spans="1:13" ht="25.5" thickBot="1">
      <c r="A113" s="1014" t="s">
        <v>895</v>
      </c>
      <c r="B113" s="2451">
        <f>G3</f>
        <v>3.5</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900</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901</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902</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8" customFormat="1" ht="19.5" customHeight="1">
      <c r="A18" s="3453" t="s">
        <v>1007</v>
      </c>
      <c r="B18" s="1152" t="s">
        <v>1446</v>
      </c>
      <c r="C18" s="1129" t="s">
        <v>1447</v>
      </c>
      <c r="D18" s="1130"/>
      <c r="E18" s="1152">
        <v>1</v>
      </c>
      <c r="F18" s="1131" t="s">
        <v>1448</v>
      </c>
      <c r="G18" s="1132"/>
      <c r="H18" s="1103"/>
      <c r="I18" s="1103"/>
    </row>
    <row r="19" spans="1:9" s="1598" customFormat="1" ht="19.5" customHeight="1">
      <c r="A19" s="3453"/>
      <c r="B19" s="3453" t="s">
        <v>1449</v>
      </c>
      <c r="C19" s="1129" t="s">
        <v>1450</v>
      </c>
      <c r="D19" s="1130"/>
      <c r="E19" s="1152">
        <v>0.9</v>
      </c>
      <c r="F19" s="1131" t="s">
        <v>1451</v>
      </c>
      <c r="G19" s="1132"/>
      <c r="H19" s="1103"/>
      <c r="I19" s="1103"/>
    </row>
    <row r="20" spans="1:9" s="1598" customFormat="1" ht="19.5" customHeight="1">
      <c r="A20" s="3453"/>
      <c r="B20" s="3453"/>
      <c r="C20" s="1129" t="s">
        <v>1452</v>
      </c>
      <c r="D20" s="1130"/>
      <c r="E20" s="1152">
        <v>1.1000000000000001</v>
      </c>
      <c r="F20" s="1131" t="s">
        <v>1453</v>
      </c>
      <c r="G20" s="1132"/>
      <c r="H20" s="1103"/>
      <c r="I20" s="1103"/>
    </row>
    <row r="21" spans="1:9" s="1598" customFormat="1" ht="19.5" customHeight="1">
      <c r="A21" s="3453"/>
      <c r="B21" s="3453"/>
      <c r="C21" s="1129" t="s">
        <v>1454</v>
      </c>
      <c r="D21" s="1130"/>
      <c r="E21" s="1152">
        <v>0.8</v>
      </c>
      <c r="F21" s="1131" t="s">
        <v>1455</v>
      </c>
      <c r="G21" s="1132"/>
      <c r="H21" s="1103"/>
      <c r="I21" s="1103"/>
    </row>
    <row r="22" spans="1:9" s="1598" customFormat="1" ht="19.5" customHeight="1">
      <c r="A22" s="3453"/>
      <c r="B22" s="3453"/>
      <c r="C22" s="1129" t="s">
        <v>1456</v>
      </c>
      <c r="D22" s="1130"/>
      <c r="E22" s="1152">
        <v>0.5</v>
      </c>
      <c r="F22" s="1131"/>
      <c r="G22" s="1132"/>
      <c r="H22" s="1103"/>
      <c r="I22" s="1103"/>
    </row>
    <row r="23" spans="1:9" s="1598" customFormat="1" ht="19.5" customHeight="1">
      <c r="A23" s="3453" t="s">
        <v>1029</v>
      </c>
      <c r="B23" s="1152" t="s">
        <v>1446</v>
      </c>
      <c r="C23" s="1129" t="s">
        <v>1457</v>
      </c>
      <c r="D23" s="1130"/>
      <c r="E23" s="1152">
        <v>1</v>
      </c>
      <c r="F23" s="1131" t="s">
        <v>1458</v>
      </c>
      <c r="G23" s="1132"/>
      <c r="H23" s="1103"/>
      <c r="I23" s="1103"/>
    </row>
    <row r="24" spans="1:9" s="1598" customFormat="1" ht="19.5" customHeight="1">
      <c r="A24" s="3453"/>
      <c r="B24" s="3453" t="s">
        <v>1449</v>
      </c>
      <c r="C24" s="1129" t="s">
        <v>1459</v>
      </c>
      <c r="D24" s="1130"/>
      <c r="E24" s="1152">
        <v>0.5</v>
      </c>
      <c r="F24" s="1131"/>
      <c r="G24" s="1132"/>
      <c r="H24" s="1103"/>
      <c r="I24" s="1103"/>
    </row>
    <row r="25" spans="1:9" s="1598" customFormat="1" ht="19.5" customHeight="1">
      <c r="A25" s="3453"/>
      <c r="B25" s="3453"/>
      <c r="C25" s="1129" t="s">
        <v>1460</v>
      </c>
      <c r="D25" s="1130"/>
      <c r="E25" s="1152">
        <v>1.1000000000000001</v>
      </c>
      <c r="F25" s="1131"/>
      <c r="G25" s="1132"/>
      <c r="H25" s="1103"/>
      <c r="I25" s="1103"/>
    </row>
    <row r="26" spans="1:9" s="1598" customFormat="1" ht="19.5" customHeight="1">
      <c r="A26" s="3453"/>
      <c r="B26" s="3453"/>
      <c r="C26" s="1129" t="s">
        <v>1461</v>
      </c>
      <c r="D26" s="1130"/>
      <c r="E26" s="1152">
        <v>1.1000000000000001</v>
      </c>
      <c r="F26" s="1131"/>
      <c r="G26" s="1132"/>
      <c r="H26" s="1103"/>
      <c r="I26" s="1103"/>
    </row>
    <row r="27" spans="1:9" s="1598" customFormat="1" ht="19.5" customHeight="1">
      <c r="A27" s="3453"/>
      <c r="B27" s="3453"/>
      <c r="C27" s="1129" t="s">
        <v>1462</v>
      </c>
      <c r="D27" s="1130"/>
      <c r="E27" s="1152">
        <v>0.9</v>
      </c>
      <c r="F27" s="1131" t="s">
        <v>1463</v>
      </c>
      <c r="G27" s="1132"/>
      <c r="H27" s="1103"/>
      <c r="I27" s="1103"/>
    </row>
    <row r="28" spans="1:9" s="1598" customFormat="1" ht="19.5" customHeight="1">
      <c r="A28" s="3453"/>
      <c r="B28" s="3453"/>
      <c r="C28" s="1129" t="s">
        <v>1464</v>
      </c>
      <c r="D28" s="1130"/>
      <c r="E28" s="1152">
        <v>0.9</v>
      </c>
      <c r="F28" s="1131" t="s">
        <v>1465</v>
      </c>
      <c r="G28" s="1132"/>
      <c r="H28" s="1103"/>
      <c r="I28" s="1103"/>
    </row>
    <row r="29" spans="1:9" s="1598" customFormat="1" ht="19.5" customHeight="1">
      <c r="A29" s="3453"/>
      <c r="B29" s="3453"/>
      <c r="C29" s="1129" t="s">
        <v>1466</v>
      </c>
      <c r="D29" s="1130"/>
      <c r="E29" s="1152">
        <v>0.9</v>
      </c>
      <c r="F29" s="1131" t="s">
        <v>1467</v>
      </c>
      <c r="G29" s="1132"/>
      <c r="H29" s="1103"/>
      <c r="I29" s="1103"/>
    </row>
    <row r="30" spans="1:9" s="1598" customFormat="1" ht="19.5" customHeight="1">
      <c r="A30" s="3453"/>
      <c r="B30" s="3453"/>
      <c r="C30" s="1129" t="s">
        <v>1468</v>
      </c>
      <c r="D30" s="1130"/>
      <c r="E30" s="1152">
        <v>0.9</v>
      </c>
      <c r="F30" s="1131" t="s">
        <v>1469</v>
      </c>
      <c r="G30" s="1132"/>
      <c r="H30" s="1103"/>
      <c r="I30" s="1103"/>
    </row>
    <row r="31" spans="1:9" s="1598" customFormat="1" ht="19.5" customHeight="1">
      <c r="A31" s="3453"/>
      <c r="B31" s="3453"/>
      <c r="C31" s="1129" t="s">
        <v>1470</v>
      </c>
      <c r="D31" s="1130"/>
      <c r="E31" s="1152">
        <v>0.8</v>
      </c>
      <c r="F31" s="1131" t="s">
        <v>1471</v>
      </c>
      <c r="G31" s="1132"/>
      <c r="H31" s="1103"/>
      <c r="I31" s="1103"/>
    </row>
    <row r="32" spans="1:9" s="1598" customFormat="1" ht="19.5" customHeight="1">
      <c r="A32" s="3453"/>
      <c r="B32" s="3453"/>
      <c r="C32" s="1129" t="s">
        <v>1472</v>
      </c>
      <c r="D32" s="1130"/>
      <c r="E32" s="1152">
        <v>0.8</v>
      </c>
      <c r="F32" s="1131" t="s">
        <v>1473</v>
      </c>
      <c r="G32" s="1132"/>
      <c r="H32" s="1103"/>
      <c r="I32" s="1103"/>
    </row>
    <row r="33" spans="1:9" s="1598" customFormat="1" ht="19.5" customHeight="1">
      <c r="A33" s="3453" t="s">
        <v>1474</v>
      </c>
      <c r="B33" s="1152" t="s">
        <v>1446</v>
      </c>
      <c r="C33" s="1129" t="s">
        <v>1475</v>
      </c>
      <c r="D33" s="1130"/>
      <c r="E33" s="1152">
        <v>1</v>
      </c>
      <c r="F33" s="1131" t="s">
        <v>1476</v>
      </c>
      <c r="G33" s="1132"/>
      <c r="H33" s="1103"/>
      <c r="I33" s="1103"/>
    </row>
    <row r="34" spans="1:9" s="1598" customFormat="1" ht="19.5" customHeight="1">
      <c r="A34" s="3453"/>
      <c r="B34" s="1152" t="s">
        <v>1449</v>
      </c>
      <c r="C34" s="1129" t="s">
        <v>1477</v>
      </c>
      <c r="D34" s="1130"/>
      <c r="E34" s="1152">
        <v>1.5</v>
      </c>
      <c r="F34" s="1131" t="s">
        <v>1478</v>
      </c>
      <c r="G34" s="1132"/>
      <c r="H34" s="1103"/>
      <c r="I34" s="1103"/>
    </row>
    <row r="35" spans="1:9" s="1598" customFormat="1" ht="19.5" customHeight="1">
      <c r="A35" s="3453" t="s">
        <v>1432</v>
      </c>
      <c r="B35" s="1152" t="s">
        <v>1446</v>
      </c>
      <c r="C35" s="1129" t="s">
        <v>1479</v>
      </c>
      <c r="D35" s="1130"/>
      <c r="E35" s="1152">
        <v>1</v>
      </c>
      <c r="F35" s="1131" t="s">
        <v>1480</v>
      </c>
      <c r="G35" s="1132"/>
      <c r="H35" s="1103"/>
      <c r="I35" s="1103"/>
    </row>
    <row r="36" spans="1:9" s="1598" customFormat="1" ht="19.5" customHeight="1">
      <c r="A36" s="3453"/>
      <c r="B36" s="3453" t="s">
        <v>1449</v>
      </c>
      <c r="C36" s="1129" t="s">
        <v>1481</v>
      </c>
      <c r="D36" s="1130"/>
      <c r="E36" s="1152">
        <v>1</v>
      </c>
      <c r="F36" s="1131" t="s">
        <v>1482</v>
      </c>
      <c r="G36" s="1132"/>
      <c r="H36" s="1103"/>
      <c r="I36" s="1103"/>
    </row>
    <row r="37" spans="1:9" s="1598" customFormat="1" ht="19.5" customHeight="1">
      <c r="A37" s="3453"/>
      <c r="B37" s="3453"/>
      <c r="C37" s="1129" t="s">
        <v>1483</v>
      </c>
      <c r="D37" s="1130"/>
      <c r="E37" s="1152">
        <v>1.5</v>
      </c>
      <c r="F37" s="1131" t="s">
        <v>1484</v>
      </c>
      <c r="G37" s="1132"/>
      <c r="H37" s="1103"/>
      <c r="I37" s="1103"/>
    </row>
    <row r="38" spans="1:9" s="1598" customFormat="1" ht="19.5" customHeight="1">
      <c r="A38" s="3453"/>
      <c r="B38" s="3453"/>
      <c r="C38" s="1129" t="s">
        <v>1485</v>
      </c>
      <c r="D38" s="1130"/>
      <c r="E38" s="1152">
        <v>1</v>
      </c>
      <c r="F38" s="1131" t="s">
        <v>1486</v>
      </c>
      <c r="G38" s="1132"/>
      <c r="H38" s="1103"/>
      <c r="I38" s="1103"/>
    </row>
    <row r="39" spans="1:9" s="1598" customFormat="1" ht="19.5" customHeight="1">
      <c r="A39" s="3453"/>
      <c r="B39" s="3453"/>
      <c r="C39" s="1129" t="s">
        <v>1487</v>
      </c>
      <c r="D39" s="1130"/>
      <c r="E39" s="1152">
        <v>1</v>
      </c>
      <c r="F39" s="1131" t="s">
        <v>1488</v>
      </c>
      <c r="G39" s="1132"/>
      <c r="H39" s="1103"/>
      <c r="I39" s="1103"/>
    </row>
    <row r="40" spans="1:9" s="1598" customFormat="1" ht="19.5" customHeight="1">
      <c r="A40" s="1599" t="s">
        <v>1489</v>
      </c>
      <c r="B40" s="1599"/>
      <c r="C40" s="1599"/>
      <c r="D40" s="1599"/>
      <c r="E40" s="1599"/>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53" t="s">
        <v>1501</v>
      </c>
      <c r="C61" s="1066" t="s">
        <v>1502</v>
      </c>
      <c r="D61" s="1066" t="s">
        <v>1503</v>
      </c>
      <c r="E61" s="1137">
        <v>0.5</v>
      </c>
      <c r="F61" s="1152">
        <v>80</v>
      </c>
      <c r="H61" s="1103">
        <f>SUMIF(C59:C119,基准地价!C8,E59:E119)</f>
        <v>0</v>
      </c>
    </row>
    <row r="62" spans="1:8" s="1103" customFormat="1" ht="24">
      <c r="A62" s="1152">
        <v>2</v>
      </c>
      <c r="B62" s="3453"/>
      <c r="C62" s="1066" t="s">
        <v>1504</v>
      </c>
      <c r="D62" s="1066" t="s">
        <v>1505</v>
      </c>
      <c r="E62" s="1137">
        <v>0.5</v>
      </c>
      <c r="F62" s="1152">
        <v>80</v>
      </c>
    </row>
    <row r="63" spans="1:8" s="1103" customFormat="1" ht="36">
      <c r="A63" s="1152">
        <v>3</v>
      </c>
      <c r="B63" s="3453"/>
      <c r="C63" s="1066" t="s">
        <v>1506</v>
      </c>
      <c r="D63" s="1066" t="s">
        <v>1507</v>
      </c>
      <c r="E63" s="1137">
        <v>0.5</v>
      </c>
      <c r="F63" s="1152">
        <v>80</v>
      </c>
    </row>
    <row r="64" spans="1:8" s="1103" customFormat="1" ht="36">
      <c r="A64" s="1152">
        <v>4</v>
      </c>
      <c r="B64" s="3453"/>
      <c r="C64" s="1066" t="s">
        <v>1508</v>
      </c>
      <c r="D64" s="1066" t="s">
        <v>1509</v>
      </c>
      <c r="E64" s="1137">
        <v>0.4</v>
      </c>
      <c r="F64" s="1152">
        <v>60</v>
      </c>
    </row>
    <row r="65" spans="1:6" s="1103" customFormat="1" ht="36">
      <c r="A65" s="1152">
        <v>5</v>
      </c>
      <c r="B65" s="3453"/>
      <c r="C65" s="1066" t="s">
        <v>1510</v>
      </c>
      <c r="D65" s="1066" t="s">
        <v>1511</v>
      </c>
      <c r="E65" s="1137">
        <v>0.2</v>
      </c>
      <c r="F65" s="1152">
        <v>30</v>
      </c>
    </row>
    <row r="66" spans="1:6" s="1103" customFormat="1" ht="36">
      <c r="A66" s="1152">
        <v>6</v>
      </c>
      <c r="B66" s="3453"/>
      <c r="C66" s="1066" t="s">
        <v>1512</v>
      </c>
      <c r="D66" s="1066" t="s">
        <v>1513</v>
      </c>
      <c r="E66" s="1137">
        <v>0.3</v>
      </c>
      <c r="F66" s="1152">
        <v>50</v>
      </c>
    </row>
    <row r="67" spans="1:6" s="1103" customFormat="1" ht="36">
      <c r="A67" s="1152">
        <v>7</v>
      </c>
      <c r="B67" s="3453"/>
      <c r="C67" s="1066" t="s">
        <v>1514</v>
      </c>
      <c r="D67" s="1066" t="s">
        <v>1515</v>
      </c>
      <c r="E67" s="1137">
        <v>0.2</v>
      </c>
      <c r="F67" s="1152">
        <v>30</v>
      </c>
    </row>
    <row r="68" spans="1:6" s="1103" customFormat="1" ht="36">
      <c r="A68" s="1152">
        <v>8</v>
      </c>
      <c r="B68" s="3453"/>
      <c r="C68" s="1066" t="s">
        <v>1516</v>
      </c>
      <c r="D68" s="1066" t="s">
        <v>1517</v>
      </c>
      <c r="E68" s="1137">
        <v>0.2</v>
      </c>
      <c r="F68" s="1152">
        <v>30</v>
      </c>
    </row>
    <row r="69" spans="1:6" s="1103" customFormat="1" ht="36">
      <c r="A69" s="1152">
        <v>9</v>
      </c>
      <c r="B69" s="3453"/>
      <c r="C69" s="1066" t="s">
        <v>1518</v>
      </c>
      <c r="D69" s="1066" t="s">
        <v>1519</v>
      </c>
      <c r="E69" s="1137">
        <v>0.2</v>
      </c>
      <c r="F69" s="1152">
        <v>30</v>
      </c>
    </row>
    <row r="70" spans="1:6" s="1103" customFormat="1" ht="48">
      <c r="A70" s="1152">
        <v>10</v>
      </c>
      <c r="B70" s="3453"/>
      <c r="C70" s="1066" t="s">
        <v>1520</v>
      </c>
      <c r="D70" s="1066" t="s">
        <v>1521</v>
      </c>
      <c r="E70" s="1137">
        <v>0.2</v>
      </c>
      <c r="F70" s="1152">
        <v>30</v>
      </c>
    </row>
    <row r="71" spans="1:6" s="1103" customFormat="1" ht="48">
      <c r="A71" s="1152">
        <v>11</v>
      </c>
      <c r="B71" s="3453"/>
      <c r="C71" s="1066" t="s">
        <v>1522</v>
      </c>
      <c r="D71" s="1066" t="s">
        <v>1523</v>
      </c>
      <c r="E71" s="1137">
        <v>0.2</v>
      </c>
      <c r="F71" s="1152">
        <v>30</v>
      </c>
    </row>
    <row r="72" spans="1:6" s="1103" customFormat="1" ht="36">
      <c r="A72" s="1152">
        <v>12</v>
      </c>
      <c r="B72" s="3453"/>
      <c r="C72" s="1066" t="s">
        <v>1524</v>
      </c>
      <c r="D72" s="1066" t="s">
        <v>1525</v>
      </c>
      <c r="E72" s="1137">
        <v>0.5</v>
      </c>
      <c r="F72" s="1152">
        <v>80</v>
      </c>
    </row>
    <row r="73" spans="1:6" s="1103" customFormat="1" ht="24">
      <c r="A73" s="1152">
        <v>13</v>
      </c>
      <c r="B73" s="3453"/>
      <c r="C73" s="1066" t="s">
        <v>1526</v>
      </c>
      <c r="D73" s="1066" t="s">
        <v>1527</v>
      </c>
      <c r="E73" s="1137">
        <v>0.4</v>
      </c>
      <c r="F73" s="1152">
        <v>60</v>
      </c>
    </row>
    <row r="74" spans="1:6" s="1103" customFormat="1" ht="24">
      <c r="A74" s="1152">
        <v>14</v>
      </c>
      <c r="B74" s="3453"/>
      <c r="C74" s="1066" t="s">
        <v>1528</v>
      </c>
      <c r="D74" s="1066" t="s">
        <v>1529</v>
      </c>
      <c r="E74" s="1137">
        <v>0.2</v>
      </c>
      <c r="F74" s="1152">
        <v>30</v>
      </c>
    </row>
    <row r="75" spans="1:6" s="1103" customFormat="1" ht="24">
      <c r="A75" s="1152">
        <v>15</v>
      </c>
      <c r="B75" s="3453"/>
      <c r="C75" s="1066" t="s">
        <v>1530</v>
      </c>
      <c r="D75" s="1066" t="s">
        <v>1531</v>
      </c>
      <c r="E75" s="1137">
        <v>0.2</v>
      </c>
      <c r="F75" s="1152">
        <v>30</v>
      </c>
    </row>
    <row r="76" spans="1:6" s="1103" customFormat="1" ht="24">
      <c r="A76" s="1152">
        <v>16</v>
      </c>
      <c r="B76" s="3453" t="s">
        <v>1532</v>
      </c>
      <c r="C76" s="1066" t="s">
        <v>1533</v>
      </c>
      <c r="D76" s="1066" t="s">
        <v>1534</v>
      </c>
      <c r="E76" s="1137">
        <v>0.5</v>
      </c>
      <c r="F76" s="1152">
        <v>80</v>
      </c>
    </row>
    <row r="77" spans="1:6" s="1103" customFormat="1" ht="24">
      <c r="A77" s="1152">
        <v>17</v>
      </c>
      <c r="B77" s="3453"/>
      <c r="C77" s="1066" t="s">
        <v>1535</v>
      </c>
      <c r="D77" s="1066" t="s">
        <v>1536</v>
      </c>
      <c r="E77" s="1137">
        <v>0.5</v>
      </c>
      <c r="F77" s="1152">
        <v>80</v>
      </c>
    </row>
    <row r="78" spans="1:6" s="1103" customFormat="1" ht="24">
      <c r="A78" s="1152">
        <v>18</v>
      </c>
      <c r="B78" s="3453"/>
      <c r="C78" s="1066" t="s">
        <v>1537</v>
      </c>
      <c r="D78" s="1066" t="s">
        <v>1538</v>
      </c>
      <c r="E78" s="1137">
        <v>0.2</v>
      </c>
      <c r="F78" s="1152">
        <v>30</v>
      </c>
    </row>
    <row r="79" spans="1:6" s="1103" customFormat="1" ht="24">
      <c r="A79" s="1152">
        <v>19</v>
      </c>
      <c r="B79" s="3453"/>
      <c r="C79" s="1066" t="s">
        <v>1539</v>
      </c>
      <c r="D79" s="1066" t="s">
        <v>1540</v>
      </c>
      <c r="E79" s="1137">
        <v>0.5</v>
      </c>
      <c r="F79" s="1152">
        <v>80</v>
      </c>
    </row>
    <row r="80" spans="1:6" s="1103" customFormat="1" ht="36">
      <c r="A80" s="1152">
        <v>20</v>
      </c>
      <c r="B80" s="3453"/>
      <c r="C80" s="1066" t="s">
        <v>1541</v>
      </c>
      <c r="D80" s="1066" t="s">
        <v>1542</v>
      </c>
      <c r="E80" s="1137">
        <v>0.2</v>
      </c>
      <c r="F80" s="1152">
        <v>30</v>
      </c>
    </row>
    <row r="81" spans="1:6" s="1103" customFormat="1" ht="36">
      <c r="A81" s="1152">
        <v>21</v>
      </c>
      <c r="B81" s="3453"/>
      <c r="C81" s="1066" t="s">
        <v>1543</v>
      </c>
      <c r="D81" s="1066" t="s">
        <v>1544</v>
      </c>
      <c r="E81" s="1137">
        <v>0.2</v>
      </c>
      <c r="F81" s="1152">
        <v>30</v>
      </c>
    </row>
    <row r="82" spans="1:6" s="1103" customFormat="1" ht="48">
      <c r="A82" s="1152">
        <v>22</v>
      </c>
      <c r="B82" s="3453"/>
      <c r="C82" s="1066" t="s">
        <v>1545</v>
      </c>
      <c r="D82" s="1066" t="s">
        <v>1546</v>
      </c>
      <c r="E82" s="1137">
        <v>0.2</v>
      </c>
      <c r="F82" s="1152">
        <v>30</v>
      </c>
    </row>
    <row r="83" spans="1:6" s="1103" customFormat="1" ht="48">
      <c r="A83" s="1152">
        <v>23</v>
      </c>
      <c r="B83" s="3453"/>
      <c r="C83" s="1066" t="s">
        <v>1547</v>
      </c>
      <c r="D83" s="1066" t="s">
        <v>1548</v>
      </c>
      <c r="E83" s="1137">
        <v>0.2</v>
      </c>
      <c r="F83" s="1152">
        <v>30</v>
      </c>
    </row>
    <row r="84" spans="1:6" s="1103" customFormat="1" ht="36">
      <c r="A84" s="1152">
        <v>24</v>
      </c>
      <c r="B84" s="3453"/>
      <c r="C84" s="1066" t="s">
        <v>1549</v>
      </c>
      <c r="D84" s="1066" t="s">
        <v>1550</v>
      </c>
      <c r="E84" s="1137">
        <v>0.2</v>
      </c>
      <c r="F84" s="1152">
        <v>30</v>
      </c>
    </row>
    <row r="85" spans="1:6" s="1103" customFormat="1" ht="36">
      <c r="A85" s="1152">
        <v>25</v>
      </c>
      <c r="B85" s="3453"/>
      <c r="C85" s="1066" t="s">
        <v>1551</v>
      </c>
      <c r="D85" s="1066" t="s">
        <v>1552</v>
      </c>
      <c r="E85" s="1137">
        <v>0.5</v>
      </c>
      <c r="F85" s="1152">
        <v>80</v>
      </c>
    </row>
    <row r="86" spans="1:6" s="1103" customFormat="1" ht="36">
      <c r="A86" s="1152">
        <v>26</v>
      </c>
      <c r="B86" s="3453"/>
      <c r="C86" s="1066" t="s">
        <v>1553</v>
      </c>
      <c r="D86" s="1066" t="s">
        <v>1554</v>
      </c>
      <c r="E86" s="1137">
        <v>0.2</v>
      </c>
      <c r="F86" s="1152">
        <v>30</v>
      </c>
    </row>
    <row r="87" spans="1:6" s="1103" customFormat="1" ht="36">
      <c r="A87" s="1152">
        <v>27</v>
      </c>
      <c r="B87" s="3453"/>
      <c r="C87" s="1066" t="s">
        <v>1555</v>
      </c>
      <c r="D87" s="1066" t="s">
        <v>1556</v>
      </c>
      <c r="E87" s="1137">
        <v>0.2</v>
      </c>
      <c r="F87" s="1152">
        <v>30</v>
      </c>
    </row>
    <row r="88" spans="1:6" s="1103" customFormat="1" ht="36">
      <c r="A88" s="1152">
        <v>28</v>
      </c>
      <c r="B88" s="3453"/>
      <c r="C88" s="1066" t="s">
        <v>1557</v>
      </c>
      <c r="D88" s="1066" t="s">
        <v>1558</v>
      </c>
      <c r="E88" s="1137">
        <v>0.2</v>
      </c>
      <c r="F88" s="1152">
        <v>30</v>
      </c>
    </row>
    <row r="89" spans="1:6" s="1103" customFormat="1" ht="24">
      <c r="A89" s="1152">
        <v>29</v>
      </c>
      <c r="B89" s="3453"/>
      <c r="C89" s="1066" t="s">
        <v>1559</v>
      </c>
      <c r="D89" s="1066" t="s">
        <v>1560</v>
      </c>
      <c r="E89" s="1137">
        <v>0.2</v>
      </c>
      <c r="F89" s="1152">
        <v>30</v>
      </c>
    </row>
    <row r="90" spans="1:6" s="1103" customFormat="1" ht="24">
      <c r="A90" s="1152">
        <v>30</v>
      </c>
      <c r="B90" s="3453"/>
      <c r="C90" s="1066" t="s">
        <v>1561</v>
      </c>
      <c r="D90" s="1066" t="s">
        <v>1562</v>
      </c>
      <c r="E90" s="1137">
        <v>0.2</v>
      </c>
      <c r="F90" s="1152">
        <v>30</v>
      </c>
    </row>
    <row r="91" spans="1:6" s="1103" customFormat="1" ht="36">
      <c r="A91" s="1152">
        <v>31</v>
      </c>
      <c r="B91" s="3453"/>
      <c r="C91" s="1066" t="s">
        <v>1563</v>
      </c>
      <c r="D91" s="1066" t="s">
        <v>1564</v>
      </c>
      <c r="E91" s="1137">
        <v>0.2</v>
      </c>
      <c r="F91" s="1152">
        <v>30</v>
      </c>
    </row>
    <row r="92" spans="1:6" s="1103" customFormat="1" ht="24">
      <c r="A92" s="1152">
        <v>32</v>
      </c>
      <c r="B92" s="3453" t="s">
        <v>1565</v>
      </c>
      <c r="C92" s="1152" t="s">
        <v>1566</v>
      </c>
      <c r="D92" s="1066" t="s">
        <v>1567</v>
      </c>
      <c r="E92" s="1137">
        <v>0.2</v>
      </c>
      <c r="F92" s="1152">
        <v>30</v>
      </c>
    </row>
    <row r="93" spans="1:6" s="1103" customFormat="1" ht="36">
      <c r="A93" s="1152">
        <v>33</v>
      </c>
      <c r="B93" s="3453"/>
      <c r="C93" s="1152" t="s">
        <v>1568</v>
      </c>
      <c r="D93" s="1066" t="s">
        <v>1569</v>
      </c>
      <c r="E93" s="1137">
        <v>0.2</v>
      </c>
      <c r="F93" s="1152">
        <v>30</v>
      </c>
    </row>
    <row r="94" spans="1:6" s="1103" customFormat="1" ht="48">
      <c r="A94" s="1152">
        <v>34</v>
      </c>
      <c r="B94" s="3453"/>
      <c r="C94" s="1152" t="s">
        <v>1570</v>
      </c>
      <c r="D94" s="1066" t="s">
        <v>1571</v>
      </c>
      <c r="E94" s="1137">
        <v>0.2</v>
      </c>
      <c r="F94" s="1152">
        <v>30</v>
      </c>
    </row>
    <row r="95" spans="1:6" s="1103" customFormat="1" ht="36">
      <c r="A95" s="1152">
        <v>35</v>
      </c>
      <c r="B95" s="3453"/>
      <c r="C95" s="1152" t="s">
        <v>1572</v>
      </c>
      <c r="D95" s="1066" t="s">
        <v>1573</v>
      </c>
      <c r="E95" s="1137">
        <v>0.2</v>
      </c>
      <c r="F95" s="1152">
        <v>30</v>
      </c>
    </row>
    <row r="96" spans="1:6" s="1103" customFormat="1" ht="48">
      <c r="A96" s="1152">
        <v>36</v>
      </c>
      <c r="B96" s="3453"/>
      <c r="C96" s="1066" t="s">
        <v>1574</v>
      </c>
      <c r="D96" s="1066" t="s">
        <v>1575</v>
      </c>
      <c r="E96" s="1137">
        <v>0.2</v>
      </c>
      <c r="F96" s="1152">
        <v>30</v>
      </c>
    </row>
    <row r="97" spans="1:6" s="1103" customFormat="1" ht="36">
      <c r="A97" s="1152">
        <v>37</v>
      </c>
      <c r="B97" s="3453"/>
      <c r="C97" s="1152" t="s">
        <v>1576</v>
      </c>
      <c r="D97" s="1066" t="s">
        <v>1577</v>
      </c>
      <c r="E97" s="1137">
        <v>0.2</v>
      </c>
      <c r="F97" s="1152">
        <v>30</v>
      </c>
    </row>
    <row r="98" spans="1:6" s="1103" customFormat="1" ht="36">
      <c r="A98" s="1152">
        <v>38</v>
      </c>
      <c r="B98" s="3453"/>
      <c r="C98" s="1152" t="s">
        <v>1578</v>
      </c>
      <c r="D98" s="1066" t="s">
        <v>1579</v>
      </c>
      <c r="E98" s="1137">
        <v>0.2</v>
      </c>
      <c r="F98" s="1152">
        <v>30</v>
      </c>
    </row>
    <row r="99" spans="1:6" s="1103" customFormat="1" ht="36">
      <c r="A99" s="1152">
        <v>39</v>
      </c>
      <c r="B99" s="3453" t="s">
        <v>1580</v>
      </c>
      <c r="C99" s="1152" t="s">
        <v>1581</v>
      </c>
      <c r="D99" s="1066" t="s">
        <v>1582</v>
      </c>
      <c r="E99" s="1137">
        <v>0.3</v>
      </c>
      <c r="F99" s="1152">
        <v>50</v>
      </c>
    </row>
    <row r="100" spans="1:6" s="1103" customFormat="1" ht="24">
      <c r="A100" s="1152">
        <v>40</v>
      </c>
      <c r="B100" s="3453"/>
      <c r="C100" s="1152" t="s">
        <v>1583</v>
      </c>
      <c r="D100" s="1066" t="s">
        <v>1584</v>
      </c>
      <c r="E100" s="1137">
        <v>0.2</v>
      </c>
      <c r="F100" s="1152">
        <v>30</v>
      </c>
    </row>
    <row r="101" spans="1:6" s="1103" customFormat="1" ht="36">
      <c r="A101" s="1152">
        <v>41</v>
      </c>
      <c r="B101" s="3453"/>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53" t="s">
        <v>1595</v>
      </c>
      <c r="C105" s="1152" t="s">
        <v>1596</v>
      </c>
      <c r="D105" s="1066" t="s">
        <v>1597</v>
      </c>
      <c r="E105" s="1137">
        <v>0.2</v>
      </c>
      <c r="F105" s="1152">
        <v>30</v>
      </c>
    </row>
    <row r="106" spans="1:6" s="1103" customFormat="1" ht="36">
      <c r="A106" s="1152">
        <v>46</v>
      </c>
      <c r="B106" s="3453"/>
      <c r="C106" s="1152" t="s">
        <v>1598</v>
      </c>
      <c r="D106" s="1066" t="s">
        <v>1599</v>
      </c>
      <c r="E106" s="1137">
        <v>0.2</v>
      </c>
      <c r="F106" s="1152">
        <v>30</v>
      </c>
    </row>
    <row r="107" spans="1:6" s="1103" customFormat="1" ht="36">
      <c r="A107" s="1152">
        <v>47</v>
      </c>
      <c r="B107" s="3453" t="s">
        <v>1600</v>
      </c>
      <c r="C107" s="1152" t="s">
        <v>1601</v>
      </c>
      <c r="D107" s="1066" t="s">
        <v>1602</v>
      </c>
      <c r="E107" s="1137">
        <v>0.3</v>
      </c>
      <c r="F107" s="1152">
        <v>50</v>
      </c>
    </row>
    <row r="108" spans="1:6" s="1103" customFormat="1" ht="36">
      <c r="A108" s="1152">
        <v>48</v>
      </c>
      <c r="B108" s="3453"/>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53" t="s">
        <v>1611</v>
      </c>
      <c r="C111" s="1152" t="s">
        <v>1612</v>
      </c>
      <c r="D111" s="1066" t="s">
        <v>1613</v>
      </c>
      <c r="E111" s="1137">
        <v>0.2</v>
      </c>
      <c r="F111" s="1152">
        <v>30</v>
      </c>
    </row>
    <row r="112" spans="1:6" s="1103" customFormat="1" ht="24">
      <c r="A112" s="1152">
        <v>52</v>
      </c>
      <c r="B112" s="3453"/>
      <c r="C112" s="1152" t="s">
        <v>1614</v>
      </c>
      <c r="D112" s="1066" t="s">
        <v>1615</v>
      </c>
      <c r="E112" s="1137">
        <v>0.2</v>
      </c>
      <c r="F112" s="1152">
        <v>30</v>
      </c>
    </row>
    <row r="113" spans="1:14" s="1103" customFormat="1" ht="24">
      <c r="A113" s="1152">
        <v>53</v>
      </c>
      <c r="B113" s="3453"/>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53" t="s">
        <v>1624</v>
      </c>
      <c r="C116" s="1152" t="s">
        <v>1625</v>
      </c>
      <c r="D116" s="1066" t="s">
        <v>1626</v>
      </c>
      <c r="E116" s="1137">
        <v>0.2</v>
      </c>
      <c r="F116" s="1152">
        <v>30</v>
      </c>
    </row>
    <row r="117" spans="1:14" ht="36">
      <c r="A117" s="1152">
        <v>57</v>
      </c>
      <c r="B117" s="3453"/>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52" t="s">
        <v>1633</v>
      </c>
      <c r="B121" s="3452"/>
      <c r="C121" s="3452"/>
      <c r="D121" s="3452"/>
      <c r="E121" s="3452"/>
      <c r="F121" s="3452"/>
      <c r="G121" s="3452"/>
      <c r="H121" s="3452"/>
      <c r="I121" s="3452"/>
      <c r="J121" s="3452"/>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57" t="s">
        <v>1039</v>
      </c>
      <c r="B1" s="3457"/>
      <c r="C1" s="3457"/>
      <c r="D1" s="3457"/>
      <c r="E1" s="3457"/>
      <c r="F1" s="3457"/>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58" t="s">
        <v>1052</v>
      </c>
      <c r="B2" s="3458"/>
      <c r="C2" s="3458"/>
      <c r="D2" s="3458"/>
      <c r="E2" s="3458"/>
      <c r="F2" s="3458"/>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59"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60"/>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2420</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2421</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中信信托有限责任公司：</v>
      </c>
    </row>
    <row r="4" spans="1:4" ht="56.25">
      <c r="A4" s="1791" t="str">
        <f>"受贵公司委托，我公司对"&amp;项目基本情况!K2&amp;项目基本情况!B9&amp;"进行了预评估。"</f>
        <v>受贵公司委托，我公司对江苏省镇江市镇江新区丁岗三三八省道北321102092092GB01229W00000000号一宗住宅、商业用地出让国有建设用地使用权抵押价格进行了预评估。</v>
      </c>
    </row>
    <row r="5" spans="1:4" ht="18.75">
      <c r="A5" s="1794" t="s">
        <v>1905</v>
      </c>
    </row>
    <row r="6" spans="1:4" ht="13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苏瀚瑞投资控股有限公司使用的、位于江苏省镇江市镇江新区丁岗三三八省道北321102092092GB01229W00000000号一宗住宅、商业用地出让国有建设用地使用权。根据《不动产权证书》[苏（2018）镇江市不动产权第9000056号]，估价对象（分摊）出让国有建设用地使用权面积为117823.1平方米。根据《国有建设用地使用权出让合同》及附件[编号：3211232010CR012]、《土地情况说明》，估价对象规划建筑面积为412380.85平方米。</v>
      </c>
    </row>
    <row r="7" spans="1:4" ht="56.25">
      <c r="A7" s="1795" t="s">
        <v>2743</v>
      </c>
    </row>
    <row r="8" spans="1:4" ht="18.75">
      <c r="A8" s="1794" t="s">
        <v>1906</v>
      </c>
    </row>
    <row r="9" spans="1:4" ht="112.5">
      <c r="A9" s="1796" t="str">
        <f>IF(项目基本情况!B8="抵押",IF(项目基本情况!B5=项目基本情况!B6,定义!C51,定义!B51),定义!D51)</f>
        <v>江苏瀚瑞投资控股有限公司拟使用江苏省镇江市镇江新区丁岗三三八省道北321102092092GB01229W00000000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2018年12月11日（评估专业人员勘察现场之日）</v>
      </c>
    </row>
    <row r="12" spans="1:4" ht="18.75">
      <c r="A12" s="1797" t="s">
        <v>2025</v>
      </c>
    </row>
    <row r="13" spans="1:4" ht="18.75">
      <c r="A13" s="1791" t="s">
        <v>2930</v>
      </c>
    </row>
    <row r="14" spans="1:4" ht="37.5">
      <c r="A14" s="1791" t="str">
        <f>"根据"&amp;项目基本情况!F12&amp;"，本次评估估价对象证载（地类）用途为"&amp;项目基本情况!B12&amp;"。"</f>
        <v>根据《不动产权证书》[苏（2018）镇江市不动产权第9000056号]，本次评估估价对象证载（地类）用途为城镇住宅、商务金融用地。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1" t="s">
        <v>2073</v>
      </c>
    </row>
    <row r="20" spans="1:1" ht="7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镇江市不动产权第9000056号]，估价对象（分摊）出让国有建设用地使用权面积为117823.1平方米。根据《国有建设用地使用权出让合同》及附件[编号：3211232010CR012]、《土地情况说明》，估价对象规划建筑面积为412380.85平方米。</v>
      </c>
    </row>
    <row r="21" spans="1:1" ht="18.75">
      <c r="A21" s="1791" t="s">
        <v>2074</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镇江市不动产权第9000056号]证载土地终止日期为住宅2080年10月31日、商业2050年10月31日。截至估价期日，出让国有建设用地使用权剩余土地使用年限为住宅61.9年、商业31.9年。</v>
      </c>
    </row>
    <row r="23" spans="1:1" ht="18.75">
      <c r="A23" s="1791" t="str">
        <f>IF(项目基本情况!B16="出让","本次评估设定估价对象剩余土地使用年限为"&amp;项目基本情况!D20&amp;"。","")</f>
        <v>本次评估设定估价对象剩余土地使用年限为住宅61.9年、商业31.9年。</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12月11日，在规划利用条件下、设定土地开发程度为红线外“六通”、宗地内场地平整，设定用途为住宅、商业用地，剩余土地使用年限为住宅61.9年、商业31.9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61" t="s">
        <v>2079</v>
      </c>
      <c r="B1" s="3461"/>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1096</v>
      </c>
      <c r="B6" s="1859" t="s">
        <v>2088</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2089</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2090</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2091</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2092</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2093</v>
      </c>
      <c r="C72" s="1869"/>
      <c r="D72" s="1869"/>
      <c r="E72" s="1869"/>
      <c r="F72" s="1861">
        <v>0.05</v>
      </c>
    </row>
    <row r="73" spans="1:6" ht="14.25" thickBot="1">
      <c r="A73" s="1855" t="s">
        <v>924</v>
      </c>
      <c r="B73" s="1859" t="s">
        <v>2094</v>
      </c>
      <c r="C73" s="1869"/>
      <c r="D73" s="1869"/>
      <c r="E73" s="1869"/>
      <c r="F73" s="1861">
        <v>0.05</v>
      </c>
    </row>
    <row r="74" spans="1:6" ht="14.25" thickBot="1">
      <c r="A74" s="1855" t="s">
        <v>924</v>
      </c>
      <c r="B74" s="1859" t="s">
        <v>2095</v>
      </c>
      <c r="C74" s="1869"/>
      <c r="D74" s="1869"/>
      <c r="E74" s="1869"/>
      <c r="F74" s="1861">
        <v>0.05</v>
      </c>
    </row>
    <row r="75" spans="1:6" ht="14.25" thickBot="1">
      <c r="A75" s="1863" t="s">
        <v>924</v>
      </c>
      <c r="B75" s="1870" t="s">
        <v>2096</v>
      </c>
      <c r="C75" s="1866"/>
      <c r="D75" s="1866"/>
      <c r="E75" s="1866"/>
      <c r="F75" s="1871">
        <v>0.05</v>
      </c>
    </row>
    <row r="76" spans="1:6" ht="14.25" thickBot="1">
      <c r="A76" s="1855" t="s">
        <v>1407</v>
      </c>
      <c r="B76" s="1856" t="s">
        <v>2097</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2098</v>
      </c>
      <c r="C102" s="1869"/>
      <c r="D102" s="1869"/>
      <c r="E102" s="1869"/>
      <c r="F102" s="1861">
        <v>0.05</v>
      </c>
    </row>
    <row r="103" spans="1:6" ht="24.75" thickBot="1">
      <c r="A103" s="1855" t="s">
        <v>1407</v>
      </c>
      <c r="B103" s="1859" t="s">
        <v>2099</v>
      </c>
      <c r="C103" s="1869"/>
      <c r="D103" s="1869"/>
      <c r="E103" s="1869"/>
      <c r="F103" s="1861">
        <v>0.05</v>
      </c>
    </row>
    <row r="104" spans="1:6" ht="14.25" thickBot="1">
      <c r="A104" s="1855" t="s">
        <v>1407</v>
      </c>
      <c r="B104" s="1859" t="s">
        <v>2100</v>
      </c>
      <c r="C104" s="1869"/>
      <c r="D104" s="1869"/>
      <c r="E104" s="1869"/>
      <c r="F104" s="1861">
        <v>0.05</v>
      </c>
    </row>
    <row r="105" spans="1:6" ht="14.25" thickBot="1">
      <c r="A105" s="1855" t="s">
        <v>1407</v>
      </c>
      <c r="B105" s="1859" t="s">
        <v>2101</v>
      </c>
      <c r="C105" s="1869"/>
      <c r="D105" s="1869"/>
      <c r="E105" s="1869"/>
      <c r="F105" s="1861">
        <v>0.05</v>
      </c>
    </row>
    <row r="106" spans="1:6" ht="14.25" thickBot="1">
      <c r="A106" s="1855" t="s">
        <v>1407</v>
      </c>
      <c r="B106" s="1859" t="s">
        <v>2102</v>
      </c>
      <c r="C106" s="1869"/>
      <c r="D106" s="1869"/>
      <c r="E106" s="1869"/>
      <c r="F106" s="1861">
        <v>0.05</v>
      </c>
    </row>
    <row r="107" spans="1:6" ht="24.75" thickBot="1">
      <c r="A107" s="1855" t="s">
        <v>1407</v>
      </c>
      <c r="B107" s="1859" t="s">
        <v>2103</v>
      </c>
      <c r="C107" s="1869"/>
      <c r="D107" s="1869"/>
      <c r="E107" s="1869"/>
      <c r="F107" s="1861">
        <v>0.05</v>
      </c>
    </row>
    <row r="108" spans="1:6" ht="24.75" thickBot="1">
      <c r="A108" s="1855" t="s">
        <v>1407</v>
      </c>
      <c r="B108" s="1859" t="s">
        <v>2104</v>
      </c>
      <c r="C108" s="1869"/>
      <c r="D108" s="1869"/>
      <c r="E108" s="1869"/>
      <c r="F108" s="1861">
        <v>0.05</v>
      </c>
    </row>
    <row r="109" spans="1:6" ht="24.75" thickBot="1">
      <c r="A109" s="1863" t="s">
        <v>1407</v>
      </c>
      <c r="B109" s="1870" t="s">
        <v>2105</v>
      </c>
      <c r="C109" s="1866"/>
      <c r="D109" s="1866"/>
      <c r="E109" s="1866"/>
      <c r="F109" s="1871">
        <v>0.05</v>
      </c>
    </row>
    <row r="110" spans="1:6" ht="14.25" thickBot="1">
      <c r="A110" s="1855" t="s">
        <v>1409</v>
      </c>
      <c r="B110" s="1856" t="s">
        <v>2106</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2107</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2108</v>
      </c>
      <c r="C138" s="1860">
        <v>0.105</v>
      </c>
      <c r="D138" s="1860">
        <v>0.125</v>
      </c>
      <c r="E138" s="1860">
        <v>0.112</v>
      </c>
      <c r="F138" s="1868"/>
    </row>
    <row r="139" spans="1:6" ht="14.25" thickBot="1">
      <c r="A139" s="1855" t="s">
        <v>1409</v>
      </c>
      <c r="B139" s="1859" t="s">
        <v>2109</v>
      </c>
      <c r="C139" s="1860">
        <v>0.127</v>
      </c>
      <c r="D139" s="1860">
        <v>0.127</v>
      </c>
      <c r="E139" s="1860">
        <v>0.122</v>
      </c>
      <c r="F139" s="1861">
        <v>0.13</v>
      </c>
    </row>
    <row r="140" spans="1:6" ht="14.25" thickBot="1">
      <c r="A140" s="1855" t="s">
        <v>1409</v>
      </c>
      <c r="B140" s="1859" t="s">
        <v>2110</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2111</v>
      </c>
      <c r="C144" s="1873">
        <v>0.126</v>
      </c>
      <c r="D144" s="1873">
        <v>0.126</v>
      </c>
      <c r="E144" s="1873">
        <v>0.121</v>
      </c>
      <c r="F144" s="1868"/>
    </row>
    <row r="145" spans="1:6" ht="14.25" thickBot="1">
      <c r="A145" s="1863" t="s">
        <v>1409</v>
      </c>
      <c r="B145" s="1874" t="s">
        <v>2112</v>
      </c>
      <c r="C145" s="1875"/>
      <c r="D145" s="1875"/>
      <c r="E145" s="1875"/>
      <c r="F145" s="1876">
        <v>0.05</v>
      </c>
    </row>
    <row r="146" spans="1:6" ht="24.75" thickBot="1">
      <c r="A146" s="1877" t="s">
        <v>1409</v>
      </c>
      <c r="B146" s="1862" t="s">
        <v>2113</v>
      </c>
      <c r="C146" s="1869"/>
      <c r="D146" s="1869"/>
      <c r="E146" s="1869"/>
      <c r="F146" s="1878">
        <v>0.05</v>
      </c>
    </row>
    <row r="147" spans="1:6" ht="24.75" thickBot="1">
      <c r="A147" s="1855" t="s">
        <v>1409</v>
      </c>
      <c r="B147" s="1859" t="s">
        <v>2114</v>
      </c>
      <c r="C147" s="1869"/>
      <c r="D147" s="1869"/>
      <c r="E147" s="1869"/>
      <c r="F147" s="1861">
        <v>0.05</v>
      </c>
    </row>
    <row r="148" spans="1:6" ht="24.75" thickBot="1">
      <c r="A148" s="1855" t="s">
        <v>1409</v>
      </c>
      <c r="B148" s="1859" t="s">
        <v>2115</v>
      </c>
      <c r="C148" s="1869"/>
      <c r="D148" s="1869"/>
      <c r="E148" s="1869"/>
      <c r="F148" s="1861">
        <v>0.05</v>
      </c>
    </row>
    <row r="149" spans="1:6" ht="24.75" thickBot="1">
      <c r="A149" s="1855" t="s">
        <v>1409</v>
      </c>
      <c r="B149" s="1859" t="s">
        <v>2116</v>
      </c>
      <c r="C149" s="1869"/>
      <c r="D149" s="1869"/>
      <c r="E149" s="1869"/>
      <c r="F149" s="1861">
        <v>0.05</v>
      </c>
    </row>
    <row r="150" spans="1:6" ht="24.75" thickBot="1">
      <c r="A150" s="1855" t="s">
        <v>1409</v>
      </c>
      <c r="B150" s="1859" t="s">
        <v>2117</v>
      </c>
      <c r="C150" s="1869"/>
      <c r="D150" s="1869"/>
      <c r="E150" s="1869"/>
      <c r="F150" s="1861">
        <v>0.05</v>
      </c>
    </row>
    <row r="151" spans="1:6" ht="24.75" thickBot="1">
      <c r="A151" s="1855" t="s">
        <v>1409</v>
      </c>
      <c r="B151" s="1859" t="s">
        <v>2118</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2119</v>
      </c>
      <c r="C153" s="1869"/>
      <c r="D153" s="1869"/>
      <c r="E153" s="1869"/>
      <c r="F153" s="1861">
        <v>0.05</v>
      </c>
    </row>
    <row r="154" spans="1:6" ht="14.25" thickBot="1">
      <c r="A154" s="1855" t="s">
        <v>1409</v>
      </c>
      <c r="B154" s="1859" t="s">
        <v>2120</v>
      </c>
      <c r="C154" s="1869"/>
      <c r="D154" s="1869"/>
      <c r="E154" s="1869"/>
      <c r="F154" s="1861">
        <v>0.05</v>
      </c>
    </row>
    <row r="155" spans="1:6" ht="24.75" thickBot="1">
      <c r="A155" s="1855" t="s">
        <v>1409</v>
      </c>
      <c r="B155" s="1859" t="s">
        <v>2121</v>
      </c>
      <c r="C155" s="1869"/>
      <c r="D155" s="1869"/>
      <c r="E155" s="1869"/>
      <c r="F155" s="1861">
        <v>0.05</v>
      </c>
    </row>
    <row r="156" spans="1:6" ht="24.75" thickBot="1">
      <c r="A156" s="1855" t="s">
        <v>1409</v>
      </c>
      <c r="B156" s="1859" t="s">
        <v>2122</v>
      </c>
      <c r="C156" s="1869"/>
      <c r="D156" s="1869"/>
      <c r="E156" s="1869"/>
      <c r="F156" s="1861">
        <v>0.05</v>
      </c>
    </row>
    <row r="157" spans="1:6" ht="14.25" thickBot="1">
      <c r="A157" s="1863" t="s">
        <v>1409</v>
      </c>
      <c r="B157" s="1870" t="s">
        <v>2123</v>
      </c>
      <c r="C157" s="1866"/>
      <c r="D157" s="1866"/>
      <c r="E157" s="1866"/>
      <c r="F157" s="1871">
        <v>0.05</v>
      </c>
    </row>
    <row r="158" spans="1:6" ht="14.25" thickBot="1">
      <c r="A158" s="1855" t="s">
        <v>1411</v>
      </c>
      <c r="B158" s="1856" t="s">
        <v>2124</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2125</v>
      </c>
      <c r="C171" s="1860">
        <v>0.127</v>
      </c>
      <c r="D171" s="1860">
        <v>0.126</v>
      </c>
      <c r="E171" s="1860">
        <v>0.126</v>
      </c>
      <c r="F171" s="1861">
        <v>0.11799999999999999</v>
      </c>
    </row>
    <row r="172" spans="1:6" ht="14.25" thickBot="1">
      <c r="A172" s="1855" t="s">
        <v>1411</v>
      </c>
      <c r="B172" s="1859" t="s">
        <v>2126</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2127</v>
      </c>
      <c r="C174" s="1860">
        <v>0.13</v>
      </c>
      <c r="D174" s="1860">
        <v>0.13</v>
      </c>
      <c r="E174" s="1860">
        <v>0.13</v>
      </c>
      <c r="F174" s="1861">
        <v>0.13</v>
      </c>
    </row>
    <row r="175" spans="1:6" ht="14.25" thickBot="1">
      <c r="A175" s="1855" t="s">
        <v>1411</v>
      </c>
      <c r="B175" s="1859" t="s">
        <v>2128</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2129</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2130</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2131</v>
      </c>
      <c r="C185" s="1860">
        <v>0.127</v>
      </c>
      <c r="D185" s="1860">
        <v>0.127</v>
      </c>
      <c r="E185" s="1860">
        <v>0.128</v>
      </c>
      <c r="F185" s="1861">
        <v>0.13</v>
      </c>
    </row>
    <row r="186" spans="1:6" ht="24.75" thickBot="1">
      <c r="A186" s="1855" t="s">
        <v>1411</v>
      </c>
      <c r="B186" s="1859" t="s">
        <v>2132</v>
      </c>
      <c r="C186" s="1869"/>
      <c r="D186" s="1869"/>
      <c r="E186" s="1869"/>
      <c r="F186" s="1861">
        <v>0.05</v>
      </c>
    </row>
    <row r="187" spans="1:6" ht="14.25" thickBot="1">
      <c r="A187" s="1855" t="s">
        <v>1411</v>
      </c>
      <c r="B187" s="1859" t="s">
        <v>2133</v>
      </c>
      <c r="C187" s="1869"/>
      <c r="D187" s="1869"/>
      <c r="E187" s="1869"/>
      <c r="F187" s="1861">
        <v>0.05</v>
      </c>
    </row>
    <row r="188" spans="1:6" ht="14.25" thickBot="1">
      <c r="A188" s="1855" t="s">
        <v>1411</v>
      </c>
      <c r="B188" s="1859" t="s">
        <v>2134</v>
      </c>
      <c r="C188" s="1869"/>
      <c r="D188" s="1869"/>
      <c r="E188" s="1869"/>
      <c r="F188" s="1861">
        <v>0.05</v>
      </c>
    </row>
    <row r="189" spans="1:6" ht="24.75" thickBot="1">
      <c r="A189" s="1855" t="s">
        <v>1411</v>
      </c>
      <c r="B189" s="1859" t="s">
        <v>2135</v>
      </c>
      <c r="C189" s="1869"/>
      <c r="D189" s="1869"/>
      <c r="E189" s="1869"/>
      <c r="F189" s="1861">
        <v>0.05</v>
      </c>
    </row>
    <row r="190" spans="1:6" ht="24.75" thickBot="1">
      <c r="A190" s="1855" t="s">
        <v>1411</v>
      </c>
      <c r="B190" s="1859" t="s">
        <v>2136</v>
      </c>
      <c r="C190" s="1869"/>
      <c r="D190" s="1869"/>
      <c r="E190" s="1869"/>
      <c r="F190" s="1861">
        <v>0.05</v>
      </c>
    </row>
    <row r="191" spans="1:6" ht="24.75" thickBot="1">
      <c r="A191" s="1855" t="s">
        <v>1411</v>
      </c>
      <c r="B191" s="1859" t="s">
        <v>2137</v>
      </c>
      <c r="C191" s="1869"/>
      <c r="D191" s="1869"/>
      <c r="E191" s="1869"/>
      <c r="F191" s="1861">
        <v>0.05</v>
      </c>
    </row>
    <row r="192" spans="1:6" ht="24.75" thickBot="1">
      <c r="A192" s="1855" t="s">
        <v>1411</v>
      </c>
      <c r="B192" s="1859" t="s">
        <v>2138</v>
      </c>
      <c r="C192" s="1869"/>
      <c r="D192" s="1869"/>
      <c r="E192" s="1869"/>
      <c r="F192" s="1861">
        <v>0.05</v>
      </c>
    </row>
    <row r="193" spans="1:6" ht="24.75" thickBot="1">
      <c r="A193" s="1855" t="s">
        <v>1411</v>
      </c>
      <c r="B193" s="1859" t="s">
        <v>2139</v>
      </c>
      <c r="C193" s="1869"/>
      <c r="D193" s="1869"/>
      <c r="E193" s="1869"/>
      <c r="F193" s="1861">
        <v>0.05</v>
      </c>
    </row>
    <row r="194" spans="1:6" ht="24.75" thickBot="1">
      <c r="A194" s="1855" t="s">
        <v>1411</v>
      </c>
      <c r="B194" s="1859" t="s">
        <v>2140</v>
      </c>
      <c r="C194" s="1869"/>
      <c r="D194" s="1869"/>
      <c r="E194" s="1869"/>
      <c r="F194" s="1861">
        <v>0.05</v>
      </c>
    </row>
    <row r="195" spans="1:6" ht="14.25" thickBot="1">
      <c r="A195" s="1855" t="s">
        <v>1411</v>
      </c>
      <c r="B195" s="1859" t="s">
        <v>2141</v>
      </c>
      <c r="C195" s="1869"/>
      <c r="D195" s="1869"/>
      <c r="E195" s="1869"/>
      <c r="F195" s="1861">
        <v>0.05</v>
      </c>
    </row>
    <row r="196" spans="1:6" ht="24.75" thickBot="1">
      <c r="A196" s="1855" t="s">
        <v>1411</v>
      </c>
      <c r="B196" s="1859" t="s">
        <v>2142</v>
      </c>
      <c r="C196" s="1869"/>
      <c r="D196" s="1869"/>
      <c r="E196" s="1869"/>
      <c r="F196" s="1861">
        <v>0.05</v>
      </c>
    </row>
    <row r="197" spans="1:6" ht="24.75" thickBot="1">
      <c r="A197" s="1855" t="s">
        <v>1411</v>
      </c>
      <c r="B197" s="1859" t="s">
        <v>2143</v>
      </c>
      <c r="C197" s="1869"/>
      <c r="D197" s="1869"/>
      <c r="E197" s="1869"/>
      <c r="F197" s="1861">
        <v>0.05</v>
      </c>
    </row>
    <row r="198" spans="1:6" ht="24.75" thickBot="1">
      <c r="A198" s="1855" t="s">
        <v>1411</v>
      </c>
      <c r="B198" s="1859" t="s">
        <v>2144</v>
      </c>
      <c r="C198" s="1869"/>
      <c r="D198" s="1869"/>
      <c r="E198" s="1869"/>
      <c r="F198" s="1861">
        <v>0.05</v>
      </c>
    </row>
    <row r="199" spans="1:6" ht="24.75" thickBot="1">
      <c r="A199" s="1855" t="s">
        <v>1411</v>
      </c>
      <c r="B199" s="1859" t="s">
        <v>2145</v>
      </c>
      <c r="C199" s="1869"/>
      <c r="D199" s="1869"/>
      <c r="E199" s="1869"/>
      <c r="F199" s="1861">
        <v>0.05</v>
      </c>
    </row>
    <row r="200" spans="1:6" ht="24.75" thickBot="1">
      <c r="A200" s="1855" t="s">
        <v>1411</v>
      </c>
      <c r="B200" s="1859" t="s">
        <v>2146</v>
      </c>
      <c r="C200" s="1869"/>
      <c r="D200" s="1869"/>
      <c r="E200" s="1869"/>
      <c r="F200" s="1861">
        <v>0.05</v>
      </c>
    </row>
    <row r="201" spans="1:6" ht="24.75" thickBot="1">
      <c r="A201" s="1855" t="s">
        <v>1411</v>
      </c>
      <c r="B201" s="1859" t="s">
        <v>2147</v>
      </c>
      <c r="C201" s="1869"/>
      <c r="D201" s="1869"/>
      <c r="E201" s="1869"/>
      <c r="F201" s="1861">
        <v>0.05</v>
      </c>
    </row>
    <row r="202" spans="1:6" ht="24.75" thickBot="1">
      <c r="A202" s="1855" t="s">
        <v>1411</v>
      </c>
      <c r="B202" s="1859" t="s">
        <v>2148</v>
      </c>
      <c r="C202" s="1869"/>
      <c r="D202" s="1869"/>
      <c r="E202" s="1869"/>
      <c r="F202" s="1861">
        <v>0.05</v>
      </c>
    </row>
    <row r="203" spans="1:6" ht="24.75" thickBot="1">
      <c r="A203" s="1855" t="s">
        <v>1411</v>
      </c>
      <c r="B203" s="1859" t="s">
        <v>2149</v>
      </c>
      <c r="C203" s="1869"/>
      <c r="D203" s="1869"/>
      <c r="E203" s="1869"/>
      <c r="F203" s="1861">
        <v>0.05</v>
      </c>
    </row>
    <row r="204" spans="1:6" ht="14.25" thickBot="1">
      <c r="A204" s="1855" t="s">
        <v>1411</v>
      </c>
      <c r="B204" s="1859" t="s">
        <v>2150</v>
      </c>
      <c r="C204" s="1869"/>
      <c r="D204" s="1869"/>
      <c r="E204" s="1869"/>
      <c r="F204" s="1861">
        <v>0.05</v>
      </c>
    </row>
    <row r="205" spans="1:6" ht="14.25" thickBot="1">
      <c r="A205" s="1863" t="s">
        <v>1411</v>
      </c>
      <c r="B205" s="1870" t="s">
        <v>2151</v>
      </c>
      <c r="C205" s="1866"/>
      <c r="D205" s="1866"/>
      <c r="E205" s="1866"/>
      <c r="F205" s="1871">
        <v>0.05</v>
      </c>
    </row>
    <row r="206" spans="1:6" ht="14.25" thickBot="1">
      <c r="A206" s="1855" t="s">
        <v>1413</v>
      </c>
      <c r="B206" s="1856" t="s">
        <v>2152</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2153</v>
      </c>
      <c r="C210" s="1860">
        <v>0.15</v>
      </c>
      <c r="D210" s="1860">
        <v>0.15</v>
      </c>
      <c r="E210" s="1860">
        <v>0.15</v>
      </c>
      <c r="F210" s="1861">
        <v>0.13800000000000001</v>
      </c>
    </row>
    <row r="211" spans="1:6" ht="14.25" thickBot="1">
      <c r="A211" s="1855" t="s">
        <v>1413</v>
      </c>
      <c r="B211" s="1859" t="s">
        <v>2154</v>
      </c>
      <c r="C211" s="1860">
        <v>0.13700000000000001</v>
      </c>
      <c r="D211" s="1860">
        <v>0.13500000000000001</v>
      </c>
      <c r="E211" s="1860">
        <v>0.13600000000000001</v>
      </c>
      <c r="F211" s="1861">
        <v>0.1</v>
      </c>
    </row>
    <row r="212" spans="1:6" ht="14.25" thickBot="1">
      <c r="A212" s="1855" t="s">
        <v>1413</v>
      </c>
      <c r="B212" s="1859" t="s">
        <v>2155</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2156</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2157</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2158</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2159</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2160</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2161</v>
      </c>
      <c r="C231" s="1860">
        <v>0.128</v>
      </c>
      <c r="D231" s="1860">
        <v>0.125</v>
      </c>
      <c r="E231" s="1860">
        <v>0.13200000000000001</v>
      </c>
      <c r="F231" s="1868"/>
    </row>
    <row r="232" spans="1:6" ht="14.25" thickBot="1">
      <c r="A232" s="1855" t="s">
        <v>1413</v>
      </c>
      <c r="B232" s="1859" t="s">
        <v>2162</v>
      </c>
      <c r="C232" s="1860">
        <v>0.14499999999999999</v>
      </c>
      <c r="D232" s="1860">
        <v>0.14399999999999999</v>
      </c>
      <c r="E232" s="1860">
        <v>0.14599999999999999</v>
      </c>
      <c r="F232" s="1861">
        <v>0.13800000000000001</v>
      </c>
    </row>
    <row r="233" spans="1:6" ht="14.25" thickBot="1">
      <c r="A233" s="1855" t="s">
        <v>1413</v>
      </c>
      <c r="B233" s="1859" t="s">
        <v>2163</v>
      </c>
      <c r="C233" s="1860">
        <v>0.14499999999999999</v>
      </c>
      <c r="D233" s="1860">
        <v>0.14299999999999999</v>
      </c>
      <c r="E233" s="1860">
        <v>0.14199999999999999</v>
      </c>
      <c r="F233" s="1868"/>
    </row>
    <row r="234" spans="1:6" ht="14.25" thickBot="1">
      <c r="A234" s="1855" t="s">
        <v>1413</v>
      </c>
      <c r="B234" s="1859" t="s">
        <v>2164</v>
      </c>
      <c r="C234" s="1860">
        <v>0.14000000000000001</v>
      </c>
      <c r="D234" s="1860">
        <v>0.14000000000000001</v>
      </c>
      <c r="E234" s="1860">
        <v>0.14399999999999999</v>
      </c>
      <c r="F234" s="1868"/>
    </row>
    <row r="235" spans="1:6" ht="14.25" thickBot="1">
      <c r="A235" s="1855" t="s">
        <v>1413</v>
      </c>
      <c r="B235" s="1859" t="s">
        <v>2165</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2166</v>
      </c>
      <c r="C237" s="1869"/>
      <c r="D237" s="1869"/>
      <c r="E237" s="1869"/>
      <c r="F237" s="1861">
        <v>0.05</v>
      </c>
    </row>
    <row r="238" spans="1:6" ht="24.75" thickBot="1">
      <c r="A238" s="1855" t="s">
        <v>1413</v>
      </c>
      <c r="B238" s="1859" t="s">
        <v>2167</v>
      </c>
      <c r="C238" s="1869"/>
      <c r="D238" s="1869"/>
      <c r="E238" s="1869"/>
      <c r="F238" s="1861">
        <v>0.05</v>
      </c>
    </row>
    <row r="239" spans="1:6" ht="24.75" thickBot="1">
      <c r="A239" s="1855" t="s">
        <v>1413</v>
      </c>
      <c r="B239" s="1859" t="s">
        <v>2168</v>
      </c>
      <c r="C239" s="1869"/>
      <c r="D239" s="1869"/>
      <c r="E239" s="1869"/>
      <c r="F239" s="1861">
        <v>0.05</v>
      </c>
    </row>
    <row r="240" spans="1:6" ht="24.75" thickBot="1">
      <c r="A240" s="1855" t="s">
        <v>1413</v>
      </c>
      <c r="B240" s="1859" t="s">
        <v>2169</v>
      </c>
      <c r="C240" s="1869"/>
      <c r="D240" s="1869"/>
      <c r="E240" s="1869"/>
      <c r="F240" s="1861">
        <v>0.05</v>
      </c>
    </row>
    <row r="241" spans="1:6" ht="24.75" thickBot="1">
      <c r="A241" s="1855" t="s">
        <v>1413</v>
      </c>
      <c r="B241" s="1859" t="s">
        <v>2170</v>
      </c>
      <c r="C241" s="1869"/>
      <c r="D241" s="1869"/>
      <c r="E241" s="1869"/>
      <c r="F241" s="1861">
        <v>0.05</v>
      </c>
    </row>
    <row r="242" spans="1:6" ht="24.75" thickBot="1">
      <c r="A242" s="1855" t="s">
        <v>1413</v>
      </c>
      <c r="B242" s="1859" t="s">
        <v>2171</v>
      </c>
      <c r="C242" s="1869"/>
      <c r="D242" s="1869"/>
      <c r="E242" s="1869"/>
      <c r="F242" s="1861">
        <v>0.05</v>
      </c>
    </row>
    <row r="243" spans="1:6" ht="24.75" thickBot="1">
      <c r="A243" s="1855" t="s">
        <v>1413</v>
      </c>
      <c r="B243" s="1859" t="s">
        <v>2172</v>
      </c>
      <c r="C243" s="1869"/>
      <c r="D243" s="1869"/>
      <c r="E243" s="1869"/>
      <c r="F243" s="1861">
        <v>0.05</v>
      </c>
    </row>
    <row r="244" spans="1:6" ht="24.75" thickBot="1">
      <c r="A244" s="1863" t="s">
        <v>1413</v>
      </c>
      <c r="B244" s="1870" t="s">
        <v>2173</v>
      </c>
      <c r="C244" s="1866"/>
      <c r="D244" s="1866"/>
      <c r="E244" s="1866"/>
      <c r="F244" s="1871">
        <v>0.05</v>
      </c>
    </row>
    <row r="245" spans="1:6" ht="14.25" thickBot="1">
      <c r="A245" s="1855" t="s">
        <v>1415</v>
      </c>
      <c r="B245" s="1856" t="s">
        <v>2174</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2175</v>
      </c>
      <c r="C247" s="1860">
        <v>0.15</v>
      </c>
      <c r="D247" s="1860">
        <v>0.15</v>
      </c>
      <c r="E247" s="1860">
        <v>0.15</v>
      </c>
      <c r="F247" s="1861">
        <v>0.15</v>
      </c>
    </row>
    <row r="248" spans="1:6" ht="14.25" thickBot="1">
      <c r="A248" s="1855" t="s">
        <v>1415</v>
      </c>
      <c r="B248" s="1859" t="s">
        <v>2176</v>
      </c>
      <c r="C248" s="1860">
        <v>0.15</v>
      </c>
      <c r="D248" s="1860">
        <v>0.15</v>
      </c>
      <c r="E248" s="1860">
        <v>0.15</v>
      </c>
      <c r="F248" s="1861">
        <v>0.14000000000000001</v>
      </c>
    </row>
    <row r="249" spans="1:6" ht="14.25" thickBot="1">
      <c r="A249" s="1855" t="s">
        <v>1415</v>
      </c>
      <c r="B249" s="1859" t="s">
        <v>2177</v>
      </c>
      <c r="C249" s="1860">
        <v>0.15</v>
      </c>
      <c r="D249" s="1860">
        <v>0.14899999999999999</v>
      </c>
      <c r="E249" s="1860">
        <v>0.15</v>
      </c>
      <c r="F249" s="1861">
        <v>0.1</v>
      </c>
    </row>
    <row r="250" spans="1:6" ht="14.25" thickBot="1">
      <c r="A250" s="1855" t="s">
        <v>1415</v>
      </c>
      <c r="B250" s="1859" t="s">
        <v>2178</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2179</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2180</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2181</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2182</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2183</v>
      </c>
      <c r="C273" s="1860">
        <v>0.14199999999999999</v>
      </c>
      <c r="D273" s="1860">
        <v>0.14299999999999999</v>
      </c>
      <c r="E273" s="1860">
        <v>0.15</v>
      </c>
      <c r="F273" s="1861">
        <v>0.1</v>
      </c>
    </row>
    <row r="274" spans="1:6" ht="14.25" thickBot="1">
      <c r="A274" s="1855" t="s">
        <v>1415</v>
      </c>
      <c r="B274" s="1859" t="s">
        <v>2184</v>
      </c>
      <c r="C274" s="1860">
        <v>0.14799999999999999</v>
      </c>
      <c r="D274" s="1860">
        <v>0.14799999999999999</v>
      </c>
      <c r="E274" s="1860">
        <v>0.15</v>
      </c>
      <c r="F274" s="1861">
        <v>6.7000000000000004E-2</v>
      </c>
    </row>
    <row r="275" spans="1:6" ht="14.25" thickBot="1">
      <c r="A275" s="1855" t="s">
        <v>1415</v>
      </c>
      <c r="B275" s="1859" t="s">
        <v>2185</v>
      </c>
      <c r="C275" s="1860">
        <v>0.15</v>
      </c>
      <c r="D275" s="1860">
        <v>0.15</v>
      </c>
      <c r="E275" s="1860">
        <v>0.15</v>
      </c>
      <c r="F275" s="1861">
        <v>0.15</v>
      </c>
    </row>
    <row r="276" spans="1:6" ht="14.25" thickBot="1">
      <c r="A276" s="1855" t="s">
        <v>1415</v>
      </c>
      <c r="B276" s="1859" t="s">
        <v>2186</v>
      </c>
      <c r="C276" s="1860">
        <v>0.14499999999999999</v>
      </c>
      <c r="D276" s="1860">
        <v>0.14299999999999999</v>
      </c>
      <c r="E276" s="1860">
        <v>0.15</v>
      </c>
      <c r="F276" s="1861">
        <v>5.8999999999999997E-2</v>
      </c>
    </row>
    <row r="277" spans="1:6" ht="14.25" thickBot="1">
      <c r="A277" s="1855" t="s">
        <v>1415</v>
      </c>
      <c r="B277" s="1859" t="s">
        <v>2187</v>
      </c>
      <c r="C277" s="1860">
        <v>0.15</v>
      </c>
      <c r="D277" s="1860">
        <v>0.15</v>
      </c>
      <c r="E277" s="1860">
        <v>0.15</v>
      </c>
      <c r="F277" s="1861">
        <v>0.121</v>
      </c>
    </row>
    <row r="278" spans="1:6" ht="14.25" thickBot="1">
      <c r="A278" s="1855" t="s">
        <v>1415</v>
      </c>
      <c r="B278" s="1859" t="s">
        <v>2188</v>
      </c>
      <c r="C278" s="1860">
        <v>0.15</v>
      </c>
      <c r="D278" s="1860">
        <v>0.15</v>
      </c>
      <c r="E278" s="1860">
        <v>0.15</v>
      </c>
      <c r="F278" s="1861">
        <v>0.13800000000000001</v>
      </c>
    </row>
    <row r="279" spans="1:6" ht="24.75" thickBot="1">
      <c r="A279" s="1855" t="s">
        <v>1415</v>
      </c>
      <c r="B279" s="1859" t="s">
        <v>2189</v>
      </c>
      <c r="C279" s="1869"/>
      <c r="D279" s="1869"/>
      <c r="E279" s="1869"/>
      <c r="F279" s="1861">
        <v>0.05</v>
      </c>
    </row>
    <row r="280" spans="1:6" ht="24.75" thickBot="1">
      <c r="A280" s="1855" t="s">
        <v>1415</v>
      </c>
      <c r="B280" s="1859" t="s">
        <v>2190</v>
      </c>
      <c r="C280" s="1869"/>
      <c r="D280" s="1869"/>
      <c r="E280" s="1869"/>
      <c r="F280" s="1861">
        <v>0.05</v>
      </c>
    </row>
    <row r="281" spans="1:6" ht="24.75" thickBot="1">
      <c r="A281" s="1855" t="s">
        <v>1415</v>
      </c>
      <c r="B281" s="1859" t="s">
        <v>2191</v>
      </c>
      <c r="C281" s="1869"/>
      <c r="D281" s="1869"/>
      <c r="E281" s="1869"/>
      <c r="F281" s="1861">
        <v>0.05</v>
      </c>
    </row>
    <row r="282" spans="1:6" ht="24.75" thickBot="1">
      <c r="A282" s="1855" t="s">
        <v>1415</v>
      </c>
      <c r="B282" s="1859" t="s">
        <v>2192</v>
      </c>
      <c r="C282" s="1869"/>
      <c r="D282" s="1869"/>
      <c r="E282" s="1869"/>
      <c r="F282" s="1861">
        <v>0.05</v>
      </c>
    </row>
    <row r="283" spans="1:6" ht="24.75" thickBot="1">
      <c r="A283" s="1855" t="s">
        <v>1415</v>
      </c>
      <c r="B283" s="1859" t="s">
        <v>2193</v>
      </c>
      <c r="C283" s="1869"/>
      <c r="D283" s="1869"/>
      <c r="E283" s="1869"/>
      <c r="F283" s="1861">
        <v>0.05</v>
      </c>
    </row>
    <row r="284" spans="1:6" ht="24.75" thickBot="1">
      <c r="A284" s="1855" t="s">
        <v>1415</v>
      </c>
      <c r="B284" s="1859" t="s">
        <v>2194</v>
      </c>
      <c r="C284" s="1869"/>
      <c r="D284" s="1869"/>
      <c r="E284" s="1869"/>
      <c r="F284" s="1861">
        <v>0.05</v>
      </c>
    </row>
    <row r="285" spans="1:6" ht="24.75" thickBot="1">
      <c r="A285" s="1855" t="s">
        <v>1415</v>
      </c>
      <c r="B285" s="1859" t="s">
        <v>2195</v>
      </c>
      <c r="C285" s="1869"/>
      <c r="D285" s="1869"/>
      <c r="E285" s="1869"/>
      <c r="F285" s="1861">
        <v>0.05</v>
      </c>
    </row>
    <row r="286" spans="1:6" ht="24.75" thickBot="1">
      <c r="A286" s="1855" t="s">
        <v>1415</v>
      </c>
      <c r="B286" s="1859" t="s">
        <v>2196</v>
      </c>
      <c r="C286" s="1869"/>
      <c r="D286" s="1869"/>
      <c r="E286" s="1869"/>
      <c r="F286" s="1861">
        <v>0.05</v>
      </c>
    </row>
    <row r="287" spans="1:6" ht="24.75" thickBot="1">
      <c r="A287" s="1855" t="s">
        <v>1415</v>
      </c>
      <c r="B287" s="1859" t="s">
        <v>2197</v>
      </c>
      <c r="C287" s="1869"/>
      <c r="D287" s="1869"/>
      <c r="E287" s="1869"/>
      <c r="F287" s="1861">
        <v>0.05</v>
      </c>
    </row>
    <row r="288" spans="1:6" ht="24.75" thickBot="1">
      <c r="A288" s="1855" t="s">
        <v>1415</v>
      </c>
      <c r="B288" s="1859" t="s">
        <v>2198</v>
      </c>
      <c r="C288" s="1869"/>
      <c r="D288" s="1869"/>
      <c r="E288" s="1869"/>
      <c r="F288" s="1861">
        <v>0.05</v>
      </c>
    </row>
    <row r="289" spans="1:6" ht="24.75" thickBot="1">
      <c r="A289" s="1863" t="s">
        <v>1415</v>
      </c>
      <c r="B289" s="1870" t="s">
        <v>2199</v>
      </c>
      <c r="C289" s="1866"/>
      <c r="D289" s="1866"/>
      <c r="E289" s="1866"/>
      <c r="F289" s="1871">
        <v>0.05</v>
      </c>
    </row>
    <row r="290" spans="1:6" ht="14.25" thickBot="1">
      <c r="A290" s="1855" t="s">
        <v>1419</v>
      </c>
      <c r="B290" s="1856" t="s">
        <v>2200</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2201</v>
      </c>
      <c r="C292" s="1860">
        <v>0.15</v>
      </c>
      <c r="D292" s="1860">
        <v>0.15</v>
      </c>
      <c r="E292" s="1860">
        <v>0.15</v>
      </c>
      <c r="F292" s="1861">
        <v>0.14699999999999999</v>
      </c>
    </row>
    <row r="293" spans="1:6" ht="14.25" thickBot="1">
      <c r="A293" s="1855" t="s">
        <v>1419</v>
      </c>
      <c r="B293" s="1859" t="s">
        <v>2202</v>
      </c>
      <c r="C293" s="1869"/>
      <c r="D293" s="1869"/>
      <c r="E293" s="1869"/>
      <c r="F293" s="1861">
        <v>0.1</v>
      </c>
    </row>
    <row r="294" spans="1:6" ht="14.25" thickBot="1">
      <c r="A294" s="1855" t="s">
        <v>1419</v>
      </c>
      <c r="B294" s="1859" t="s">
        <v>2203</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2204</v>
      </c>
      <c r="C296" s="1860">
        <v>0.15</v>
      </c>
      <c r="D296" s="1860">
        <v>0.15</v>
      </c>
      <c r="E296" s="1860">
        <v>0.15</v>
      </c>
      <c r="F296" s="1861">
        <v>0.15</v>
      </c>
    </row>
    <row r="297" spans="1:6" ht="14.25" thickBot="1">
      <c r="A297" s="1855" t="s">
        <v>1419</v>
      </c>
      <c r="B297" s="1859" t="s">
        <v>2205</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2206</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2207</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2208</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2209</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2210</v>
      </c>
      <c r="C310" s="1860">
        <v>0.15</v>
      </c>
      <c r="D310" s="1860">
        <v>0.15</v>
      </c>
      <c r="E310" s="1860">
        <v>0.15</v>
      </c>
      <c r="F310" s="1861">
        <v>0.13700000000000001</v>
      </c>
    </row>
    <row r="311" spans="1:6" ht="14.25" thickBot="1">
      <c r="A311" s="1855" t="s">
        <v>1419</v>
      </c>
      <c r="B311" s="1859" t="s">
        <v>2211</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2212</v>
      </c>
      <c r="C313" s="1860">
        <v>0.15</v>
      </c>
      <c r="D313" s="1860">
        <v>0.15</v>
      </c>
      <c r="E313" s="1860">
        <v>0.15</v>
      </c>
      <c r="F313" s="1861">
        <v>0.15</v>
      </c>
    </row>
    <row r="314" spans="1:6" ht="24.75" thickBot="1">
      <c r="A314" s="1855" t="s">
        <v>1419</v>
      </c>
      <c r="B314" s="1859" t="s">
        <v>2213</v>
      </c>
      <c r="C314" s="1869"/>
      <c r="D314" s="1869"/>
      <c r="E314" s="1869"/>
      <c r="F314" s="1861">
        <v>0.05</v>
      </c>
    </row>
    <row r="315" spans="1:6" ht="24.75" thickBot="1">
      <c r="A315" s="1855" t="s">
        <v>1419</v>
      </c>
      <c r="B315" s="1859" t="s">
        <v>2214</v>
      </c>
      <c r="C315" s="1869"/>
      <c r="D315" s="1869"/>
      <c r="E315" s="1869"/>
      <c r="F315" s="1861">
        <v>0.05</v>
      </c>
    </row>
    <row r="316" spans="1:6" ht="24.75" thickBot="1">
      <c r="A316" s="1863" t="s">
        <v>1419</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1107</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1176</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1196</v>
      </c>
      <c r="C328" s="1860">
        <v>0.15</v>
      </c>
      <c r="D328" s="1860">
        <v>0.15</v>
      </c>
      <c r="E328" s="1860">
        <v>0.15</v>
      </c>
      <c r="F328" s="1861">
        <v>0.14099999999999999</v>
      </c>
    </row>
    <row r="329" spans="1:6" ht="14.25" thickBot="1">
      <c r="A329" s="1855" t="s">
        <v>2216</v>
      </c>
      <c r="B329" s="1859" t="s">
        <v>1206</v>
      </c>
      <c r="C329" s="1860">
        <v>0.15</v>
      </c>
      <c r="D329" s="1860">
        <v>0.15</v>
      </c>
      <c r="E329" s="1860">
        <v>0.15</v>
      </c>
      <c r="F329" s="1861">
        <v>0.15</v>
      </c>
    </row>
    <row r="330" spans="1:6" ht="14.25" thickBot="1">
      <c r="A330" s="1855" t="s">
        <v>2216</v>
      </c>
      <c r="B330" s="1859" t="s">
        <v>1216</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1236</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1256</v>
      </c>
      <c r="C334" s="1860">
        <v>0.15</v>
      </c>
      <c r="D334" s="1860">
        <v>0.15</v>
      </c>
      <c r="E334" s="1860">
        <v>0.15</v>
      </c>
      <c r="F334" s="1861">
        <v>0.15</v>
      </c>
    </row>
    <row r="335" spans="1:6" ht="14.25" thickBot="1">
      <c r="A335" s="1855" t="s">
        <v>2216</v>
      </c>
      <c r="B335" s="1859" t="s">
        <v>1266</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1284</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2938</v>
      </c>
      <c r="B1" s="3106"/>
      <c r="C1" s="3106"/>
      <c r="D1" s="3106"/>
      <c r="E1" s="3106"/>
      <c r="F1" s="3106"/>
    </row>
    <row r="2" spans="1:6" ht="14.25">
      <c r="A2" s="3107" t="s">
        <v>2933</v>
      </c>
      <c r="B2" s="3108" t="e">
        <f ca="1">SUMIF(B7:B14,"&lt;&gt;#ref!",B7:B14)</f>
        <v>#DIV/0!</v>
      </c>
      <c r="C2" s="3107" t="s">
        <v>2934</v>
      </c>
      <c r="D2" s="3106"/>
      <c r="E2" s="3106"/>
      <c r="F2" s="3106"/>
    </row>
    <row r="3" spans="1:6" ht="14.25">
      <c r="A3" s="3107" t="s">
        <v>2967</v>
      </c>
      <c r="B3" s="3108" t="e">
        <f ca="1">ROUND(B2*10000/E3,0)</f>
        <v>#DIV/0!</v>
      </c>
      <c r="C3" s="3107" t="s">
        <v>2078</v>
      </c>
      <c r="D3" s="3107" t="s">
        <v>2935</v>
      </c>
      <c r="E3" s="3108">
        <f ca="1">SUMIF(E7:E14,"&lt;&gt;#ref!",E7:E14)</f>
        <v>0</v>
      </c>
      <c r="F3" s="3106"/>
    </row>
    <row r="4" spans="1:6" ht="14.25">
      <c r="A4" s="3107" t="s">
        <v>2942</v>
      </c>
      <c r="B4" s="3108" t="e">
        <f ca="1">ROUND(B2*10000/E4,0)</f>
        <v>#DIV/0!</v>
      </c>
      <c r="C4" s="3107" t="s">
        <v>2078</v>
      </c>
      <c r="D4" s="3107" t="s">
        <v>2943</v>
      </c>
      <c r="E4" s="3108">
        <f ca="1">SUMIF(F7:F14,"&lt;&gt;#ref!",F7:F14)</f>
        <v>0</v>
      </c>
      <c r="F4" s="3106"/>
    </row>
    <row r="5" spans="1:6" ht="14.25">
      <c r="A5" s="3109"/>
      <c r="B5" s="1881"/>
      <c r="C5" s="1881"/>
      <c r="D5" s="1881"/>
      <c r="E5" s="1881"/>
      <c r="F5" s="3106"/>
    </row>
    <row r="6" spans="1:6" ht="28.5">
      <c r="A6" s="3110" t="s">
        <v>2939</v>
      </c>
      <c r="B6" s="3107" t="s">
        <v>2936</v>
      </c>
      <c r="C6" s="3108"/>
      <c r="D6" s="1881"/>
      <c r="E6" s="3107" t="s">
        <v>2937</v>
      </c>
      <c r="F6" s="3107" t="s">
        <v>2941</v>
      </c>
    </row>
    <row r="7" spans="1:6" ht="14.25">
      <c r="A7" s="259" t="s">
        <v>2940</v>
      </c>
      <c r="B7" s="3111" t="e">
        <f ca="1">SUMIF(INDIRECT("'"&amp;A7&amp;"'"&amp;"!A:A"),"总价",INDIRECT("'"&amp;A7&amp;"'"&amp;"!B:B"))</f>
        <v>#DIV/0!</v>
      </c>
      <c r="C7" s="3107" t="s">
        <v>2934</v>
      </c>
      <c r="D7" s="1881"/>
      <c r="E7" s="3112">
        <f ca="1">SUMIF(INDIRECT("'"&amp;A7&amp;"'"&amp;"!C:C"),"建筑面积",INDIRECT("'"&amp;A7&amp;"'"&amp;"!D:D"))</f>
        <v>0</v>
      </c>
      <c r="F7" s="3112">
        <f ca="1">SUMIF(INDIRECT("'"&amp;A7&amp;"'"&amp;"!E:E"),"土地面积",INDIRECT("'"&amp;A7&amp;"'"&amp;"!F:F"))</f>
        <v>0</v>
      </c>
    </row>
    <row r="8" spans="1:6" ht="14.25">
      <c r="A8" s="259"/>
      <c r="B8" s="3111" t="e">
        <f t="shared" ref="B8:B14" ca="1" si="0">SUMIF(INDIRECT("'"&amp;A8&amp;"'"&amp;"!A:A"),"总价",INDIRECT("'"&amp;A8&amp;"'"&amp;"!B:B"))</f>
        <v>#REF!</v>
      </c>
      <c r="C8" s="3107" t="s">
        <v>2934</v>
      </c>
      <c r="D8" s="1881"/>
      <c r="E8" s="3112" t="e">
        <f t="shared" ref="E8:E14" ca="1" si="1">SUMIF(INDIRECT("'"&amp;A8&amp;"'"&amp;"!C:C"),"建筑面积",INDIRECT("'"&amp;A8&amp;"'"&amp;"!D:D"))</f>
        <v>#REF!</v>
      </c>
      <c r="F8" s="3112" t="e">
        <f t="shared" ref="F8:F14" ca="1" si="2">SUMIF(INDIRECT("'"&amp;A8&amp;"'"&amp;"!E:E"),"土地面积",INDIRECT("'"&amp;A8&amp;"'"&amp;"!F:F"))</f>
        <v>#REF!</v>
      </c>
    </row>
    <row r="9" spans="1:6" ht="14.25">
      <c r="A9" s="259"/>
      <c r="B9" s="3111" t="e">
        <f t="shared" ca="1" si="0"/>
        <v>#REF!</v>
      </c>
      <c r="C9" s="3107" t="s">
        <v>2934</v>
      </c>
      <c r="D9" s="1881"/>
      <c r="E9" s="3112" t="e">
        <f t="shared" ca="1" si="1"/>
        <v>#REF!</v>
      </c>
      <c r="F9" s="3112" t="e">
        <f t="shared" ca="1" si="2"/>
        <v>#REF!</v>
      </c>
    </row>
    <row r="10" spans="1:6" ht="14.25">
      <c r="A10" s="259"/>
      <c r="B10" s="3111" t="e">
        <f t="shared" ca="1" si="0"/>
        <v>#REF!</v>
      </c>
      <c r="C10" s="3107" t="s">
        <v>2934</v>
      </c>
      <c r="D10" s="1881"/>
      <c r="E10" s="3112" t="e">
        <f t="shared" ca="1" si="1"/>
        <v>#REF!</v>
      </c>
      <c r="F10" s="3112" t="e">
        <f t="shared" ca="1" si="2"/>
        <v>#REF!</v>
      </c>
    </row>
    <row r="11" spans="1:6" ht="14.25">
      <c r="A11" s="259"/>
      <c r="B11" s="3111" t="e">
        <f t="shared" ca="1" si="0"/>
        <v>#REF!</v>
      </c>
      <c r="C11" s="3107" t="s">
        <v>2934</v>
      </c>
      <c r="D11" s="1881"/>
      <c r="E11" s="3112" t="e">
        <f t="shared" ca="1" si="1"/>
        <v>#REF!</v>
      </c>
      <c r="F11" s="3112" t="e">
        <f t="shared" ca="1" si="2"/>
        <v>#REF!</v>
      </c>
    </row>
    <row r="12" spans="1:6" ht="14.25">
      <c r="A12" s="259"/>
      <c r="B12" s="3111" t="e">
        <f t="shared" ca="1" si="0"/>
        <v>#REF!</v>
      </c>
      <c r="C12" s="3107" t="s">
        <v>2934</v>
      </c>
      <c r="D12" s="1881"/>
      <c r="E12" s="3112" t="e">
        <f t="shared" ca="1" si="1"/>
        <v>#REF!</v>
      </c>
      <c r="F12" s="3112" t="e">
        <f t="shared" ca="1" si="2"/>
        <v>#REF!</v>
      </c>
    </row>
    <row r="13" spans="1:6" ht="14.25">
      <c r="A13" s="259"/>
      <c r="B13" s="3111" t="e">
        <f t="shared" ca="1" si="0"/>
        <v>#REF!</v>
      </c>
      <c r="C13" s="3107" t="s">
        <v>2934</v>
      </c>
      <c r="D13" s="1881"/>
      <c r="E13" s="3112" t="e">
        <f t="shared" ca="1" si="1"/>
        <v>#REF!</v>
      </c>
      <c r="F13" s="3112" t="e">
        <f t="shared" ca="1" si="2"/>
        <v>#REF!</v>
      </c>
    </row>
    <row r="14" spans="1:6" ht="14.25">
      <c r="A14" s="3105"/>
      <c r="B14" s="3111" t="e">
        <f t="shared" ca="1" si="0"/>
        <v>#REF!</v>
      </c>
      <c r="C14" s="3107" t="s">
        <v>2934</v>
      </c>
      <c r="D14" s="1881"/>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627</v>
      </c>
      <c r="B1" s="737"/>
      <c r="C1" s="772"/>
      <c r="D1" s="2050"/>
      <c r="E1" s="2387" t="s">
        <v>2372</v>
      </c>
      <c r="F1" s="2388">
        <f ca="1">J54</f>
        <v>-3</v>
      </c>
      <c r="G1" s="773">
        <f>MATCH(C1,'数据-取费表'!A6:A16,0)+5</f>
        <v>8</v>
      </c>
      <c r="H1" s="1348"/>
      <c r="I1" s="2051"/>
      <c r="J1" s="2051"/>
      <c r="K1" s="2052"/>
      <c r="L1" s="2051"/>
      <c r="M1" s="2051"/>
      <c r="N1" s="2053"/>
      <c r="O1" s="2053"/>
      <c r="P1" s="2053"/>
      <c r="Q1" s="2053"/>
      <c r="R1" s="2053"/>
      <c r="S1" s="2053"/>
      <c r="T1" s="2053"/>
      <c r="U1" s="2053"/>
      <c r="V1" s="2053"/>
      <c r="W1" s="2053"/>
      <c r="X1" s="2053"/>
      <c r="Y1" s="2053"/>
    </row>
    <row r="2" spans="1:25" ht="18" customHeight="1">
      <c r="A2" s="1643" t="s">
        <v>628</v>
      </c>
      <c r="B2" s="774">
        <f ca="1">IF(ISERROR(C45+J31),0,C45+J31)</f>
        <v>0</v>
      </c>
      <c r="C2" s="1349"/>
      <c r="D2" s="2055"/>
      <c r="E2" s="2056"/>
      <c r="F2" s="2056"/>
      <c r="G2" s="1589"/>
      <c r="H2" s="1361"/>
      <c r="I2" s="2057"/>
      <c r="J2" s="2057"/>
      <c r="K2" s="2058"/>
      <c r="L2" s="2057"/>
      <c r="M2" s="2057"/>
    </row>
    <row r="3" spans="1:25" ht="18" customHeight="1">
      <c r="A3" s="1644" t="s">
        <v>1686</v>
      </c>
      <c r="B3" s="1390">
        <f ca="1">ROUND(B2*10000/'数据-汇总表'!E3,0)</f>
        <v>0</v>
      </c>
      <c r="C3" s="1349"/>
      <c r="D3" s="2055"/>
      <c r="E3" s="2056"/>
      <c r="F3" s="2056"/>
      <c r="G3" s="1589"/>
      <c r="H3" s="775" t="s">
        <v>694</v>
      </c>
      <c r="I3" s="2057"/>
      <c r="J3" s="2057"/>
      <c r="K3" s="2058"/>
      <c r="L3" s="2057"/>
      <c r="M3" s="2057"/>
    </row>
    <row r="4" spans="1:25" ht="18" customHeight="1">
      <c r="A4" s="1645" t="s">
        <v>695</v>
      </c>
      <c r="B4" s="1350">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696</v>
      </c>
      <c r="D5" s="2055"/>
      <c r="E5" s="2056"/>
      <c r="F5" s="2056"/>
      <c r="G5" s="1589"/>
      <c r="H5" s="775"/>
      <c r="I5" s="2057"/>
      <c r="J5" s="2057"/>
      <c r="K5" s="2058"/>
      <c r="L5" s="2057"/>
      <c r="M5" s="2057"/>
    </row>
    <row r="6" spans="1:25" ht="18" customHeight="1">
      <c r="A6" s="1828" t="s">
        <v>697</v>
      </c>
      <c r="B6" s="1820" t="s">
        <v>698</v>
      </c>
      <c r="C6" s="1820" t="s">
        <v>631</v>
      </c>
      <c r="D6" s="1820" t="s">
        <v>632</v>
      </c>
      <c r="E6" s="778" t="s">
        <v>633</v>
      </c>
      <c r="F6" s="779"/>
      <c r="G6" s="1591"/>
      <c r="H6" s="1828" t="s">
        <v>629</v>
      </c>
      <c r="I6" s="1820" t="s">
        <v>630</v>
      </c>
      <c r="J6" s="1820" t="s">
        <v>631</v>
      </c>
      <c r="K6" s="1820" t="s">
        <v>632</v>
      </c>
      <c r="L6" s="778" t="s">
        <v>633</v>
      </c>
      <c r="M6" s="779"/>
    </row>
    <row r="7" spans="1:25" ht="18" customHeight="1">
      <c r="A7" s="780">
        <v>1</v>
      </c>
      <c r="B7" s="781" t="s">
        <v>2455</v>
      </c>
      <c r="C7" s="53">
        <f ca="1">C8+C12+C14</f>
        <v>0</v>
      </c>
      <c r="D7" s="2496" t="s">
        <v>2458</v>
      </c>
      <c r="E7" s="2490"/>
      <c r="F7" s="2491"/>
      <c r="G7" s="1591"/>
      <c r="H7" s="780">
        <v>1</v>
      </c>
      <c r="I7" s="781" t="s">
        <v>2455</v>
      </c>
      <c r="J7" s="53">
        <f ca="1">J8+J12+J14</f>
        <v>0</v>
      </c>
      <c r="K7" s="2496" t="s">
        <v>2458</v>
      </c>
      <c r="L7" s="2490"/>
      <c r="M7" s="2491"/>
    </row>
    <row r="8" spans="1:25" ht="18" customHeight="1">
      <c r="A8" s="1830" t="s">
        <v>1824</v>
      </c>
      <c r="B8" s="3463" t="s">
        <v>2460</v>
      </c>
      <c r="C8" s="1825">
        <f ca="1">ROUND(F8*F10*F9*(1-F11)/10000,0)</f>
        <v>0</v>
      </c>
      <c r="D8" s="1822" t="s">
        <v>2531</v>
      </c>
      <c r="E8" s="61" t="s">
        <v>636</v>
      </c>
      <c r="F8" s="784">
        <f ca="1">INDIRECT("'数据-取费表'!u"&amp;$G$1)</f>
        <v>0</v>
      </c>
      <c r="G8" s="1591"/>
      <c r="H8" s="2504" t="s">
        <v>1824</v>
      </c>
      <c r="I8" s="3463" t="s">
        <v>2460</v>
      </c>
      <c r="J8" s="782">
        <f ca="1">ROUND(M8*M10*M9*(1-M11)/10000,0)</f>
        <v>0</v>
      </c>
      <c r="K8" s="340" t="s">
        <v>2531</v>
      </c>
      <c r="L8" s="783" t="s">
        <v>1738</v>
      </c>
      <c r="M8" s="784">
        <f ca="1">INDIRECT("'数据-取费表'!z"&amp;$G$1)</f>
        <v>0</v>
      </c>
    </row>
    <row r="9" spans="1:25" ht="18" customHeight="1">
      <c r="A9" s="2500"/>
      <c r="B9" s="3464"/>
      <c r="C9" s="1826"/>
      <c r="D9" s="1823"/>
      <c r="E9" s="61" t="s">
        <v>637</v>
      </c>
      <c r="F9" s="784">
        <f ca="1">IF(INDIRECT("'数据-取费表'!ah"&amp;$G$1)="",INDIRECT("'数据-取费表'!k"&amp;$G$1),INDIRECT("'数据-取费表'!ah"&amp;$G$1))</f>
        <v>0</v>
      </c>
      <c r="G9" s="1591"/>
      <c r="H9" s="2489"/>
      <c r="I9" s="3464"/>
      <c r="J9" s="787"/>
      <c r="K9" s="788"/>
      <c r="L9" s="783" t="s">
        <v>1739</v>
      </c>
      <c r="M9" s="784">
        <f ca="1">F9</f>
        <v>0</v>
      </c>
    </row>
    <row r="10" spans="1:25" ht="18" customHeight="1">
      <c r="A10" s="2493"/>
      <c r="B10" s="3465"/>
      <c r="C10" s="1826"/>
      <c r="D10" s="1823"/>
      <c r="E10" s="61" t="s">
        <v>638</v>
      </c>
      <c r="F10" s="784">
        <f ca="1">INDIRECT("'数据-取费表'!ai"&amp;$G$1)</f>
        <v>0</v>
      </c>
      <c r="G10" s="1591"/>
      <c r="H10" s="2489"/>
      <c r="I10" s="3465"/>
      <c r="J10" s="787"/>
      <c r="K10" s="788"/>
      <c r="L10" s="783" t="s">
        <v>1740</v>
      </c>
      <c r="M10" s="784">
        <f ca="1">INDIRECT("'数据-取费表'!ai"&amp;$G$1)</f>
        <v>0</v>
      </c>
    </row>
    <row r="11" spans="1:25" ht="18" customHeight="1">
      <c r="A11" s="785"/>
      <c r="B11" s="3466"/>
      <c r="C11" s="1826"/>
      <c r="D11" s="1823"/>
      <c r="E11" s="61" t="s">
        <v>639</v>
      </c>
      <c r="F11" s="793">
        <f ca="1">INDIRECT("'数据-取费表'!w"&amp;$G$1)</f>
        <v>0</v>
      </c>
      <c r="G11" s="1591"/>
      <c r="H11" s="2505"/>
      <c r="I11" s="3465"/>
      <c r="J11" s="787"/>
      <c r="K11" s="788"/>
      <c r="L11" s="794" t="s">
        <v>1741</v>
      </c>
      <c r="M11" s="795">
        <f ca="1">INDIRECT("'数据-取费表'!ab"&amp;$G$1)</f>
        <v>0</v>
      </c>
    </row>
    <row r="12" spans="1:25" ht="18" customHeight="1">
      <c r="A12" s="1830" t="s">
        <v>1825</v>
      </c>
      <c r="B12" s="2494" t="s">
        <v>2456</v>
      </c>
      <c r="C12" s="798">
        <f ca="1">ROUND(IF(F12="押一",C8/12*F13,IF(F12="押二",C8/12*2*F13,IF(F12="押三",C8/12*3*F13,C13*F13))),0)</f>
        <v>0</v>
      </c>
      <c r="D12" s="2501" t="s">
        <v>2963</v>
      </c>
      <c r="E12" s="2498" t="s">
        <v>2461</v>
      </c>
      <c r="F12" s="2621"/>
      <c r="G12" s="1591"/>
      <c r="H12" s="2561" t="s">
        <v>1825</v>
      </c>
      <c r="I12" s="2566" t="s">
        <v>2456</v>
      </c>
      <c r="J12" s="782">
        <f ca="1">ROUND(IF(M12="押一",J8/12*M13,IF(M12="押二",J8/12*2*M13,IF(M12="押三",J8/12*3*M13,J13*M13))),0)</f>
        <v>0</v>
      </c>
      <c r="K12" s="2501" t="s">
        <v>2963</v>
      </c>
      <c r="L12" s="2498" t="s">
        <v>2461</v>
      </c>
      <c r="M12" s="2621"/>
    </row>
    <row r="13" spans="1:25" ht="18" customHeight="1">
      <c r="A13" s="789"/>
      <c r="B13" s="2495" t="s">
        <v>2570</v>
      </c>
      <c r="C13" s="2499"/>
      <c r="D13" s="788"/>
      <c r="E13" s="2498" t="s">
        <v>2453</v>
      </c>
      <c r="F13" s="795">
        <f ca="1">'数据-取费表'!B39</f>
        <v>1.4999999999999999E-2</v>
      </c>
      <c r="G13" s="1591"/>
      <c r="H13" s="2562"/>
      <c r="I13" s="2495" t="s">
        <v>2570</v>
      </c>
      <c r="J13" s="2499"/>
      <c r="K13" s="2563"/>
      <c r="L13" s="2498" t="s">
        <v>2453</v>
      </c>
      <c r="M13" s="2492">
        <f ca="1">'数据-取费表'!B39</f>
        <v>1.4999999999999999E-2</v>
      </c>
    </row>
    <row r="14" spans="1:25" ht="18" customHeight="1" thickBot="1">
      <c r="A14" s="2537" t="s">
        <v>2464</v>
      </c>
      <c r="B14" s="2538" t="s">
        <v>2457</v>
      </c>
      <c r="C14" s="2539"/>
      <c r="D14" s="2540"/>
      <c r="E14" s="2541"/>
      <c r="F14" s="2542"/>
      <c r="G14" s="1591"/>
      <c r="H14" s="2551" t="s">
        <v>2464</v>
      </c>
      <c r="I14" s="2564" t="s">
        <v>2457</v>
      </c>
      <c r="J14" s="2565"/>
      <c r="K14" s="2540"/>
      <c r="L14" s="2541"/>
      <c r="M14" s="2554"/>
    </row>
    <row r="15" spans="1:25" ht="18" customHeight="1" thickTop="1">
      <c r="A15" s="1829" t="s">
        <v>1874</v>
      </c>
      <c r="B15" s="1827" t="s">
        <v>640</v>
      </c>
      <c r="C15" s="791">
        <f ca="1">ROUND(C31*F15,0)</f>
        <v>0</v>
      </c>
      <c r="D15" s="1834" t="s">
        <v>641</v>
      </c>
      <c r="E15" s="794" t="s">
        <v>642</v>
      </c>
      <c r="F15" s="799">
        <f ca="1">INDIRECT("'数据-取费表'!y"&amp;$G$1)</f>
        <v>0</v>
      </c>
      <c r="G15" s="1591"/>
      <c r="H15" s="1829" t="s">
        <v>1826</v>
      </c>
      <c r="I15" s="1827" t="s">
        <v>643</v>
      </c>
      <c r="J15" s="1819">
        <f ca="1">ROUND(J16*J17,0)</f>
        <v>0</v>
      </c>
      <c r="K15" s="1821" t="s">
        <v>641</v>
      </c>
      <c r="L15" s="800"/>
      <c r="M15" s="801"/>
    </row>
    <row r="16" spans="1:25" ht="18" customHeight="1">
      <c r="A16" s="802" t="s">
        <v>1875</v>
      </c>
      <c r="B16" s="783" t="s">
        <v>644</v>
      </c>
      <c r="C16" s="803">
        <f ca="1">INDIRECT("'数据-取费表'!m"&amp;$G$1)+INDIRECT("'数据-取费表'!t"&amp;$G$1)</f>
        <v>0</v>
      </c>
      <c r="D16" s="1979" t="s">
        <v>645</v>
      </c>
      <c r="E16" s="1980"/>
      <c r="F16" s="804"/>
      <c r="G16" s="1591"/>
      <c r="H16" s="802" t="s">
        <v>2069</v>
      </c>
      <c r="I16" s="2231" t="s">
        <v>2821</v>
      </c>
      <c r="J16" s="53">
        <f ca="1">C31</f>
        <v>0</v>
      </c>
      <c r="K16" s="26"/>
      <c r="L16" s="800"/>
      <c r="M16" s="801"/>
    </row>
    <row r="17" spans="1:25" s="2064" customFormat="1" ht="18" customHeight="1">
      <c r="A17" s="802" t="s">
        <v>1849</v>
      </c>
      <c r="B17" s="783" t="s">
        <v>646</v>
      </c>
      <c r="C17" s="53">
        <f ca="1">ROUND(C16*F17,0)</f>
        <v>0</v>
      </c>
      <c r="D17" s="805" t="s">
        <v>647</v>
      </c>
      <c r="E17" s="805" t="s">
        <v>648</v>
      </c>
      <c r="F17" s="806">
        <f>'数据-取费表'!B33</f>
        <v>0.03</v>
      </c>
      <c r="G17" s="1592"/>
      <c r="H17" s="802" t="s">
        <v>2070</v>
      </c>
      <c r="I17" s="783" t="s">
        <v>642</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91"/>
      <c r="H18" s="796" t="s">
        <v>1827</v>
      </c>
      <c r="I18" s="797" t="s">
        <v>650</v>
      </c>
      <c r="J18" s="798">
        <f ca="1">ROUND(J19+J24+J25+J26,0)</f>
        <v>0</v>
      </c>
      <c r="K18" s="26" t="s">
        <v>651</v>
      </c>
      <c r="L18" s="1982"/>
      <c r="M18" s="56"/>
    </row>
    <row r="19" spans="1:25" s="2064" customFormat="1" ht="18" customHeight="1">
      <c r="A19" s="802" t="s">
        <v>1851</v>
      </c>
      <c r="B19" s="783" t="s">
        <v>652</v>
      </c>
      <c r="C19" s="53">
        <f ca="1">ROUND(F19*(INDIRECT("'数据-取费表'!k"&amp;$G$1)+INDIRECT("'数据-取费表'!S"&amp;$G$1))/10000,0)</f>
        <v>0</v>
      </c>
      <c r="D19" s="783" t="s">
        <v>653</v>
      </c>
      <c r="E19" s="783" t="s">
        <v>654</v>
      </c>
      <c r="F19" s="56">
        <f>'数据-取费表'!B35</f>
        <v>200</v>
      </c>
      <c r="G19" s="1592"/>
      <c r="H19" s="802" t="s">
        <v>2069</v>
      </c>
      <c r="I19" s="783" t="s">
        <v>655</v>
      </c>
      <c r="J19" s="53">
        <f ca="1">ROUND(IF(项目基本情况!B11="自然人",J7*M19,J20+J21+J22),0)</f>
        <v>0</v>
      </c>
      <c r="K19" s="1979" t="s">
        <v>656</v>
      </c>
      <c r="L19" s="1977" t="s">
        <v>657</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1852</v>
      </c>
      <c r="B20" s="783" t="s">
        <v>658</v>
      </c>
      <c r="C20" s="53">
        <f ca="1">ROUND(C16*F20,0)</f>
        <v>0</v>
      </c>
      <c r="D20" s="783" t="s">
        <v>647</v>
      </c>
      <c r="E20" s="783" t="s">
        <v>648</v>
      </c>
      <c r="F20" s="808">
        <f>'数据-取费表'!B36</f>
        <v>1.4999999999999999E-2</v>
      </c>
      <c r="G20" s="1592"/>
      <c r="H20" s="802" t="s">
        <v>1831</v>
      </c>
      <c r="I20" s="783" t="s">
        <v>659</v>
      </c>
      <c r="J20" s="53">
        <f ca="1">ROUND(J7*M20/1.05,1)</f>
        <v>0</v>
      </c>
      <c r="K20" s="1977" t="s">
        <v>660</v>
      </c>
      <c r="L20" s="783" t="s">
        <v>648</v>
      </c>
      <c r="M20" s="808">
        <f>'数据-取费表'!B41</f>
        <v>5.6000000000000001E-2</v>
      </c>
      <c r="N20" s="2063"/>
      <c r="O20" s="2063"/>
      <c r="P20" s="2063"/>
      <c r="Q20" s="2063"/>
      <c r="R20" s="2063"/>
      <c r="S20" s="2063"/>
      <c r="T20" s="2063"/>
      <c r="U20" s="2063"/>
      <c r="V20" s="2063"/>
      <c r="W20" s="2063"/>
      <c r="X20" s="2063"/>
      <c r="Y20" s="2063"/>
    </row>
    <row r="21" spans="1:25" ht="18" customHeight="1">
      <c r="A21" s="802" t="s">
        <v>1876</v>
      </c>
      <c r="B21" s="783" t="s">
        <v>661</v>
      </c>
      <c r="C21" s="53">
        <f ca="1">SUM(C16:C20)</f>
        <v>0</v>
      </c>
      <c r="D21" s="260" t="s">
        <v>662</v>
      </c>
      <c r="E21" s="1982"/>
      <c r="F21" s="56"/>
      <c r="G21" s="1591"/>
      <c r="H21" s="1830" t="s">
        <v>1849</v>
      </c>
      <c r="I21" s="783" t="s">
        <v>663</v>
      </c>
      <c r="J21" s="53">
        <f ca="1">IF(K21="按租金收入计税",ROUND(J7*M21,1),ROUND(C31*F35*0.7,1))</f>
        <v>0</v>
      </c>
      <c r="K21" s="810" t="s">
        <v>664</v>
      </c>
      <c r="L21" s="783" t="s">
        <v>648</v>
      </c>
      <c r="M21" s="808">
        <f>IF(K21="按租金收入计税",'数据-取费表'!B51,'数据-取费表'!B50)</f>
        <v>1.2E-2</v>
      </c>
    </row>
    <row r="22" spans="1:25" s="2064" customFormat="1" ht="18" customHeight="1">
      <c r="A22" s="802" t="s">
        <v>1877</v>
      </c>
      <c r="B22" s="783" t="s">
        <v>665</v>
      </c>
      <c r="C22" s="53">
        <f ca="1">ROUND(C21*F22,0)</f>
        <v>0</v>
      </c>
      <c r="D22" s="811" t="s">
        <v>666</v>
      </c>
      <c r="E22" s="783" t="s">
        <v>648</v>
      </c>
      <c r="F22" s="808">
        <f>'数据-取费表'!B37</f>
        <v>0.02</v>
      </c>
      <c r="G22" s="1592"/>
      <c r="H22" s="1832" t="s">
        <v>1850</v>
      </c>
      <c r="I22" s="1822" t="s">
        <v>667</v>
      </c>
      <c r="J22" s="54">
        <f ca="1">ROUND(M22*M23/10000,0)</f>
        <v>0</v>
      </c>
      <c r="K22" s="813" t="s">
        <v>668</v>
      </c>
      <c r="L22" s="783" t="s">
        <v>669</v>
      </c>
      <c r="M22" s="639">
        <f>'数据-取费表'!B52</f>
        <v>4</v>
      </c>
      <c r="N22" s="2063"/>
      <c r="O22" s="2063"/>
      <c r="P22" s="2063"/>
      <c r="Q22" s="2063"/>
      <c r="R22" s="2063"/>
      <c r="S22" s="2063"/>
      <c r="T22" s="2063"/>
      <c r="U22" s="2063"/>
      <c r="V22" s="2063"/>
      <c r="W22" s="2063"/>
      <c r="X22" s="2063"/>
      <c r="Y22" s="2063"/>
    </row>
    <row r="23" spans="1:25" s="2064" customFormat="1" ht="18" customHeight="1">
      <c r="A23" s="802" t="s">
        <v>1878</v>
      </c>
      <c r="B23" s="783" t="s">
        <v>670</v>
      </c>
      <c r="C23" s="53" t="s">
        <v>1</v>
      </c>
      <c r="D23" s="811" t="s">
        <v>671</v>
      </c>
      <c r="E23" s="783" t="s">
        <v>672</v>
      </c>
      <c r="F23" s="808">
        <f>'数据-取费表'!B38</f>
        <v>0.02</v>
      </c>
      <c r="G23" s="1592"/>
      <c r="H23" s="1833"/>
      <c r="I23" s="1824"/>
      <c r="J23" s="69"/>
      <c r="K23" s="815"/>
      <c r="L23" s="783" t="s">
        <v>673</v>
      </c>
      <c r="M23" s="784">
        <f ca="1">INDIRECT("'数据-取费表'!r"&amp;$G$1)</f>
        <v>0</v>
      </c>
      <c r="N23" s="2063"/>
      <c r="O23" s="2063"/>
      <c r="P23" s="2063"/>
      <c r="Q23" s="2063"/>
      <c r="R23" s="2063"/>
      <c r="S23" s="2063"/>
      <c r="T23" s="2063"/>
      <c r="U23" s="2063"/>
      <c r="V23" s="2063"/>
      <c r="W23" s="2063"/>
      <c r="X23" s="2063"/>
      <c r="Y23" s="2063"/>
    </row>
    <row r="24" spans="1:25" ht="18" customHeight="1">
      <c r="A24" s="802" t="s">
        <v>1879</v>
      </c>
      <c r="B24" s="783" t="s">
        <v>674</v>
      </c>
      <c r="C24" s="53"/>
      <c r="D24" s="2572" t="str">
        <f>IF(F25&lt;=1,"单利计息。","复利计息。")&amp;"建造成本、管理费用、销售费用产生的利息。"</f>
        <v>复利计息。建造成本、管理费用、销售费用产生的利息。</v>
      </c>
      <c r="E24" s="1982"/>
      <c r="F24" s="56"/>
      <c r="G24" s="1591"/>
      <c r="H24" s="1831" t="s">
        <v>2070</v>
      </c>
      <c r="I24" s="783" t="s">
        <v>675</v>
      </c>
      <c r="J24" s="53">
        <f ca="1">ROUND(J16*M24,0)</f>
        <v>0</v>
      </c>
      <c r="K24" s="1977" t="s">
        <v>676</v>
      </c>
      <c r="L24" s="783" t="s">
        <v>648</v>
      </c>
      <c r="M24" s="816">
        <f ca="1">INDIRECT("'数据-取费表'!Ak"&amp;$G$1)</f>
        <v>0</v>
      </c>
    </row>
    <row r="25" spans="1:25" s="2064" customFormat="1" ht="18" customHeight="1">
      <c r="A25" s="802" t="s">
        <v>1875</v>
      </c>
      <c r="B25" s="783" t="s">
        <v>2435</v>
      </c>
      <c r="C25" s="53">
        <f ca="1">ROUND(IF('数据-取费表'!B22&lt;=1,(C21+C22)*F26*F25/2,(C21+C22)*(POWER((1+F26),F25/2)-1)),0)</f>
        <v>0</v>
      </c>
      <c r="D25" s="2571" t="str">
        <f>IF(F25&lt;=1,"(建造成本+管理费用)×利率×(建设周期÷2)","(建造成本+管理费用)×((1+利率)^(建设周期÷2)-1)")</f>
        <v>(建造成本+管理费用)×((1+利率)^(建设周期÷2)-1)</v>
      </c>
      <c r="E25" s="783" t="s">
        <v>677</v>
      </c>
      <c r="F25" s="639">
        <f>'数据-取费表'!B20</f>
        <v>3</v>
      </c>
      <c r="G25" s="1592"/>
      <c r="H25" s="802" t="s">
        <v>1878</v>
      </c>
      <c r="I25" s="783" t="s">
        <v>678</v>
      </c>
      <c r="J25" s="53">
        <f ca="1">ROUND(J15*M25,0)</f>
        <v>0</v>
      </c>
      <c r="K25" s="1977" t="s">
        <v>679</v>
      </c>
      <c r="L25" s="783" t="s">
        <v>648</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1849</v>
      </c>
      <c r="B26" s="783" t="s">
        <v>680</v>
      </c>
      <c r="C26" s="53">
        <f ca="1">ROUND(IF('数据-取费表'!B22&lt;=1,F23*F26*F25/2,F23*(POWER((1+F26),F25/2)-1)),4)</f>
        <v>1.4E-3</v>
      </c>
      <c r="D26" s="2571" t="str">
        <f>IF(F25&lt;=1,"销售费用×利率×(建设周期÷2)","销售费用×((1+利率)^(建设周期÷2)-1)")</f>
        <v>销售费用×((1+利率)^(建设周期÷2)-1)</v>
      </c>
      <c r="E26" s="783" t="s">
        <v>681</v>
      </c>
      <c r="F26" s="818">
        <f ca="1">'数据-取费表'!B40</f>
        <v>4.7500000000000001E-2</v>
      </c>
      <c r="G26" s="1592"/>
      <c r="H26" s="802" t="s">
        <v>1879</v>
      </c>
      <c r="I26" s="783" t="s">
        <v>665</v>
      </c>
      <c r="J26" s="53">
        <f ca="1">ROUND(J7*M26,0)</f>
        <v>0</v>
      </c>
      <c r="K26" s="1977" t="s">
        <v>682</v>
      </c>
      <c r="L26" s="783" t="s">
        <v>648</v>
      </c>
      <c r="M26" s="793">
        <f ca="1">INDIRECT("'数据-取费表'!Am"&amp;$G$1)</f>
        <v>0</v>
      </c>
      <c r="N26" s="2063"/>
      <c r="O26" s="2063"/>
      <c r="P26" s="2063"/>
      <c r="Q26" s="2063"/>
      <c r="R26" s="2063"/>
      <c r="S26" s="2063"/>
      <c r="T26" s="2063"/>
      <c r="U26" s="2063"/>
      <c r="V26" s="2063"/>
      <c r="W26" s="2063"/>
      <c r="X26" s="2063"/>
      <c r="Y26" s="2063"/>
    </row>
    <row r="27" spans="1:25" ht="18" customHeight="1">
      <c r="A27" s="802" t="s">
        <v>1881</v>
      </c>
      <c r="B27" s="783" t="s">
        <v>683</v>
      </c>
      <c r="C27" s="53"/>
      <c r="D27" s="260" t="s">
        <v>684</v>
      </c>
      <c r="E27" s="1982"/>
      <c r="F27" s="56"/>
      <c r="G27" s="1591"/>
      <c r="H27" s="796" t="s">
        <v>1828</v>
      </c>
      <c r="I27" s="3011" t="s">
        <v>2818</v>
      </c>
      <c r="J27" s="798">
        <f ca="1">J7-J18</f>
        <v>0</v>
      </c>
      <c r="K27" s="1979" t="s">
        <v>699</v>
      </c>
      <c r="L27" s="1981"/>
      <c r="M27" s="819"/>
    </row>
    <row r="28" spans="1:25" ht="18" customHeight="1">
      <c r="A28" s="802" t="s">
        <v>1875</v>
      </c>
      <c r="B28" s="783" t="s">
        <v>2436</v>
      </c>
      <c r="C28" s="53">
        <f ca="1">ROUND((C21+C22)*F28,0)</f>
        <v>0</v>
      </c>
      <c r="D28" s="811" t="s">
        <v>700</v>
      </c>
      <c r="E28" s="794" t="s">
        <v>701</v>
      </c>
      <c r="F28" s="793">
        <f ca="1">INDIRECT("'数据-取费表'!q"&amp;$G$1)</f>
        <v>0</v>
      </c>
      <c r="G28" s="1591"/>
      <c r="H28" s="780" t="s">
        <v>1837</v>
      </c>
      <c r="I28" s="781" t="s">
        <v>702</v>
      </c>
      <c r="J28" s="782">
        <f ca="1">IF(J7&lt;&gt;0,ROUND(J27*(1-((1+M30)/(1+M28))^M29)/(M28-M30),0),0)</f>
        <v>0</v>
      </c>
      <c r="K28" s="813" t="s">
        <v>703</v>
      </c>
      <c r="L28" s="783" t="s">
        <v>704</v>
      </c>
      <c r="M28" s="793">
        <f ca="1">INDIRECT("'数据-取费表'!I"&amp;$G$1)</f>
        <v>0</v>
      </c>
    </row>
    <row r="29" spans="1:25" ht="18" customHeight="1">
      <c r="A29" s="802" t="s">
        <v>1849</v>
      </c>
      <c r="B29" s="783" t="s">
        <v>685</v>
      </c>
      <c r="C29" s="53">
        <f ca="1">ROUND(F23*F28,4)</f>
        <v>0</v>
      </c>
      <c r="D29" s="811" t="s">
        <v>705</v>
      </c>
      <c r="E29" s="805"/>
      <c r="F29" s="806"/>
      <c r="G29" s="1591"/>
      <c r="H29" s="785"/>
      <c r="I29" s="786"/>
      <c r="J29" s="787"/>
      <c r="K29" s="820" t="s">
        <v>706</v>
      </c>
      <c r="L29" s="783" t="s">
        <v>707</v>
      </c>
      <c r="M29" s="821">
        <f ca="1">INDIRECT("'数据-取费表'!ag"&amp;$G$1)</f>
        <v>0</v>
      </c>
    </row>
    <row r="30" spans="1:25" s="2064" customFormat="1" ht="18" customHeight="1">
      <c r="A30" s="802" t="s">
        <v>1882</v>
      </c>
      <c r="B30" s="783" t="s">
        <v>686</v>
      </c>
      <c r="C30" s="53">
        <f>ROUND(F30/(1+'数据-取费表'!C42),4)</f>
        <v>5.33E-2</v>
      </c>
      <c r="D30" s="811" t="s">
        <v>708</v>
      </c>
      <c r="E30" s="783" t="s">
        <v>648</v>
      </c>
      <c r="F30" s="808">
        <f>'数据-取费表'!B41</f>
        <v>5.6000000000000001E-2</v>
      </c>
      <c r="G30" s="1592"/>
      <c r="H30" s="789"/>
      <c r="I30" s="790"/>
      <c r="J30" s="791"/>
      <c r="K30" s="815"/>
      <c r="L30" s="783" t="s">
        <v>709</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2819</v>
      </c>
      <c r="C31" s="2544">
        <f ca="1">ROUND((C21+C22+C25+C28)/(1-F23-C26-C29-C30),0)</f>
        <v>0</v>
      </c>
      <c r="D31" s="2545"/>
      <c r="E31" s="2546"/>
      <c r="F31" s="2547"/>
      <c r="G31" s="1592"/>
      <c r="H31" s="822" t="s">
        <v>1872</v>
      </c>
      <c r="I31" s="3012" t="s">
        <v>2820</v>
      </c>
      <c r="J31" s="824">
        <f ca="1">ROUND(J28/(1+F45)^F46,0)</f>
        <v>0</v>
      </c>
      <c r="K31" s="825" t="s">
        <v>687</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1">
        <f ca="1">ROUND(C33+C38+C39+C40,0)</f>
        <v>0</v>
      </c>
      <c r="D32" s="1821" t="s">
        <v>651</v>
      </c>
      <c r="E32" s="2487"/>
      <c r="F32" s="2491"/>
      <c r="G32" s="2062"/>
      <c r="H32" s="2065"/>
      <c r="I32" s="2066"/>
      <c r="J32" s="2067"/>
      <c r="K32" s="2068"/>
      <c r="L32" s="2069"/>
      <c r="M32" s="2070"/>
    </row>
    <row r="33" spans="1:18" ht="18" customHeight="1">
      <c r="A33" s="802" t="s">
        <v>1876</v>
      </c>
      <c r="B33" s="783" t="s">
        <v>655</v>
      </c>
      <c r="C33" s="53">
        <f ca="1">ROUND(IF(项目基本情况!B11="自然人",C7*F33,C34+C35+C36),1)</f>
        <v>0</v>
      </c>
      <c r="D33" s="1979" t="s">
        <v>656</v>
      </c>
      <c r="E33" s="1977" t="s">
        <v>689</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1875</v>
      </c>
      <c r="B34" s="783" t="s">
        <v>659</v>
      </c>
      <c r="C34" s="53">
        <f ca="1">ROUND(C7*F34/1.05,1)</f>
        <v>0</v>
      </c>
      <c r="D34" s="1977" t="s">
        <v>660</v>
      </c>
      <c r="E34" s="783" t="s">
        <v>648</v>
      </c>
      <c r="F34" s="808">
        <f>'数据-取费表'!B41</f>
        <v>5.6000000000000001E-2</v>
      </c>
      <c r="G34" s="2062"/>
      <c r="H34" s="2071"/>
      <c r="I34" s="2072"/>
      <c r="J34" s="2073"/>
      <c r="K34" s="2074"/>
      <c r="L34" s="2075"/>
      <c r="M34" s="2076"/>
    </row>
    <row r="35" spans="1:18" ht="18" customHeight="1">
      <c r="A35" s="802" t="s">
        <v>1849</v>
      </c>
      <c r="B35" s="783" t="s">
        <v>663</v>
      </c>
      <c r="C35" s="53">
        <f ca="1">IF(D35="按租金收入计税",ROUND(C7*F35,1),IF(D35="按房产原值计税",ROUND(C31*F35*0.7,1),INDIRECT("'数据-取费表'!Aj"&amp;$G$1)))</f>
        <v>0</v>
      </c>
      <c r="D35" s="810" t="s">
        <v>1680</v>
      </c>
      <c r="E35" s="783" t="s">
        <v>648</v>
      </c>
      <c r="F35" s="808">
        <f>IF(D35="按租金收入计税",'数据-取费表'!B51,'数据-取费表'!B50)</f>
        <v>1.2E-2</v>
      </c>
      <c r="G35" s="2062"/>
      <c r="H35" s="2077"/>
      <c r="I35" s="2077"/>
      <c r="J35" s="2077"/>
      <c r="K35" s="2078"/>
      <c r="L35" s="2077"/>
      <c r="M35" s="2077"/>
    </row>
    <row r="36" spans="1:18" ht="18" customHeight="1">
      <c r="A36" s="812" t="s">
        <v>1880</v>
      </c>
      <c r="B36" s="340" t="s">
        <v>667</v>
      </c>
      <c r="C36" s="54">
        <f ca="1">ROUND(F36*F37/10000,1)</f>
        <v>0</v>
      </c>
      <c r="D36" s="813" t="s">
        <v>668</v>
      </c>
      <c r="E36" s="783" t="s">
        <v>669</v>
      </c>
      <c r="F36" s="639">
        <f>'数据-取费表'!B52</f>
        <v>4</v>
      </c>
      <c r="G36" s="2062"/>
      <c r="H36" s="2065"/>
      <c r="I36" s="3462"/>
      <c r="J36" s="2079"/>
      <c r="K36" s="2080"/>
      <c r="L36" s="2079"/>
      <c r="M36" s="2079"/>
    </row>
    <row r="37" spans="1:18" ht="18" customHeight="1">
      <c r="A37" s="814"/>
      <c r="B37" s="792"/>
      <c r="C37" s="69"/>
      <c r="D37" s="815"/>
      <c r="E37" s="783" t="s">
        <v>673</v>
      </c>
      <c r="F37" s="784">
        <f ca="1">INDIRECT("'数据-取费表'!r"&amp;$G$1)</f>
        <v>0</v>
      </c>
      <c r="G37" s="2062"/>
      <c r="H37" s="2065"/>
      <c r="I37" s="3462"/>
      <c r="J37" s="2077"/>
      <c r="K37" s="2078"/>
      <c r="L37" s="2077"/>
      <c r="M37" s="2077"/>
    </row>
    <row r="38" spans="1:18" ht="18" customHeight="1">
      <c r="A38" s="802" t="s">
        <v>1877</v>
      </c>
      <c r="B38" s="783" t="s">
        <v>675</v>
      </c>
      <c r="C38" s="53">
        <f ca="1">ROUND(C31*F38,1)</f>
        <v>0</v>
      </c>
      <c r="D38" s="1977" t="s">
        <v>690</v>
      </c>
      <c r="E38" s="783" t="s">
        <v>648</v>
      </c>
      <c r="F38" s="816">
        <f ca="1">INDIRECT("'数据-取费表'!Ak"&amp;$G$1)</f>
        <v>0</v>
      </c>
      <c r="G38" s="2062"/>
      <c r="H38" s="2077"/>
      <c r="I38" s="2081"/>
      <c r="J38" s="1988"/>
      <c r="K38" s="2082"/>
      <c r="L38" s="2077"/>
      <c r="M38" s="2077"/>
    </row>
    <row r="39" spans="1:18" ht="18" customHeight="1">
      <c r="A39" s="802" t="s">
        <v>1878</v>
      </c>
      <c r="B39" s="783" t="s">
        <v>678</v>
      </c>
      <c r="C39" s="53">
        <f ca="1">ROUND(C15*F39,1)</f>
        <v>0</v>
      </c>
      <c r="D39" s="1977" t="s">
        <v>679</v>
      </c>
      <c r="E39" s="783" t="s">
        <v>648</v>
      </c>
      <c r="F39" s="817">
        <f ca="1">INDIRECT("'数据-取费表'!Al"&amp;$G$1)</f>
        <v>0</v>
      </c>
      <c r="G39" s="2062"/>
      <c r="H39" s="2077"/>
      <c r="I39" s="2081"/>
      <c r="J39" s="1988"/>
      <c r="K39" s="2082"/>
      <c r="L39" s="2077"/>
      <c r="M39" s="2077"/>
    </row>
    <row r="40" spans="1:18" ht="18" customHeight="1" thickBot="1">
      <c r="A40" s="2560" t="s">
        <v>1879</v>
      </c>
      <c r="B40" s="2546" t="s">
        <v>665</v>
      </c>
      <c r="C40" s="2544">
        <f ca="1">ROUND(C7*F40,1)</f>
        <v>0</v>
      </c>
      <c r="D40" s="2545" t="s">
        <v>682</v>
      </c>
      <c r="E40" s="2546" t="s">
        <v>648</v>
      </c>
      <c r="F40" s="2542">
        <f ca="1">INDIRECT("'数据-取费表'!Am"&amp;$G$1)</f>
        <v>0</v>
      </c>
      <c r="G40" s="2062"/>
      <c r="H40" s="2077"/>
      <c r="I40" s="2081"/>
      <c r="J40" s="1988"/>
      <c r="K40" s="2083"/>
      <c r="L40" s="2077"/>
      <c r="M40" s="2077"/>
    </row>
    <row r="41" spans="1:18" ht="18" customHeight="1" thickTop="1">
      <c r="A41" s="1829">
        <v>4</v>
      </c>
      <c r="B41" s="1827" t="s">
        <v>691</v>
      </c>
      <c r="C41" s="1351"/>
      <c r="D41" s="1352"/>
      <c r="E41" s="1352"/>
      <c r="F41" s="1353"/>
      <c r="G41" s="2062"/>
      <c r="H41" s="2062"/>
      <c r="I41" s="2062"/>
      <c r="J41" s="2062"/>
      <c r="K41" s="2083"/>
      <c r="L41" s="2062"/>
      <c r="M41" s="2062"/>
    </row>
    <row r="42" spans="1:18" ht="18" customHeight="1">
      <c r="A42" s="802" t="s">
        <v>1876</v>
      </c>
      <c r="B42" s="834" t="s">
        <v>692</v>
      </c>
      <c r="C42" s="828">
        <f ca="1">C7-C32</f>
        <v>0</v>
      </c>
      <c r="D42" s="1979" t="s">
        <v>693</v>
      </c>
      <c r="E42" s="1981"/>
      <c r="F42" s="819"/>
      <c r="G42" s="2062"/>
      <c r="H42" s="2062"/>
      <c r="I42" s="2062"/>
      <c r="J42" s="2062"/>
      <c r="K42" s="2083"/>
      <c r="L42" s="2062"/>
      <c r="M42" s="2062"/>
    </row>
    <row r="43" spans="1:18" ht="18" customHeight="1">
      <c r="A43" s="802" t="s">
        <v>1877</v>
      </c>
      <c r="B43" s="834" t="s">
        <v>710</v>
      </c>
      <c r="C43" s="835">
        <f ca="1">ROUND(C15*F43,0)</f>
        <v>0</v>
      </c>
      <c r="D43" s="1354" t="s">
        <v>711</v>
      </c>
      <c r="E43" s="3123" t="s">
        <v>2951</v>
      </c>
      <c r="F43" s="3124">
        <f ca="1">INDIRECT("'数据-取费表'!j"&amp;$G$1)</f>
        <v>0</v>
      </c>
      <c r="G43" s="2062"/>
      <c r="H43" s="2062"/>
      <c r="I43" s="2062"/>
      <c r="J43" s="2062"/>
      <c r="K43" s="2083"/>
      <c r="L43" s="2062"/>
      <c r="M43" s="2062"/>
    </row>
    <row r="44" spans="1:18" ht="18" customHeight="1">
      <c r="A44" s="802" t="s">
        <v>1878</v>
      </c>
      <c r="B44" s="834" t="s">
        <v>712</v>
      </c>
      <c r="C44" s="1355">
        <f ca="1">C42-C43</f>
        <v>0</v>
      </c>
      <c r="D44" s="462" t="s">
        <v>713</v>
      </c>
      <c r="E44" s="463"/>
      <c r="F44" s="464"/>
      <c r="G44" s="2062"/>
      <c r="H44" s="2062"/>
      <c r="I44" s="2062"/>
      <c r="J44" s="2062"/>
      <c r="K44" s="2083"/>
      <c r="L44" s="2062"/>
      <c r="M44" s="2062"/>
    </row>
    <row r="45" spans="1:18" ht="18" customHeight="1">
      <c r="A45" s="802" t="s">
        <v>1879</v>
      </c>
      <c r="B45" s="1354" t="s">
        <v>714</v>
      </c>
      <c r="C45" s="3038">
        <f ca="1">ROUND(-PV(F45,F46,C44,0),0)</f>
        <v>0</v>
      </c>
      <c r="D45" s="1356" t="s">
        <v>715</v>
      </c>
      <c r="E45" s="805" t="s">
        <v>716</v>
      </c>
      <c r="F45" s="829">
        <f ca="1">INDIRECT("'数据-取费表'!h"&amp;$G$1)</f>
        <v>0</v>
      </c>
      <c r="G45" s="2062"/>
      <c r="H45" s="2062"/>
      <c r="I45" s="2062"/>
      <c r="J45" s="2062"/>
      <c r="K45" s="2083"/>
      <c r="L45" s="2062"/>
      <c r="M45" s="2062"/>
    </row>
    <row r="46" spans="1:18" ht="18" customHeight="1" thickBot="1">
      <c r="A46" s="830"/>
      <c r="B46" s="1357"/>
      <c r="C46" s="1358"/>
      <c r="D46" s="1359"/>
      <c r="E46" s="3125" t="s">
        <v>2954</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2341</v>
      </c>
      <c r="J47" s="2379"/>
      <c r="K47" s="2380"/>
      <c r="L47" s="3161" t="str">
        <f ca="1">IF(M48="住宅",0,IF(L49&gt;J52,L61,J61))</f>
        <v>0</v>
      </c>
      <c r="O47" s="2394" t="s">
        <v>2408</v>
      </c>
      <c r="P47" s="1591"/>
      <c r="Q47" s="1603"/>
      <c r="R47" s="1591"/>
    </row>
    <row r="48" spans="1:18" s="2059" customFormat="1" ht="18" customHeight="1" thickBot="1">
      <c r="A48" s="2084"/>
      <c r="C48" s="2087"/>
      <c r="D48" s="2088"/>
      <c r="E48" s="2088"/>
      <c r="F48" s="2089"/>
      <c r="G48" s="2090"/>
      <c r="I48" s="3151" t="s">
        <v>2342</v>
      </c>
      <c r="J48" s="2381"/>
      <c r="K48" s="3158" t="s">
        <v>2347</v>
      </c>
      <c r="L48" s="3162">
        <f ca="1">INDIRECT("'数据-取费表'!d"&amp;$G$1)</f>
        <v>0</v>
      </c>
      <c r="M48" s="3122" t="str">
        <f>IF(ISNUMBER(FIND("住宅",C1)),"住宅","非住宅")</f>
        <v>非住宅</v>
      </c>
      <c r="O48" s="2395" t="s">
        <v>2373</v>
      </c>
      <c r="P48" s="2396" t="s">
        <v>2374</v>
      </c>
      <c r="Q48" s="2397" t="s">
        <v>2375</v>
      </c>
      <c r="R48" s="2396" t="s">
        <v>2376</v>
      </c>
    </row>
    <row r="49" spans="1:18" s="2059" customFormat="1" ht="18" customHeight="1" thickBot="1">
      <c r="A49" s="2084"/>
      <c r="D49" s="2091"/>
      <c r="E49" s="2092"/>
      <c r="F49" s="2089"/>
      <c r="G49" s="2090"/>
      <c r="H49" s="2093"/>
      <c r="I49" s="3127" t="s">
        <v>2343</v>
      </c>
      <c r="J49" s="2382"/>
      <c r="K49" s="3159" t="s">
        <v>2349</v>
      </c>
      <c r="L49" s="1908">
        <f ca="1">INDIRECT("'数据-取费表'!f"&amp;$G$1)</f>
        <v>0</v>
      </c>
      <c r="O49" s="2398" t="s">
        <v>2377</v>
      </c>
      <c r="P49" s="2399" t="s">
        <v>2403</v>
      </c>
      <c r="Q49" s="2400">
        <f ca="1">C41+J31</f>
        <v>0</v>
      </c>
      <c r="R49" s="2399" t="s">
        <v>2378</v>
      </c>
    </row>
    <row r="50" spans="1:18" s="2059" customFormat="1" ht="18" customHeight="1" thickBot="1">
      <c r="A50" s="2084"/>
      <c r="D50" s="2094"/>
      <c r="E50" s="2094"/>
      <c r="F50" s="2088"/>
      <c r="G50" s="2095"/>
      <c r="H50" s="2093"/>
      <c r="I50" s="3127" t="s">
        <v>2344</v>
      </c>
      <c r="J50" s="2383"/>
      <c r="K50" s="3160" t="s">
        <v>2350</v>
      </c>
      <c r="L50" s="2384"/>
      <c r="O50" s="2398" t="s">
        <v>2379</v>
      </c>
      <c r="P50" s="2399" t="s">
        <v>2404</v>
      </c>
      <c r="Q50" s="2400" t="str">
        <f ca="1">J61</f>
        <v>0</v>
      </c>
      <c r="R50" s="2399" t="s">
        <v>2380</v>
      </c>
    </row>
    <row r="51" spans="1:18" s="2059" customFormat="1" ht="18" customHeight="1" thickBot="1">
      <c r="A51" s="2096"/>
      <c r="D51" s="2094"/>
      <c r="E51" s="2094"/>
      <c r="F51" s="2085"/>
      <c r="H51" s="2093"/>
      <c r="I51" s="3127" t="s">
        <v>2345</v>
      </c>
      <c r="J51" s="3155">
        <f>SUMPRODUCT((I64:I66=J48)*(J63:L63=J49)*(J64:L66))</f>
        <v>0</v>
      </c>
      <c r="K51" s="3160" t="s">
        <v>2351</v>
      </c>
      <c r="L51" s="2384"/>
      <c r="O51" s="2401" t="s">
        <v>2381</v>
      </c>
      <c r="P51" s="2399" t="s">
        <v>2405</v>
      </c>
      <c r="Q51" s="2400">
        <f ca="1">C31</f>
        <v>0</v>
      </c>
      <c r="R51" s="2399" t="s">
        <v>2378</v>
      </c>
    </row>
    <row r="52" spans="1:18" s="2059" customFormat="1" ht="18" customHeight="1" thickBot="1">
      <c r="A52" s="2096"/>
      <c r="F52" s="2085"/>
      <c r="I52" s="3152" t="s">
        <v>2346</v>
      </c>
      <c r="J52" s="3156">
        <f>IF(J50="",J51,J50+J51-YEAR('数据-取费表'!B3))</f>
        <v>0</v>
      </c>
      <c r="K52" s="3127" t="s">
        <v>2352</v>
      </c>
      <c r="L52" s="3163">
        <f ca="1">ROUND(-PV(INDIRECT("'数据-取费表'!h"&amp;$G$1),L49,(C40-C14*J36),0),0)</f>
        <v>0</v>
      </c>
      <c r="O52" s="2401" t="s">
        <v>2382</v>
      </c>
      <c r="P52" s="2399" t="s">
        <v>2383</v>
      </c>
      <c r="Q52" s="2402" t="e">
        <f ca="1">J59</f>
        <v>#VALUE!</v>
      </c>
      <c r="R52" s="2403"/>
    </row>
    <row r="53" spans="1:18" s="2059" customFormat="1" ht="18" customHeight="1" thickBot="1">
      <c r="A53" s="2096"/>
      <c r="F53" s="2085"/>
      <c r="I53" s="3153" t="s">
        <v>2419</v>
      </c>
      <c r="J53" s="2385"/>
      <c r="K53" s="3153" t="s">
        <v>2418</v>
      </c>
      <c r="L53" s="2385"/>
      <c r="O53" s="2401" t="s">
        <v>2384</v>
      </c>
      <c r="P53" s="2399" t="s">
        <v>2385</v>
      </c>
      <c r="Q53" s="2402">
        <f>J53</f>
        <v>0</v>
      </c>
      <c r="R53" s="2403"/>
    </row>
    <row r="54" spans="1:18" s="2059" customFormat="1" ht="29.25" thickBot="1">
      <c r="A54" s="2096"/>
      <c r="I54" s="3154" t="s">
        <v>2968</v>
      </c>
      <c r="J54" s="3157">
        <f ca="1">IF(M48="住宅",MAX(J52,L49-'数据-取费表'!B20),MIN(J52,L49-'数据-取费表'!B20))</f>
        <v>-3</v>
      </c>
      <c r="K54" s="3467"/>
      <c r="L54" s="3468"/>
      <c r="O54" s="2401" t="s">
        <v>2386</v>
      </c>
      <c r="P54" s="2399" t="s">
        <v>2387</v>
      </c>
      <c r="Q54" s="2400">
        <f ca="1">J54</f>
        <v>-3</v>
      </c>
      <c r="R54" s="2399" t="s">
        <v>2388</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2389</v>
      </c>
      <c r="P55" s="2399" t="s">
        <v>2406</v>
      </c>
      <c r="Q55" s="2400">
        <f ca="1">Q49+Q50</f>
        <v>0</v>
      </c>
      <c r="R55" s="2403" t="s">
        <v>2390</v>
      </c>
    </row>
    <row r="56" spans="1:18" s="2059" customFormat="1" ht="16.5" thickBot="1">
      <c r="A56" s="2096"/>
      <c r="B56" s="2097"/>
      <c r="C56" s="2097"/>
      <c r="I56" s="3166" t="s">
        <v>2353</v>
      </c>
      <c r="J56" s="3102" t="e">
        <f ca="1">ROUND(IF(J48="钢混",J58/J51,1-(1-2%)*(J51-J58)/J51),3)</f>
        <v>#VALUE!</v>
      </c>
      <c r="K56" s="3167" t="s">
        <v>2354</v>
      </c>
      <c r="L56" s="2386"/>
      <c r="O56" s="2404" t="s">
        <v>2409</v>
      </c>
      <c r="P56" s="1591"/>
      <c r="Q56" s="1603"/>
      <c r="R56" s="1591"/>
    </row>
    <row r="57" spans="1:18" s="2059" customFormat="1" ht="43.5" thickBot="1">
      <c r="A57" s="2096"/>
      <c r="B57" s="2097"/>
      <c r="C57" s="2097"/>
      <c r="I57" s="3168" t="s">
        <v>2355</v>
      </c>
      <c r="J57" s="3178" t="s">
        <v>1678</v>
      </c>
      <c r="K57" s="3127" t="s">
        <v>2360</v>
      </c>
      <c r="L57" s="1908">
        <f ca="1">IF(L49&lt;J52,"——",L49-J52)</f>
        <v>0</v>
      </c>
      <c r="O57" s="2395" t="s">
        <v>2373</v>
      </c>
      <c r="P57" s="2396" t="s">
        <v>2374</v>
      </c>
      <c r="Q57" s="2397" t="s">
        <v>2375</v>
      </c>
      <c r="R57" s="2396" t="s">
        <v>2376</v>
      </c>
    </row>
    <row r="58" spans="1:18" s="2059" customFormat="1" ht="29.25" thickBot="1">
      <c r="A58" s="2096"/>
      <c r="B58" s="2097"/>
      <c r="C58" s="2097"/>
      <c r="I58" s="3169" t="s">
        <v>2356</v>
      </c>
      <c r="J58" s="3170" t="str">
        <f ca="1">IF(OR(M48="住宅",J52&lt;L49,J57="是"),"——",J52-L49)</f>
        <v>——</v>
      </c>
      <c r="K58" s="3127" t="s">
        <v>2361</v>
      </c>
      <c r="L58" s="1908">
        <f ca="1">IF(L49&lt;J52,"——",IF(L56="比较法",L50,IF(L56="基准地价",L51,L52)))</f>
        <v>0</v>
      </c>
      <c r="O58" s="2398" t="s">
        <v>2377</v>
      </c>
      <c r="P58" s="2399" t="s">
        <v>2403</v>
      </c>
      <c r="Q58" s="2400">
        <f ca="1">C41+J31</f>
        <v>0</v>
      </c>
      <c r="R58" s="2399" t="s">
        <v>2378</v>
      </c>
    </row>
    <row r="59" spans="1:18" s="2059" customFormat="1" ht="29.25" thickBot="1">
      <c r="A59" s="2096"/>
      <c r="B59" s="2097"/>
      <c r="C59" s="2097"/>
      <c r="I59" s="3169" t="s">
        <v>2357</v>
      </c>
      <c r="J59" s="3103" t="e">
        <f ca="1">IF(J56&lt;0.4,0.4,J56)</f>
        <v>#VALUE!</v>
      </c>
      <c r="K59" s="3127" t="s">
        <v>2362</v>
      </c>
      <c r="L59" s="1908">
        <f ca="1">IF(ISERROR(POWER(1+L53,L48-L49)*(POWER(1+L53,L49)-1)/(POWER(1+L53,L48)-1)),0,POWER(1+L53,L48-L49)*(POWER(1+L53,L49)-1)/(POWER(1+L53,L48)-1))</f>
        <v>0</v>
      </c>
      <c r="O59" s="2398" t="s">
        <v>2379</v>
      </c>
      <c r="P59" s="2399" t="s">
        <v>2410</v>
      </c>
      <c r="Q59" s="2400" t="e">
        <f ca="1">L61</f>
        <v>#DIV/0!</v>
      </c>
      <c r="R59" s="2403" t="s">
        <v>2412</v>
      </c>
    </row>
    <row r="60" spans="1:18" s="2059" customFormat="1" ht="29.25" thickBot="1">
      <c r="A60" s="2096"/>
      <c r="B60" s="2097"/>
      <c r="C60" s="2097"/>
      <c r="I60" s="3169" t="s">
        <v>2358</v>
      </c>
      <c r="J60" s="3170" t="str">
        <f ca="1">IF(OR(M48="住宅",J52&lt;L49,J57="是"),"——",ROUND(C30*J59,0))</f>
        <v>——</v>
      </c>
      <c r="K60" s="3127" t="s">
        <v>2363</v>
      </c>
      <c r="L60" s="1908">
        <f ca="1">IF(ISERROR(POWER(1+L53,L48-J52)*(POWER(1+L53,J52)-1)/(POWER(1+L53,L48)-1)),0,POWER(1+L53,L48-J52)*(POWER(1+L53,J52)-1)/(POWER(1+L53,L48)-1))</f>
        <v>0</v>
      </c>
      <c r="O60" s="2401" t="s">
        <v>2381</v>
      </c>
      <c r="P60" s="2399" t="s">
        <v>2411</v>
      </c>
      <c r="Q60" s="2400">
        <f>IF(L56="比较法",L50,IF(L56="基准地价",L51,0))</f>
        <v>0</v>
      </c>
      <c r="R60" s="2399" t="s">
        <v>2378</v>
      </c>
    </row>
    <row r="61" spans="1:18" s="2059" customFormat="1" ht="15.75" thickBot="1">
      <c r="A61" s="2096"/>
      <c r="B61" s="2097"/>
      <c r="C61" s="2097"/>
      <c r="I61" s="3171" t="s">
        <v>2359</v>
      </c>
      <c r="J61" s="3172" t="str">
        <f ca="1">IF(OR(M48="住宅",J52&lt;L49,J57="是"),"0",ROUND(J60/(1+J53)^J54,0))</f>
        <v>0</v>
      </c>
      <c r="K61" s="3173" t="s">
        <v>2364</v>
      </c>
      <c r="L61" s="3172" t="e">
        <f ca="1">IF(OR(M48="住宅",L49&lt;J52),0,ROUND(L58*(L59/L60-1),0))</f>
        <v>#DIV/0!</v>
      </c>
      <c r="O61" s="2401" t="s">
        <v>2382</v>
      </c>
      <c r="P61" s="2399" t="s">
        <v>2391</v>
      </c>
      <c r="Q61" s="2402">
        <f>L53</f>
        <v>0</v>
      </c>
      <c r="R61" s="2403"/>
    </row>
    <row r="62" spans="1:18" s="2059" customFormat="1" ht="20.25" thickBot="1">
      <c r="A62" s="2096"/>
      <c r="B62" s="2097"/>
      <c r="C62" s="2097"/>
      <c r="K62" s="2086"/>
      <c r="O62" s="2401" t="s">
        <v>2384</v>
      </c>
      <c r="P62" s="2399" t="s">
        <v>2392</v>
      </c>
      <c r="Q62" s="2400">
        <f ca="1">L59</f>
        <v>0</v>
      </c>
      <c r="R62" s="2403" t="s">
        <v>2393</v>
      </c>
    </row>
    <row r="63" spans="1:18" s="2059" customFormat="1" ht="20.25" thickBot="1">
      <c r="A63" s="2096"/>
      <c r="B63" s="2097"/>
      <c r="C63" s="2097"/>
      <c r="I63" s="3174" t="s">
        <v>2365</v>
      </c>
      <c r="J63" s="3175" t="s">
        <v>2366</v>
      </c>
      <c r="K63" s="3175" t="s">
        <v>2367</v>
      </c>
      <c r="L63" s="3175" t="s">
        <v>2348</v>
      </c>
      <c r="M63" s="3176" t="s">
        <v>2931</v>
      </c>
      <c r="O63" s="2401" t="s">
        <v>2386</v>
      </c>
      <c r="P63" s="2399" t="s">
        <v>2394</v>
      </c>
      <c r="Q63" s="2400">
        <f ca="1">L60</f>
        <v>0</v>
      </c>
      <c r="R63" s="2403" t="s">
        <v>2395</v>
      </c>
    </row>
    <row r="64" spans="1:18" s="2059" customFormat="1" ht="15.75" thickBot="1">
      <c r="A64" s="2096"/>
      <c r="B64" s="2097"/>
      <c r="C64" s="2097"/>
      <c r="I64" s="3174" t="s">
        <v>2368</v>
      </c>
      <c r="J64" s="3175">
        <v>70</v>
      </c>
      <c r="K64" s="3175">
        <v>50</v>
      </c>
      <c r="L64" s="3175">
        <v>80</v>
      </c>
      <c r="M64" s="3177">
        <v>0.02</v>
      </c>
      <c r="O64" s="2398" t="s">
        <v>2389</v>
      </c>
      <c r="P64" s="2399" t="s">
        <v>2406</v>
      </c>
      <c r="Q64" s="2400" t="e">
        <f ca="1">Q58+Q59</f>
        <v>#DIV/0!</v>
      </c>
      <c r="R64" s="2403" t="s">
        <v>2390</v>
      </c>
    </row>
    <row r="65" spans="1:18" s="2059" customFormat="1" ht="16.5" thickBot="1">
      <c r="A65" s="2096"/>
      <c r="B65" s="2097"/>
      <c r="C65" s="2097"/>
      <c r="I65" s="3174" t="s">
        <v>2369</v>
      </c>
      <c r="J65" s="3175">
        <v>50</v>
      </c>
      <c r="K65" s="3175">
        <v>35</v>
      </c>
      <c r="L65" s="3175">
        <v>60</v>
      </c>
      <c r="M65" s="845">
        <v>0</v>
      </c>
      <c r="O65" s="2404" t="s">
        <v>2413</v>
      </c>
      <c r="P65" s="1591"/>
      <c r="Q65" s="1603"/>
      <c r="R65" s="1591"/>
    </row>
    <row r="66" spans="1:18" s="2059" customFormat="1" ht="15.75" thickBot="1">
      <c r="A66" s="2096"/>
      <c r="B66" s="2097"/>
      <c r="C66" s="2097"/>
      <c r="I66" s="3174" t="s">
        <v>2370</v>
      </c>
      <c r="J66" s="3175">
        <v>40</v>
      </c>
      <c r="K66" s="3175">
        <v>30</v>
      </c>
      <c r="L66" s="3175">
        <v>50</v>
      </c>
      <c r="M66" s="3177">
        <v>0.02</v>
      </c>
      <c r="O66" s="2395" t="s">
        <v>2373</v>
      </c>
      <c r="P66" s="2396" t="s">
        <v>2374</v>
      </c>
      <c r="Q66" s="2397" t="s">
        <v>2375</v>
      </c>
      <c r="R66" s="2396" t="s">
        <v>2376</v>
      </c>
    </row>
    <row r="67" spans="1:18" s="2059" customFormat="1" ht="15.75" thickBot="1">
      <c r="A67" s="2096"/>
      <c r="B67" s="2097"/>
      <c r="C67" s="2097"/>
      <c r="K67" s="2086"/>
      <c r="O67" s="2398" t="s">
        <v>2377</v>
      </c>
      <c r="P67" s="2399" t="s">
        <v>2403</v>
      </c>
      <c r="Q67" s="2400">
        <f ca="1">C41+J31</f>
        <v>0</v>
      </c>
      <c r="R67" s="2399" t="s">
        <v>2378</v>
      </c>
    </row>
    <row r="68" spans="1:18" s="2059" customFormat="1" ht="20.25" thickBot="1">
      <c r="A68" s="2096"/>
      <c r="B68" s="2097"/>
      <c r="C68" s="2097"/>
      <c r="K68" s="2086"/>
      <c r="O68" s="2398" t="s">
        <v>2379</v>
      </c>
      <c r="P68" s="2399" t="s">
        <v>2410</v>
      </c>
      <c r="Q68" s="2400" t="e">
        <f ca="1">L61</f>
        <v>#DIV/0!</v>
      </c>
      <c r="R68" s="2403" t="s">
        <v>2412</v>
      </c>
    </row>
    <row r="69" spans="1:18" s="2059" customFormat="1" ht="21.75" thickBot="1">
      <c r="A69" s="2096"/>
      <c r="B69" s="2097"/>
      <c r="C69" s="2097"/>
      <c r="K69" s="2086"/>
      <c r="O69" s="2401" t="s">
        <v>2381</v>
      </c>
      <c r="P69" s="2399" t="s">
        <v>2411</v>
      </c>
      <c r="Q69" s="2405">
        <f ca="1">L52</f>
        <v>0</v>
      </c>
      <c r="R69" s="2406" t="s">
        <v>2414</v>
      </c>
    </row>
    <row r="70" spans="1:18" s="2059" customFormat="1" ht="20.25" thickBot="1">
      <c r="A70" s="2096"/>
      <c r="B70" s="2097"/>
      <c r="C70" s="2097"/>
      <c r="K70" s="2086"/>
      <c r="O70" s="2401" t="s">
        <v>2382</v>
      </c>
      <c r="P70" s="2407" t="s">
        <v>2396</v>
      </c>
      <c r="Q70" s="2400">
        <f ca="1">ROUND(Q71-Q72*Q73,0)</f>
        <v>0</v>
      </c>
      <c r="R70" s="2403"/>
    </row>
    <row r="71" spans="1:18" s="2059" customFormat="1" ht="15.75" thickBot="1">
      <c r="A71" s="2096"/>
      <c r="B71" s="2097"/>
      <c r="C71" s="2097"/>
      <c r="K71" s="2086"/>
      <c r="O71" s="2401" t="s">
        <v>2397</v>
      </c>
      <c r="P71" s="2407" t="s">
        <v>2398</v>
      </c>
      <c r="Q71" s="2400">
        <f ca="1">C42</f>
        <v>0</v>
      </c>
      <c r="R71" s="2399" t="s">
        <v>2378</v>
      </c>
    </row>
    <row r="72" spans="1:18" s="2059" customFormat="1" ht="15.75" thickBot="1">
      <c r="A72" s="2096"/>
      <c r="B72" s="2097"/>
      <c r="C72" s="2097"/>
      <c r="K72" s="2086"/>
      <c r="O72" s="2401" t="s">
        <v>2399</v>
      </c>
      <c r="P72" s="2407" t="s">
        <v>2400</v>
      </c>
      <c r="Q72" s="2400">
        <f ca="1">C15</f>
        <v>0</v>
      </c>
      <c r="R72" s="2399" t="s">
        <v>2378</v>
      </c>
    </row>
    <row r="73" spans="1:18" s="2059" customFormat="1" ht="15.75" thickBot="1">
      <c r="A73" s="2096"/>
      <c r="B73" s="2097"/>
      <c r="C73" s="2097"/>
      <c r="K73" s="2086"/>
      <c r="O73" s="2401" t="s">
        <v>2401</v>
      </c>
      <c r="P73" s="2407" t="s">
        <v>2402</v>
      </c>
      <c r="Q73" s="2402">
        <f ca="1">F43</f>
        <v>0</v>
      </c>
      <c r="R73" s="2403"/>
    </row>
    <row r="74" spans="1:18" s="2059" customFormat="1" ht="15.75" thickBot="1">
      <c r="A74" s="2096"/>
      <c r="B74" s="2097"/>
      <c r="C74" s="2097"/>
      <c r="K74" s="2086"/>
      <c r="O74" s="2401" t="s">
        <v>2384</v>
      </c>
      <c r="P74" s="2399" t="s">
        <v>2391</v>
      </c>
      <c r="Q74" s="2402">
        <f>L53</f>
        <v>0</v>
      </c>
      <c r="R74" s="2403"/>
    </row>
    <row r="75" spans="1:18" s="2059" customFormat="1" ht="20.25" thickBot="1">
      <c r="A75" s="2096"/>
      <c r="B75" s="2097"/>
      <c r="C75" s="2097"/>
      <c r="K75" s="2086"/>
      <c r="O75" s="2401" t="s">
        <v>2386</v>
      </c>
      <c r="P75" s="2399" t="s">
        <v>2392</v>
      </c>
      <c r="Q75" s="2400">
        <f ca="1">L59</f>
        <v>0</v>
      </c>
      <c r="R75" s="2403" t="s">
        <v>2393</v>
      </c>
    </row>
    <row r="76" spans="1:18" s="2059" customFormat="1" ht="20.25" thickBot="1">
      <c r="A76" s="2096"/>
      <c r="B76" s="2097"/>
      <c r="C76" s="2097"/>
      <c r="K76" s="2086"/>
      <c r="O76" s="2401" t="s">
        <v>2415</v>
      </c>
      <c r="P76" s="2399" t="s">
        <v>2394</v>
      </c>
      <c r="Q76" s="2400">
        <f ca="1">L60</f>
        <v>0</v>
      </c>
      <c r="R76" s="2403" t="s">
        <v>2395</v>
      </c>
    </row>
    <row r="77" spans="1:18" s="2059" customFormat="1" ht="15.75" thickBot="1">
      <c r="A77" s="2096"/>
      <c r="B77" s="2097"/>
      <c r="C77" s="2097"/>
      <c r="K77" s="2086"/>
      <c r="O77" s="2398" t="s">
        <v>2389</v>
      </c>
      <c r="P77" s="2399" t="s">
        <v>2406</v>
      </c>
      <c r="Q77" s="2400" t="e">
        <f ca="1">Q67+Q68</f>
        <v>#DIV/0!</v>
      </c>
      <c r="R77" s="2403" t="s">
        <v>2390</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I39" sqref="I39"/>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75" t="s">
        <v>2573</v>
      </c>
      <c r="C1" s="3475"/>
      <c r="D1" s="3475"/>
      <c r="E1" s="3475"/>
      <c r="F1" s="3475"/>
      <c r="G1" s="3474" t="s">
        <v>2574</v>
      </c>
      <c r="H1" s="3474"/>
      <c r="I1" s="3474"/>
      <c r="J1" s="3474"/>
      <c r="K1" s="3474"/>
      <c r="L1" s="3474"/>
      <c r="N1" s="3474" t="s">
        <v>2575</v>
      </c>
      <c r="O1" s="3474"/>
      <c r="P1" s="3474"/>
      <c r="Q1" s="3474"/>
      <c r="R1" s="2654"/>
      <c r="S1" s="3474" t="s">
        <v>2576</v>
      </c>
      <c r="T1" s="3474"/>
      <c r="U1" s="3474"/>
      <c r="V1" s="3474"/>
      <c r="X1" s="3473" t="s">
        <v>2636</v>
      </c>
      <c r="Y1" s="3474"/>
      <c r="Z1" s="3474"/>
      <c r="AA1" s="3474"/>
      <c r="AB1" s="3474"/>
      <c r="AD1" s="3473" t="s">
        <v>2640</v>
      </c>
      <c r="AE1" s="3474"/>
      <c r="AF1" s="3474"/>
      <c r="AG1" s="3474"/>
      <c r="AH1" s="3474"/>
    </row>
    <row r="2" spans="1:34" s="2756" customFormat="1" ht="14.25" thickBot="1">
      <c r="B2" s="2764" t="s">
        <v>2577</v>
      </c>
      <c r="C2" s="2764" t="s">
        <v>2638</v>
      </c>
      <c r="D2" s="2757" t="s">
        <v>1644</v>
      </c>
      <c r="E2" s="2757" t="s">
        <v>1951</v>
      </c>
      <c r="F2" s="2764" t="s">
        <v>2639</v>
      </c>
      <c r="G2" s="2760"/>
      <c r="H2" s="2759"/>
      <c r="I2" s="2764" t="s">
        <v>2945</v>
      </c>
      <c r="J2" s="2757" t="s">
        <v>2947</v>
      </c>
      <c r="K2" s="2757" t="s">
        <v>2948</v>
      </c>
      <c r="L2" s="2764" t="s">
        <v>2949</v>
      </c>
      <c r="N2" s="2764" t="s">
        <v>2577</v>
      </c>
      <c r="O2" s="2757" t="s">
        <v>2946</v>
      </c>
      <c r="P2" s="2757" t="s">
        <v>1951</v>
      </c>
      <c r="Q2" s="2764" t="s">
        <v>2639</v>
      </c>
      <c r="R2" s="2758"/>
      <c r="S2" s="2764" t="s">
        <v>2577</v>
      </c>
      <c r="T2" s="2757" t="s">
        <v>2946</v>
      </c>
      <c r="U2" s="2757" t="s">
        <v>1951</v>
      </c>
      <c r="V2" s="2764" t="s">
        <v>2639</v>
      </c>
      <c r="X2" s="2764" t="s">
        <v>2577</v>
      </c>
      <c r="Y2" s="2764" t="s">
        <v>2638</v>
      </c>
      <c r="Z2" s="2757" t="s">
        <v>1644</v>
      </c>
      <c r="AA2" s="2757" t="s">
        <v>1951</v>
      </c>
      <c r="AB2" s="2764" t="s">
        <v>2639</v>
      </c>
      <c r="AD2" s="2764" t="s">
        <v>2577</v>
      </c>
      <c r="AE2" s="2764" t="s">
        <v>2638</v>
      </c>
      <c r="AF2" s="2757" t="s">
        <v>1644</v>
      </c>
      <c r="AG2" s="2757" t="s">
        <v>1951</v>
      </c>
      <c r="AH2" s="2764" t="s">
        <v>2639</v>
      </c>
    </row>
    <row r="3" spans="1:34" s="3135" customFormat="1" ht="14.25">
      <c r="A3" s="3147" t="s">
        <v>2958</v>
      </c>
      <c r="B3" s="3136"/>
      <c r="C3" s="3136"/>
      <c r="D3" s="3137"/>
      <c r="E3" s="3137"/>
      <c r="F3" s="3136"/>
      <c r="G3" s="3138"/>
      <c r="H3" s="3139"/>
      <c r="I3" s="3146">
        <f>ROUND(AVERAGE($I4:$I24),2)</f>
        <v>2.19</v>
      </c>
      <c r="J3" s="3146">
        <f>ROUND(AVERAGE($J4:$J24),2)</f>
        <v>1.53</v>
      </c>
      <c r="K3" s="3146">
        <f>ROUND(AVERAGE($K4:$K24),2)</f>
        <v>2.41</v>
      </c>
      <c r="L3" s="3146">
        <f>ROUND(AVERAGE($L4:$L24),2)</f>
        <v>1.42</v>
      </c>
      <c r="N3" s="3138"/>
      <c r="O3" s="3140"/>
      <c r="P3" s="3140"/>
      <c r="Q3" s="3140"/>
      <c r="R3" s="3140"/>
      <c r="S3" s="3138"/>
      <c r="T3" s="3140"/>
      <c r="U3" s="3140"/>
      <c r="V3" s="3140"/>
      <c r="W3" s="3143"/>
      <c r="X3" s="3141">
        <f>ROUND(SUMPRODUCT(PRODUCT(1+N3:N$23)),4)</f>
        <v>1.4956</v>
      </c>
      <c r="Y3" s="3141">
        <f>ROUND(SUMPRODUCT(PRODUCT(1+O3:O$23)),4)</f>
        <v>1.3237000000000001</v>
      </c>
      <c r="Z3" s="3141">
        <f t="shared" ref="Z3:Z21" si="0">Y3</f>
        <v>1.3237000000000001</v>
      </c>
      <c r="AA3" s="3141">
        <f>ROUND(SUMPRODUCT(PRODUCT(1+P3:P$23)),4)</f>
        <v>1.554</v>
      </c>
      <c r="AB3" s="3141">
        <f>ROUND(SUMPRODUCT(PRODUCT(1+Q3:Q$23)),4)</f>
        <v>1.3087</v>
      </c>
      <c r="AD3" s="3142">
        <f>ROUND(AVERAGE(I3:I$24)/100,4)</f>
        <v>2.1899999999999999E-2</v>
      </c>
      <c r="AE3" s="3142">
        <f>ROUND(AVERAGE(J3:J$24)/100,4)</f>
        <v>1.5299999999999999E-2</v>
      </c>
      <c r="AF3" s="3142">
        <f t="shared" ref="AF3:AF22" si="1">AE3</f>
        <v>1.5299999999999999E-2</v>
      </c>
      <c r="AG3" s="3142">
        <f>ROUND(AVERAGE(K3:K$24)/100,4)</f>
        <v>2.41E-2</v>
      </c>
      <c r="AH3" s="3142">
        <f>ROUND(AVERAGE(L3:L$24)/100,4)</f>
        <v>1.4200000000000001E-2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2971</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5">
        <v>4</v>
      </c>
      <c r="I5" s="3129">
        <v>0</v>
      </c>
      <c r="J5" s="3129">
        <v>0</v>
      </c>
      <c r="K5" s="3129">
        <v>0</v>
      </c>
      <c r="L5" s="3129">
        <v>0</v>
      </c>
      <c r="N5" s="2762">
        <f t="shared" ref="N5" si="6">I5/100</f>
        <v>0</v>
      </c>
      <c r="O5" s="2762">
        <f t="shared" ref="O5" si="7">J5/100</f>
        <v>0</v>
      </c>
      <c r="P5" s="2762">
        <f t="shared" ref="P5" si="8">K5/100</f>
        <v>0</v>
      </c>
      <c r="Q5" s="2762">
        <f t="shared" ref="Q5" si="9">L5/100</f>
        <v>0</v>
      </c>
      <c r="R5" s="3117"/>
      <c r="S5" s="3118"/>
      <c r="T5" s="3117"/>
      <c r="U5" s="3117"/>
      <c r="V5" s="3117"/>
      <c r="W5" s="3145" t="s">
        <v>2959</v>
      </c>
      <c r="X5" s="3119">
        <f>ROUND(SUMPRODUCT(PRODUCT(1+N5:N$23)),4)</f>
        <v>1.4956</v>
      </c>
      <c r="Y5" s="3119">
        <f>ROUND(SUMPRODUCT(PRODUCT(1+O5:O$23)),4)</f>
        <v>1.3237000000000001</v>
      </c>
      <c r="Z5" s="3119">
        <f t="shared" ref="Z5" si="10">Y5</f>
        <v>1.3237000000000001</v>
      </c>
      <c r="AA5" s="3119">
        <f>ROUND(SUMPRODUCT(PRODUCT(1+P5:P$23)),4)</f>
        <v>1.554</v>
      </c>
      <c r="AB5" s="3119">
        <f>ROUND(SUMPRODUCT(PRODUCT(1+Q5:Q$23)),4)</f>
        <v>1.3087</v>
      </c>
      <c r="AD5" s="3120">
        <f>ROUND(AVERAGE(I5:I$24)/100,4)</f>
        <v>2.1899999999999999E-2</v>
      </c>
      <c r="AE5" s="3120">
        <f>ROUND(AVERAGE(J5:J$24)/100,4)</f>
        <v>1.5299999999999999E-2</v>
      </c>
      <c r="AF5" s="3120">
        <f t="shared" ref="AF5" si="11">AE5</f>
        <v>1.5299999999999999E-2</v>
      </c>
      <c r="AG5" s="3120">
        <f>ROUND(AVERAGE(K5:K$24)/100,4)</f>
        <v>2.41E-2</v>
      </c>
      <c r="AH5" s="3120">
        <f>ROUND(AVERAGE(L5:L$24)/100,4)</f>
        <v>1.4200000000000001E-2</v>
      </c>
    </row>
    <row r="6" spans="1:34" s="2761" customFormat="1" ht="13.5" thickBot="1">
      <c r="A6" s="2655" t="s">
        <v>2969</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4"/>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2970</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4"/>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2965</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4"/>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2956</v>
      </c>
      <c r="B9" s="3149">
        <v>439</v>
      </c>
      <c r="C9" s="3149">
        <v>327</v>
      </c>
      <c r="D9" s="3149">
        <f t="shared" si="33"/>
        <v>327</v>
      </c>
      <c r="E9" s="3149">
        <v>627</v>
      </c>
      <c r="F9" s="3150">
        <v>283</v>
      </c>
      <c r="G9" s="3132">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2960</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4"/>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2578</v>
      </c>
      <c r="B11" s="2669">
        <f t="shared" si="45"/>
        <v>419.31181600000002</v>
      </c>
      <c r="C11" s="2669">
        <f t="shared" si="45"/>
        <v>313.95436800000004</v>
      </c>
      <c r="D11" s="2669">
        <f t="shared" si="33"/>
        <v>313.95436800000004</v>
      </c>
      <c r="E11" s="2669">
        <f t="shared" si="46"/>
        <v>596.63028431999999</v>
      </c>
      <c r="F11" s="2669">
        <f t="shared" si="46"/>
        <v>274.74220703999998</v>
      </c>
      <c r="G11" s="3133"/>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2579</v>
      </c>
      <c r="B12" s="2669">
        <f t="shared" si="45"/>
        <v>405.524</v>
      </c>
      <c r="C12" s="2669">
        <f t="shared" si="45"/>
        <v>307.79840000000002</v>
      </c>
      <c r="D12" s="2669">
        <f t="shared" si="33"/>
        <v>307.79840000000002</v>
      </c>
      <c r="E12" s="2669">
        <f t="shared" si="46"/>
        <v>574.67759999999998</v>
      </c>
      <c r="F12" s="2669">
        <f t="shared" si="46"/>
        <v>270.20280000000002</v>
      </c>
      <c r="G12" s="3134"/>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970</v>
      </c>
      <c r="B13" s="2661">
        <v>392</v>
      </c>
      <c r="C13" s="2661">
        <v>302</v>
      </c>
      <c r="D13" s="2661">
        <f t="shared" si="33"/>
        <v>302</v>
      </c>
      <c r="E13" s="2661">
        <v>553</v>
      </c>
      <c r="F13" s="2662">
        <v>266</v>
      </c>
      <c r="G13" s="3472">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969</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70"/>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959</v>
      </c>
      <c r="B15" s="2669">
        <f t="shared" si="54"/>
        <v>360.06949782209392</v>
      </c>
      <c r="C15" s="2669">
        <f t="shared" si="54"/>
        <v>289.84672674747821</v>
      </c>
      <c r="D15" s="2669">
        <f t="shared" si="55"/>
        <v>289.84672674747821</v>
      </c>
      <c r="E15" s="2669">
        <f t="shared" si="56"/>
        <v>501.06543001181495</v>
      </c>
      <c r="F15" s="2669">
        <f t="shared" si="56"/>
        <v>256.82882500744967</v>
      </c>
      <c r="G15" s="3470"/>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968</v>
      </c>
      <c r="B16" s="2669">
        <f t="shared" si="54"/>
        <v>346.720748986128</v>
      </c>
      <c r="C16" s="2669">
        <f t="shared" si="54"/>
        <v>284.30282172386285</v>
      </c>
      <c r="D16" s="2669">
        <f t="shared" si="55"/>
        <v>284.30282172386285</v>
      </c>
      <c r="E16" s="2669">
        <f t="shared" si="56"/>
        <v>479.58023546306947</v>
      </c>
      <c r="F16" s="2669">
        <f t="shared" si="56"/>
        <v>253.25788877571213</v>
      </c>
      <c r="G16" s="3471"/>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967</v>
      </c>
      <c r="B17" s="2661">
        <v>333</v>
      </c>
      <c r="C17" s="2661">
        <v>277</v>
      </c>
      <c r="D17" s="2661">
        <f t="shared" si="55"/>
        <v>277</v>
      </c>
      <c r="E17" s="2661">
        <v>459</v>
      </c>
      <c r="F17" s="2662">
        <v>249</v>
      </c>
      <c r="G17" s="3469">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966</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70"/>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965</v>
      </c>
      <c r="B19" s="2669">
        <f t="shared" si="58"/>
        <v>322.34053690220776</v>
      </c>
      <c r="C19" s="2669">
        <f t="shared" si="58"/>
        <v>271.46160770422546</v>
      </c>
      <c r="D19" s="2669">
        <f t="shared" si="55"/>
        <v>271.46160770422546</v>
      </c>
      <c r="E19" s="2669">
        <f t="shared" si="59"/>
        <v>442.69434542172456</v>
      </c>
      <c r="F19" s="2669">
        <f t="shared" si="59"/>
        <v>241.34030753190925</v>
      </c>
      <c r="G19" s="3470"/>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964</v>
      </c>
      <c r="B20" s="2669">
        <f t="shared" si="58"/>
        <v>319.87748030386797</v>
      </c>
      <c r="C20" s="2669">
        <f t="shared" si="58"/>
        <v>269.60135833173649</v>
      </c>
      <c r="D20" s="2669">
        <f t="shared" si="55"/>
        <v>269.60135833173649</v>
      </c>
      <c r="E20" s="2669">
        <f t="shared" si="59"/>
        <v>439.18089823583784</v>
      </c>
      <c r="F20" s="2669">
        <f t="shared" si="59"/>
        <v>239.23503918706311</v>
      </c>
      <c r="G20" s="3471"/>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963</v>
      </c>
      <c r="B21" s="2683">
        <v>318</v>
      </c>
      <c r="C21" s="2683">
        <v>268</v>
      </c>
      <c r="D21" s="2683">
        <f t="shared" si="55"/>
        <v>268</v>
      </c>
      <c r="E21" s="2683">
        <v>437</v>
      </c>
      <c r="F21" s="2684">
        <v>237</v>
      </c>
      <c r="G21" s="3469">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962</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70"/>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961</v>
      </c>
      <c r="B23" s="2669">
        <f t="shared" si="60"/>
        <v>314.72141172386546</v>
      </c>
      <c r="C23" s="2669">
        <f t="shared" si="60"/>
        <v>263.03901319069001</v>
      </c>
      <c r="D23" s="2669">
        <f t="shared" si="55"/>
        <v>263.03901319069001</v>
      </c>
      <c r="E23" s="2669">
        <f t="shared" si="61"/>
        <v>433.65745506782821</v>
      </c>
      <c r="F23" s="2669">
        <f t="shared" si="61"/>
        <v>233.23005080045735</v>
      </c>
      <c r="G23" s="3470"/>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960</v>
      </c>
      <c r="B24" s="2688">
        <f t="shared" si="60"/>
        <v>307.34512863658733</v>
      </c>
      <c r="C24" s="2688">
        <f t="shared" si="60"/>
        <v>257.80556031626975</v>
      </c>
      <c r="D24" s="2688">
        <f t="shared" si="55"/>
        <v>257.80556031626975</v>
      </c>
      <c r="E24" s="2688">
        <f t="shared" si="61"/>
        <v>422.70928459677179</v>
      </c>
      <c r="F24" s="2688">
        <f t="shared" si="61"/>
        <v>229.73803270336617</v>
      </c>
      <c r="G24" s="3471"/>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2637</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2580</v>
      </c>
      <c r="B25" s="2661">
        <v>299</v>
      </c>
      <c r="C25" s="2661">
        <v>252</v>
      </c>
      <c r="D25" s="2661">
        <f t="shared" si="55"/>
        <v>252</v>
      </c>
      <c r="E25" s="2661">
        <v>409</v>
      </c>
      <c r="F25" s="2662">
        <v>227</v>
      </c>
      <c r="G25" s="3476">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2581</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77"/>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2582</v>
      </c>
      <c r="B27" s="2669">
        <f t="shared" si="64"/>
        <v>288.2649053828776</v>
      </c>
      <c r="C27" s="2669">
        <f t="shared" si="64"/>
        <v>243.64564425013293</v>
      </c>
      <c r="D27" s="2669">
        <f t="shared" si="55"/>
        <v>243.64564425013293</v>
      </c>
      <c r="E27" s="2669">
        <f t="shared" si="65"/>
        <v>393.31080825986544</v>
      </c>
      <c r="F27" s="2669">
        <f t="shared" si="65"/>
        <v>223.07903790551154</v>
      </c>
      <c r="G27" s="3477"/>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2583</v>
      </c>
      <c r="B28" s="2669">
        <f t="shared" si="64"/>
        <v>282.50186729015837</v>
      </c>
      <c r="C28" s="2669">
        <f t="shared" si="64"/>
        <v>238.09796174155468</v>
      </c>
      <c r="D28" s="2669">
        <f t="shared" si="55"/>
        <v>238.09796174155468</v>
      </c>
      <c r="E28" s="2669">
        <f t="shared" si="65"/>
        <v>385.33438646014054</v>
      </c>
      <c r="F28" s="2669">
        <f t="shared" si="65"/>
        <v>221.55034055567739</v>
      </c>
      <c r="G28" s="3478"/>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2584</v>
      </c>
      <c r="B29" s="2699">
        <v>278</v>
      </c>
      <c r="C29" s="2699">
        <v>234</v>
      </c>
      <c r="D29" s="2699">
        <f t="shared" si="55"/>
        <v>234</v>
      </c>
      <c r="E29" s="2699">
        <v>379</v>
      </c>
      <c r="F29" s="2700">
        <v>220</v>
      </c>
      <c r="G29" s="3469">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2585</v>
      </c>
      <c r="B30" s="2669">
        <f>B29/(1+N29)</f>
        <v>275.49301357645425</v>
      </c>
      <c r="C30" s="2669">
        <f>C29/(1+O29)</f>
        <v>232.41954707985698</v>
      </c>
      <c r="D30" s="2669">
        <f t="shared" si="55"/>
        <v>232.41954707985698</v>
      </c>
      <c r="E30" s="2669">
        <f t="shared" ref="E30:F32" si="66">E29/(1+P29)</f>
        <v>375.32184591008121</v>
      </c>
      <c r="F30" s="2669">
        <f t="shared" si="66"/>
        <v>218.03766105054513</v>
      </c>
      <c r="G30" s="3470"/>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2586</v>
      </c>
      <c r="B31" s="2669">
        <f>B30/(1+N30)</f>
        <v>275.24529281292263</v>
      </c>
      <c r="C31" s="2669">
        <f>C30/(1+O30)</f>
        <v>231.74747938962707</v>
      </c>
      <c r="D31" s="2669">
        <f t="shared" si="55"/>
        <v>231.74747938962707</v>
      </c>
      <c r="E31" s="2669">
        <f t="shared" si="66"/>
        <v>375.35938184826603</v>
      </c>
      <c r="F31" s="2669">
        <f t="shared" si="66"/>
        <v>216.78033510692495</v>
      </c>
      <c r="G31" s="3470"/>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2587</v>
      </c>
      <c r="B32" s="2669">
        <f>B31/(1+N31)</f>
        <v>275.19025476197027</v>
      </c>
      <c r="C32" s="2701">
        <v>232</v>
      </c>
      <c r="D32" s="2701">
        <f t="shared" si="55"/>
        <v>232</v>
      </c>
      <c r="E32" s="2669">
        <f t="shared" si="66"/>
        <v>375.65990977608692</v>
      </c>
      <c r="F32" s="2669">
        <f t="shared" si="66"/>
        <v>214.12518283971252</v>
      </c>
      <c r="G32" s="3471"/>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2588</v>
      </c>
      <c r="B33" s="2661">
        <v>275</v>
      </c>
      <c r="C33" s="2661">
        <v>232</v>
      </c>
      <c r="D33" s="2661">
        <f t="shared" si="55"/>
        <v>232</v>
      </c>
      <c r="E33" s="2661">
        <v>376</v>
      </c>
      <c r="F33" s="2662">
        <v>213</v>
      </c>
      <c r="G33" s="3469">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2589</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70">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2590</v>
      </c>
      <c r="B35" s="2669">
        <f t="shared" si="67"/>
        <v>275.19335084830601</v>
      </c>
      <c r="C35" s="2669">
        <f t="shared" si="67"/>
        <v>230.18088050139744</v>
      </c>
      <c r="D35" s="2669">
        <f t="shared" si="55"/>
        <v>230.18088050139744</v>
      </c>
      <c r="E35" s="2669">
        <f t="shared" si="68"/>
        <v>377.58482925212331</v>
      </c>
      <c r="F35" s="2669">
        <f t="shared" si="68"/>
        <v>210.90687997847917</v>
      </c>
      <c r="G35" s="3470">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2591</v>
      </c>
      <c r="B36" s="2669">
        <f t="shared" si="67"/>
        <v>276.29854502841971</v>
      </c>
      <c r="C36" s="2669">
        <f t="shared" si="67"/>
        <v>229.79023709833027</v>
      </c>
      <c r="D36" s="2669">
        <f t="shared" si="55"/>
        <v>229.79023709833027</v>
      </c>
      <c r="E36" s="2669">
        <f t="shared" si="68"/>
        <v>379.78759731655936</v>
      </c>
      <c r="F36" s="2669">
        <f t="shared" si="68"/>
        <v>211.32953905659235</v>
      </c>
      <c r="G36" s="3471">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2592</v>
      </c>
      <c r="B37" s="2661">
        <v>269</v>
      </c>
      <c r="C37" s="2661">
        <v>221</v>
      </c>
      <c r="D37" s="2661">
        <f t="shared" si="55"/>
        <v>221</v>
      </c>
      <c r="E37" s="2661">
        <v>373</v>
      </c>
      <c r="F37" s="2662">
        <v>196</v>
      </c>
      <c r="G37" s="3469">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2593</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70">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2594</v>
      </c>
      <c r="B39" s="2669">
        <f t="shared" si="69"/>
        <v>242.95398227588385</v>
      </c>
      <c r="C39" s="2669">
        <f t="shared" si="69"/>
        <v>199.59137053614126</v>
      </c>
      <c r="D39" s="2669">
        <f t="shared" si="55"/>
        <v>199.59137053614126</v>
      </c>
      <c r="E39" s="2669">
        <f t="shared" si="70"/>
        <v>335.92189522342125</v>
      </c>
      <c r="F39" s="2669">
        <f t="shared" si="70"/>
        <v>183.10139991109489</v>
      </c>
      <c r="G39" s="3470">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2595</v>
      </c>
      <c r="B40" s="2669">
        <f t="shared" si="69"/>
        <v>232.06990378821649</v>
      </c>
      <c r="C40" s="2669">
        <f t="shared" si="69"/>
        <v>192.74878854286936</v>
      </c>
      <c r="D40" s="2669">
        <f t="shared" si="55"/>
        <v>192.74878854286936</v>
      </c>
      <c r="E40" s="2669">
        <f t="shared" si="70"/>
        <v>319.71247284992984</v>
      </c>
      <c r="F40" s="2669">
        <f t="shared" si="70"/>
        <v>175.67053622862409</v>
      </c>
      <c r="G40" s="3471">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2596</v>
      </c>
      <c r="B41" s="2661">
        <v>220</v>
      </c>
      <c r="C41" s="2661">
        <v>187</v>
      </c>
      <c r="D41" s="2661">
        <f t="shared" si="55"/>
        <v>187</v>
      </c>
      <c r="E41" s="2661">
        <v>301</v>
      </c>
      <c r="F41" s="2662">
        <v>168</v>
      </c>
      <c r="G41" s="3469">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2597</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70">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2598</v>
      </c>
      <c r="B43" s="2669">
        <f t="shared" si="71"/>
        <v>210.630522469011</v>
      </c>
      <c r="C43" s="2669">
        <f t="shared" si="71"/>
        <v>181.69567812247232</v>
      </c>
      <c r="D43" s="2669">
        <f t="shared" si="55"/>
        <v>181.69567812247232</v>
      </c>
      <c r="E43" s="2669">
        <f t="shared" si="72"/>
        <v>286.13517466736738</v>
      </c>
      <c r="F43" s="2669">
        <f t="shared" si="72"/>
        <v>165.47535084591149</v>
      </c>
      <c r="G43" s="3470">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2599</v>
      </c>
      <c r="B44" s="2669">
        <f t="shared" si="71"/>
        <v>208.83454537875372</v>
      </c>
      <c r="C44" s="2669">
        <f t="shared" si="71"/>
        <v>183.77230517090351</v>
      </c>
      <c r="D44" s="2669">
        <f t="shared" si="55"/>
        <v>183.77230517090351</v>
      </c>
      <c r="E44" s="2669">
        <f t="shared" si="72"/>
        <v>281.10342338870947</v>
      </c>
      <c r="F44" s="2669">
        <f t="shared" si="72"/>
        <v>168.97309388942256</v>
      </c>
      <c r="G44" s="3471">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2600</v>
      </c>
      <c r="B45" s="2699">
        <v>214</v>
      </c>
      <c r="C45" s="2699">
        <v>188</v>
      </c>
      <c r="D45" s="2699">
        <f t="shared" si="55"/>
        <v>188</v>
      </c>
      <c r="E45" s="2699">
        <v>289</v>
      </c>
      <c r="F45" s="2700">
        <v>166</v>
      </c>
      <c r="G45" s="3469">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2601</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70">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2602</v>
      </c>
      <c r="B47" s="2669">
        <f t="shared" si="73"/>
        <v>206.31694671589116</v>
      </c>
      <c r="C47" s="2669">
        <f t="shared" si="73"/>
        <v>183.61041121036101</v>
      </c>
      <c r="D47" s="2669">
        <f t="shared" si="55"/>
        <v>183.61041121036101</v>
      </c>
      <c r="E47" s="2669">
        <f t="shared" si="74"/>
        <v>276.66850301795557</v>
      </c>
      <c r="F47" s="2669">
        <f t="shared" si="74"/>
        <v>165.1360938278614</v>
      </c>
      <c r="G47" s="3470">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2603</v>
      </c>
      <c r="B48" s="2702">
        <f t="shared" si="73"/>
        <v>196.62341248059772</v>
      </c>
      <c r="C48" s="2702">
        <f t="shared" si="73"/>
        <v>170.99125648199012</v>
      </c>
      <c r="D48" s="2702">
        <f t="shared" si="55"/>
        <v>170.99125648199012</v>
      </c>
      <c r="E48" s="2702">
        <f t="shared" si="74"/>
        <v>266.07857570490052</v>
      </c>
      <c r="F48" s="2702">
        <f t="shared" si="74"/>
        <v>154.53499328828505</v>
      </c>
      <c r="G48" s="3471">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2604</v>
      </c>
      <c r="B49" s="2661">
        <v>188</v>
      </c>
      <c r="C49" s="2661">
        <v>165</v>
      </c>
      <c r="D49" s="2661">
        <f t="shared" si="55"/>
        <v>165</v>
      </c>
      <c r="E49" s="2661">
        <v>254</v>
      </c>
      <c r="F49" s="2662">
        <v>148</v>
      </c>
      <c r="G49" s="3469">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2605</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70">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2606</v>
      </c>
      <c r="B51" s="2669">
        <f t="shared" si="77"/>
        <v>168.82017748715555</v>
      </c>
      <c r="C51" s="2669">
        <f t="shared" si="77"/>
        <v>148.06267029972753</v>
      </c>
      <c r="D51" s="2669">
        <f t="shared" si="55"/>
        <v>148.06267029972753</v>
      </c>
      <c r="E51" s="2669">
        <f t="shared" si="78"/>
        <v>216.46288379323747</v>
      </c>
      <c r="F51" s="2669">
        <f t="shared" si="78"/>
        <v>134.23529411764704</v>
      </c>
      <c r="G51" s="3470">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2607</v>
      </c>
      <c r="B52" s="2669">
        <f t="shared" si="77"/>
        <v>163.84913591779542</v>
      </c>
      <c r="C52" s="2669">
        <f t="shared" si="77"/>
        <v>145.0283378746594</v>
      </c>
      <c r="D52" s="2669">
        <f t="shared" si="55"/>
        <v>145.0283378746594</v>
      </c>
      <c r="E52" s="2669">
        <f t="shared" si="78"/>
        <v>204.95180722891567</v>
      </c>
      <c r="F52" s="2669">
        <f t="shared" si="78"/>
        <v>125.95920303605313</v>
      </c>
      <c r="G52" s="3471">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2608</v>
      </c>
      <c r="B53" s="2683">
        <v>159</v>
      </c>
      <c r="C53" s="2683">
        <v>141</v>
      </c>
      <c r="D53" s="2683">
        <f t="shared" si="55"/>
        <v>141</v>
      </c>
      <c r="E53" s="2683">
        <v>195</v>
      </c>
      <c r="F53" s="2684">
        <v>122</v>
      </c>
      <c r="G53" s="3469">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2609</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70">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2610</v>
      </c>
      <c r="B55" s="2669">
        <f t="shared" si="81"/>
        <v>146.57412060301507</v>
      </c>
      <c r="C55" s="2669">
        <f t="shared" si="81"/>
        <v>136.46831955922866</v>
      </c>
      <c r="D55" s="2669">
        <f t="shared" si="55"/>
        <v>136.46831955922866</v>
      </c>
      <c r="E55" s="2669">
        <f t="shared" si="82"/>
        <v>166.73864894795128</v>
      </c>
      <c r="F55" s="2669">
        <f t="shared" si="82"/>
        <v>115.05882352941177</v>
      </c>
      <c r="G55" s="3470">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2611</v>
      </c>
      <c r="B56" s="2669">
        <f t="shared" si="81"/>
        <v>144.04145728643215</v>
      </c>
      <c r="C56" s="2669">
        <f t="shared" si="81"/>
        <v>136.12396694214877</v>
      </c>
      <c r="D56" s="2669">
        <f t="shared" si="55"/>
        <v>136.12396694214877</v>
      </c>
      <c r="E56" s="2669">
        <f t="shared" si="82"/>
        <v>158.32225913621264</v>
      </c>
      <c r="F56" s="2669">
        <f t="shared" si="82"/>
        <v>114.04278074866311</v>
      </c>
      <c r="G56" s="3471">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2612</v>
      </c>
      <c r="B57" s="2683">
        <v>138</v>
      </c>
      <c r="C57" s="2683">
        <v>131</v>
      </c>
      <c r="D57" s="2683">
        <f t="shared" si="55"/>
        <v>131</v>
      </c>
      <c r="E57" s="2683">
        <v>155</v>
      </c>
      <c r="F57" s="2684">
        <v>114</v>
      </c>
      <c r="G57" s="3469">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2613</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70">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2614</v>
      </c>
      <c r="B59" s="2669">
        <f t="shared" si="85"/>
        <v>124.29032258064517</v>
      </c>
      <c r="C59" s="2669">
        <f t="shared" si="85"/>
        <v>123.8968609865471</v>
      </c>
      <c r="D59" s="2669">
        <f t="shared" si="55"/>
        <v>123.8968609865471</v>
      </c>
      <c r="E59" s="2669">
        <f t="shared" si="86"/>
        <v>138.00507614213197</v>
      </c>
      <c r="F59" s="2669">
        <f t="shared" si="86"/>
        <v>107.96106557377048</v>
      </c>
      <c r="G59" s="3470">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2615</v>
      </c>
      <c r="B60" s="2669">
        <f t="shared" si="85"/>
        <v>122.57204301075269</v>
      </c>
      <c r="C60" s="2669">
        <f t="shared" si="85"/>
        <v>123.4932735426009</v>
      </c>
      <c r="D60" s="2669">
        <f t="shared" si="55"/>
        <v>123.4932735426009</v>
      </c>
      <c r="E60" s="2669">
        <f t="shared" si="86"/>
        <v>129.82233502538071</v>
      </c>
      <c r="F60" s="2669">
        <f t="shared" si="86"/>
        <v>107.39446721311475</v>
      </c>
      <c r="G60" s="3471">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2616</v>
      </c>
      <c r="B61" s="2699">
        <v>121</v>
      </c>
      <c r="C61" s="2699">
        <v>122</v>
      </c>
      <c r="D61" s="2699">
        <f t="shared" si="55"/>
        <v>122</v>
      </c>
      <c r="E61" s="2699">
        <v>124</v>
      </c>
      <c r="F61" s="2700">
        <v>107</v>
      </c>
      <c r="G61" s="3469">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2617</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70">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2618</v>
      </c>
      <c r="B63" s="2669">
        <f t="shared" si="89"/>
        <v>116.99099099099099</v>
      </c>
      <c r="C63" s="2669">
        <f t="shared" si="89"/>
        <v>118.84848484848486</v>
      </c>
      <c r="D63" s="2669">
        <f t="shared" si="55"/>
        <v>118.84848484848486</v>
      </c>
      <c r="E63" s="2669">
        <f t="shared" si="90"/>
        <v>117.60960960960961</v>
      </c>
      <c r="F63" s="2669">
        <f t="shared" si="90"/>
        <v>104</v>
      </c>
      <c r="G63" s="3470">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2619</v>
      </c>
      <c r="B64" s="2702">
        <f t="shared" si="89"/>
        <v>112.48648648648648</v>
      </c>
      <c r="C64" s="2702">
        <f t="shared" si="89"/>
        <v>115.21212121212122</v>
      </c>
      <c r="D64" s="2702">
        <f t="shared" si="55"/>
        <v>115.21212121212122</v>
      </c>
      <c r="E64" s="2702">
        <f t="shared" si="90"/>
        <v>110.4024024024024</v>
      </c>
      <c r="F64" s="2702">
        <f t="shared" si="90"/>
        <v>104</v>
      </c>
      <c r="G64" s="3471">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2620</v>
      </c>
      <c r="B65" s="2720">
        <v>111</v>
      </c>
      <c r="C65" s="2720">
        <v>114</v>
      </c>
      <c r="D65" s="2720">
        <f t="shared" si="55"/>
        <v>114</v>
      </c>
      <c r="E65" s="2720">
        <v>108</v>
      </c>
      <c r="F65" s="2721">
        <v>104</v>
      </c>
      <c r="G65" s="3469">
        <v>2003</v>
      </c>
      <c r="H65" s="2710">
        <v>4</v>
      </c>
      <c r="I65" s="2722"/>
      <c r="J65" s="2722"/>
      <c r="K65" s="2722"/>
      <c r="L65" s="2722"/>
      <c r="N65" s="2723"/>
      <c r="O65" s="2722"/>
      <c r="P65" s="2722"/>
      <c r="Q65" s="2722"/>
      <c r="S65" s="2723"/>
      <c r="T65" s="2722"/>
      <c r="U65" s="2722"/>
      <c r="V65" s="2722"/>
      <c r="X65" s="2714"/>
      <c r="Y65" s="2714"/>
      <c r="Z65" s="2714"/>
    </row>
    <row r="66" spans="1:26">
      <c r="A66" s="2655" t="s">
        <v>2621</v>
      </c>
      <c r="B66" s="2724">
        <f t="shared" ref="B66:C68" si="91">B67+(B$65-B$69)/4</f>
        <v>109.75</v>
      </c>
      <c r="C66" s="2724">
        <f t="shared" si="91"/>
        <v>112.25</v>
      </c>
      <c r="D66" s="2724">
        <f t="shared" si="55"/>
        <v>112.25</v>
      </c>
      <c r="E66" s="2724">
        <f t="shared" ref="E66:F68" si="92">E67+(E$65-E$69)/4</f>
        <v>107.25</v>
      </c>
      <c r="F66" s="2724">
        <f t="shared" si="92"/>
        <v>103.5</v>
      </c>
      <c r="G66" s="3470">
        <v>2003</v>
      </c>
      <c r="H66" s="2680">
        <v>3</v>
      </c>
      <c r="I66" s="2722"/>
      <c r="J66" s="2722"/>
      <c r="K66" s="2722"/>
      <c r="L66" s="2722"/>
      <c r="X66" s="2714"/>
      <c r="Y66" s="2714"/>
      <c r="Z66" s="2714"/>
    </row>
    <row r="67" spans="1:26">
      <c r="A67" s="2655" t="s">
        <v>2622</v>
      </c>
      <c r="B67" s="2724">
        <f t="shared" si="91"/>
        <v>108.5</v>
      </c>
      <c r="C67" s="2724">
        <f t="shared" si="91"/>
        <v>110.5</v>
      </c>
      <c r="D67" s="2724">
        <f t="shared" si="55"/>
        <v>110.5</v>
      </c>
      <c r="E67" s="2724">
        <f t="shared" si="92"/>
        <v>106.5</v>
      </c>
      <c r="F67" s="2724">
        <f t="shared" si="92"/>
        <v>103</v>
      </c>
      <c r="G67" s="3470">
        <v>2003</v>
      </c>
      <c r="H67" s="2660">
        <v>2</v>
      </c>
      <c r="I67" s="2722"/>
      <c r="J67" s="2722"/>
      <c r="K67" s="2722"/>
      <c r="L67" s="2722"/>
      <c r="X67" s="2714"/>
      <c r="Y67" s="2714"/>
      <c r="Z67" s="2714"/>
    </row>
    <row r="68" spans="1:26" ht="13.5" thickBot="1">
      <c r="A68" s="2655" t="s">
        <v>2623</v>
      </c>
      <c r="B68" s="2724">
        <f t="shared" si="91"/>
        <v>107.25</v>
      </c>
      <c r="C68" s="2724">
        <f t="shared" si="91"/>
        <v>108.75</v>
      </c>
      <c r="D68" s="2724">
        <f t="shared" si="55"/>
        <v>108.75</v>
      </c>
      <c r="E68" s="2724">
        <f t="shared" si="92"/>
        <v>105.75</v>
      </c>
      <c r="F68" s="2724">
        <f t="shared" si="92"/>
        <v>102.5</v>
      </c>
      <c r="G68" s="3471">
        <v>2003</v>
      </c>
      <c r="H68" s="2725">
        <v>1</v>
      </c>
      <c r="I68" s="2722"/>
      <c r="J68" s="2722"/>
      <c r="K68" s="2722"/>
      <c r="L68" s="2722"/>
      <c r="S68" s="2664"/>
      <c r="T68" s="2665"/>
      <c r="U68" s="2665"/>
      <c r="X68" s="2714"/>
      <c r="Y68" s="2714"/>
      <c r="Z68" s="2714"/>
    </row>
    <row r="69" spans="1:26" ht="13.5" thickBot="1">
      <c r="A69" s="2655" t="s">
        <v>2624</v>
      </c>
      <c r="B69" s="2726">
        <v>106</v>
      </c>
      <c r="C69" s="2726">
        <v>107</v>
      </c>
      <c r="D69" s="2726">
        <f t="shared" si="55"/>
        <v>107</v>
      </c>
      <c r="E69" s="2726">
        <v>105</v>
      </c>
      <c r="F69" s="2727">
        <v>102</v>
      </c>
      <c r="G69" s="3469">
        <v>2002</v>
      </c>
      <c r="H69" s="2675">
        <v>4</v>
      </c>
      <c r="I69" s="2722"/>
      <c r="J69" s="2722"/>
      <c r="K69" s="2722"/>
      <c r="L69" s="2722"/>
      <c r="N69" s="2723"/>
      <c r="O69" s="2722"/>
      <c r="P69" s="2722"/>
      <c r="Q69" s="2722"/>
      <c r="S69" s="2723"/>
      <c r="T69" s="2722"/>
      <c r="U69" s="2722"/>
      <c r="V69" s="2722"/>
      <c r="X69" s="2714"/>
      <c r="Y69" s="2714"/>
      <c r="Z69" s="2714"/>
    </row>
    <row r="70" spans="1:26">
      <c r="A70" s="2655" t="s">
        <v>2625</v>
      </c>
      <c r="B70" s="2724">
        <f t="shared" ref="B70:C72" si="93">B71+(B$69-B$73)/4</f>
        <v>105</v>
      </c>
      <c r="C70" s="2724">
        <f t="shared" si="93"/>
        <v>106</v>
      </c>
      <c r="D70" s="2724">
        <f t="shared" si="55"/>
        <v>106</v>
      </c>
      <c r="E70" s="2724">
        <f t="shared" ref="E70:F72" si="94">E71+(E$69-E$73)/4</f>
        <v>104.5</v>
      </c>
      <c r="F70" s="2724">
        <f t="shared" si="94"/>
        <v>101.5</v>
      </c>
      <c r="G70" s="3470">
        <v>2002</v>
      </c>
      <c r="H70" s="2680">
        <v>3</v>
      </c>
      <c r="I70" s="2722"/>
      <c r="J70" s="2722"/>
      <c r="K70" s="2722"/>
      <c r="L70" s="2722"/>
      <c r="X70" s="2714"/>
      <c r="Y70" s="2714"/>
      <c r="Z70" s="2714"/>
    </row>
    <row r="71" spans="1:26">
      <c r="A71" s="2655" t="s">
        <v>2626</v>
      </c>
      <c r="B71" s="2724">
        <f t="shared" si="93"/>
        <v>104</v>
      </c>
      <c r="C71" s="2724">
        <f t="shared" si="93"/>
        <v>105</v>
      </c>
      <c r="D71" s="2724">
        <f t="shared" si="55"/>
        <v>105</v>
      </c>
      <c r="E71" s="2724">
        <f t="shared" si="94"/>
        <v>104</v>
      </c>
      <c r="F71" s="2724">
        <f t="shared" si="94"/>
        <v>101</v>
      </c>
      <c r="G71" s="3470">
        <v>2002</v>
      </c>
      <c r="H71" s="2660">
        <v>2</v>
      </c>
      <c r="I71" s="2722"/>
      <c r="J71" s="2722"/>
      <c r="K71" s="2722"/>
      <c r="L71" s="2722"/>
      <c r="X71" s="2714"/>
      <c r="Y71" s="2714"/>
      <c r="Z71" s="2714"/>
    </row>
    <row r="72" spans="1:26" s="2691" customFormat="1" ht="13.5" thickBot="1">
      <c r="A72" s="2687" t="s">
        <v>2627</v>
      </c>
      <c r="B72" s="2728">
        <f t="shared" si="93"/>
        <v>103</v>
      </c>
      <c r="C72" s="2728">
        <f t="shared" si="93"/>
        <v>104</v>
      </c>
      <c r="D72" s="2728">
        <f t="shared" si="55"/>
        <v>104</v>
      </c>
      <c r="E72" s="2728">
        <f t="shared" si="94"/>
        <v>103.5</v>
      </c>
      <c r="F72" s="2728">
        <f t="shared" si="94"/>
        <v>100.5</v>
      </c>
      <c r="G72" s="3471">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2628</v>
      </c>
      <c r="G75" s="2738"/>
      <c r="N75" s="2738"/>
      <c r="S75" s="2738"/>
    </row>
    <row r="76" spans="1:26" s="2737" customFormat="1">
      <c r="A76" s="2737" t="s">
        <v>2629</v>
      </c>
      <c r="G76" s="2738"/>
      <c r="N76" s="2738"/>
      <c r="S76" s="2738"/>
    </row>
    <row r="77" spans="1:26" s="2737" customFormat="1">
      <c r="A77" s="2737" t="s">
        <v>2630</v>
      </c>
      <c r="G77" s="2738"/>
      <c r="I77" s="2739"/>
      <c r="J77" s="2739"/>
      <c r="K77" s="2739"/>
      <c r="L77" s="2739"/>
      <c r="N77" s="2740"/>
      <c r="O77" s="2739"/>
      <c r="P77" s="2739"/>
      <c r="Q77" s="2739"/>
      <c r="S77" s="2740"/>
      <c r="T77" s="2739"/>
      <c r="U77" s="2739"/>
      <c r="V77" s="2739"/>
    </row>
    <row r="78" spans="1:26" s="2737" customFormat="1">
      <c r="A78" s="2737" t="s">
        <v>2631</v>
      </c>
      <c r="G78" s="2738"/>
      <c r="N78" s="2738"/>
      <c r="S78" s="2738"/>
    </row>
    <row r="85" spans="7:22" ht="13.5" thickBot="1"/>
    <row r="86" spans="7:22">
      <c r="G86" s="2663"/>
      <c r="S86" s="2741" t="s">
        <v>2632</v>
      </c>
      <c r="T86" s="2742" t="s">
        <v>2633</v>
      </c>
      <c r="U86" s="2742" t="s">
        <v>2634</v>
      </c>
      <c r="V86" s="2742" t="s">
        <v>2635</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I23" sqref="I23"/>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2623" t="s">
        <v>718</v>
      </c>
      <c r="C1" s="2624" t="s">
        <v>719</v>
      </c>
      <c r="D1" s="2625" t="s">
        <v>4014</v>
      </c>
      <c r="E1" s="2626"/>
      <c r="F1" s="2807" t="s">
        <v>3015</v>
      </c>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466</v>
      </c>
      <c r="B2" s="2622">
        <f>ROUND(B3*D3/10000,0)</f>
        <v>117430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8" t="s">
        <v>518</v>
      </c>
      <c r="B3" s="850">
        <f>C49</f>
        <v>7119</v>
      </c>
      <c r="C3" s="851" t="s">
        <v>721</v>
      </c>
      <c r="D3" s="850">
        <f>SUMIF('数据-汇总表'!$C19:$C33,D1,'数据-汇总表'!$E19:$E33)</f>
        <v>164952.34</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520</v>
      </c>
      <c r="B4" s="512"/>
      <c r="C4" s="3396" t="s">
        <v>521</v>
      </c>
      <c r="D4" s="3397"/>
      <c r="E4" s="3430" t="s">
        <v>522</v>
      </c>
      <c r="F4" s="3431"/>
      <c r="G4" s="3396" t="s">
        <v>523</v>
      </c>
      <c r="H4" s="3397"/>
      <c r="I4" s="3396" t="s">
        <v>524</v>
      </c>
      <c r="J4" s="3397"/>
      <c r="K4" s="852" t="s">
        <v>525</v>
      </c>
      <c r="L4" s="2133"/>
      <c r="M4" s="2134"/>
      <c r="N4" s="2134"/>
      <c r="O4" s="2134"/>
      <c r="P4" s="3398" t="s">
        <v>526</v>
      </c>
      <c r="Q4" s="3399"/>
      <c r="R4" s="3404" t="s">
        <v>522</v>
      </c>
      <c r="S4" s="3405"/>
      <c r="T4" s="3404" t="s">
        <v>523</v>
      </c>
      <c r="U4" s="3405"/>
      <c r="V4" s="3391" t="s">
        <v>524</v>
      </c>
      <c r="W4" s="3391"/>
      <c r="X4" s="1566"/>
      <c r="Y4" s="3404" t="s">
        <v>526</v>
      </c>
      <c r="Z4" s="3405"/>
      <c r="AA4" s="3393" t="s">
        <v>522</v>
      </c>
      <c r="AB4" s="3393" t="s">
        <v>523</v>
      </c>
      <c r="AC4" s="3393" t="s">
        <v>524</v>
      </c>
    </row>
    <row r="5" spans="1:29" ht="15">
      <c r="A5" s="514"/>
      <c r="B5" s="515"/>
      <c r="C5" s="3412" t="s">
        <v>2916</v>
      </c>
      <c r="D5" s="3413"/>
      <c r="E5" s="3485" t="s">
        <v>4165</v>
      </c>
      <c r="F5" s="3433"/>
      <c r="G5" s="3483" t="s">
        <v>4159</v>
      </c>
      <c r="H5" s="3413"/>
      <c r="I5" s="3483" t="s">
        <v>4175</v>
      </c>
      <c r="J5" s="3413"/>
      <c r="K5" s="853"/>
      <c r="L5" s="2133"/>
      <c r="M5" s="2134"/>
      <c r="N5" s="2134"/>
      <c r="O5" s="2134"/>
      <c r="P5" s="3400"/>
      <c r="Q5" s="3401"/>
      <c r="R5" s="3406"/>
      <c r="S5" s="3407"/>
      <c r="T5" s="3406"/>
      <c r="U5" s="3407"/>
      <c r="V5" s="3391"/>
      <c r="W5" s="3391"/>
      <c r="X5" s="1566"/>
      <c r="Y5" s="3406"/>
      <c r="Z5" s="3407"/>
      <c r="AA5" s="3394"/>
      <c r="AB5" s="3394"/>
      <c r="AC5" s="3394"/>
    </row>
    <row r="6" spans="1:29" ht="15.75" thickBot="1">
      <c r="A6" s="516"/>
      <c r="B6" s="517"/>
      <c r="C6" s="3410" t="s">
        <v>2920</v>
      </c>
      <c r="D6" s="3411"/>
      <c r="E6" s="3484" t="s">
        <v>4166</v>
      </c>
      <c r="F6" s="3429"/>
      <c r="G6" s="3482" t="s">
        <v>4160</v>
      </c>
      <c r="H6" s="3411"/>
      <c r="I6" s="3482" t="s">
        <v>4167</v>
      </c>
      <c r="J6" s="3411"/>
      <c r="K6" s="853" t="s">
        <v>527</v>
      </c>
      <c r="L6" s="2133"/>
      <c r="M6" s="2134"/>
      <c r="N6" s="2134"/>
      <c r="O6" s="2134"/>
      <c r="P6" s="3402"/>
      <c r="Q6" s="3403"/>
      <c r="R6" s="3406"/>
      <c r="S6" s="3407"/>
      <c r="T6" s="3408"/>
      <c r="U6" s="3409"/>
      <c r="V6" s="3391"/>
      <c r="W6" s="3391"/>
      <c r="X6" s="1566"/>
      <c r="Y6" s="3408"/>
      <c r="Z6" s="3409"/>
      <c r="AA6" s="3395"/>
      <c r="AB6" s="3395"/>
      <c r="AC6" s="3395"/>
    </row>
    <row r="7" spans="1:29" s="1218" customFormat="1" ht="15.75" thickBot="1">
      <c r="A7" s="2912"/>
      <c r="B7" s="2919" t="s">
        <v>528</v>
      </c>
      <c r="C7" s="518">
        <f>'数据-取费表'!B2</f>
        <v>43445</v>
      </c>
      <c r="D7" s="519">
        <v>100</v>
      </c>
      <c r="E7" s="520">
        <v>43435</v>
      </c>
      <c r="F7" s="521">
        <f>SUMIF(58:58,YEAR(E7)&amp;"-"&amp;MONTH(E7),59:59)</f>
        <v>100</v>
      </c>
      <c r="G7" s="522">
        <f>E7</f>
        <v>43435</v>
      </c>
      <c r="H7" s="519">
        <f>SUMIF(58:58,YEAR(G7)&amp;"-"&amp;MONTH(G7),59:59)</f>
        <v>100</v>
      </c>
      <c r="I7" s="522">
        <f>E7</f>
        <v>43435</v>
      </c>
      <c r="J7" s="519">
        <f>SUMIF(58:58,YEAR(I7)&amp;"-"&amp;MONTH(I7),59:59)</f>
        <v>100</v>
      </c>
      <c r="K7" s="854"/>
      <c r="L7" s="2135"/>
      <c r="M7" s="2136"/>
      <c r="N7" s="2136"/>
      <c r="O7" s="2136"/>
      <c r="P7" s="3421" t="s">
        <v>529</v>
      </c>
      <c r="Q7" s="3423"/>
      <c r="R7" s="1567" t="s">
        <v>13</v>
      </c>
      <c r="S7" s="1568">
        <f t="shared" ref="S7:S15" si="0">F7</f>
        <v>100</v>
      </c>
      <c r="T7" s="1567" t="s">
        <v>13</v>
      </c>
      <c r="U7" s="1568">
        <f t="shared" ref="U7:U15" si="1">H7</f>
        <v>100</v>
      </c>
      <c r="V7" s="1567" t="s">
        <v>13</v>
      </c>
      <c r="W7" s="1568">
        <f t="shared" ref="W7:W15" si="2">J7</f>
        <v>100</v>
      </c>
      <c r="X7" s="1569"/>
      <c r="Y7" s="3421" t="s">
        <v>529</v>
      </c>
      <c r="Z7" s="3422"/>
      <c r="AA7" s="1570">
        <f>D7/F7</f>
        <v>1</v>
      </c>
      <c r="AB7" s="1570">
        <f>D7/H7</f>
        <v>1</v>
      </c>
      <c r="AC7" s="1570">
        <f>D7/J7</f>
        <v>1</v>
      </c>
    </row>
    <row r="8" spans="1:29" s="1218" customFormat="1" ht="15.75" thickBot="1">
      <c r="A8" s="2913"/>
      <c r="B8" s="2920" t="s">
        <v>530</v>
      </c>
      <c r="C8" s="524" t="s">
        <v>575</v>
      </c>
      <c r="D8" s="519">
        <v>100</v>
      </c>
      <c r="E8" s="855" t="s">
        <v>3882</v>
      </c>
      <c r="F8" s="521">
        <f>SUMIF(61:61,E8,62:62)-SUMIF(61:61,C8,62:62)+100</f>
        <v>100</v>
      </c>
      <c r="G8" s="855" t="s">
        <v>3882</v>
      </c>
      <c r="H8" s="519">
        <f>SUMIF(61:61,G8,62:62)-SUMIF(61:61,C8,62:62)+100</f>
        <v>100</v>
      </c>
      <c r="I8" s="855" t="s">
        <v>3882</v>
      </c>
      <c r="J8" s="519">
        <f>SUMIF(61:61,I8,62:62)-SUMIF(61:61,C8,62:62)+100</f>
        <v>100</v>
      </c>
      <c r="K8" s="854"/>
      <c r="L8" s="2135"/>
      <c r="M8" s="2136"/>
      <c r="N8" s="2136"/>
      <c r="O8" s="2136"/>
      <c r="P8" s="3421" t="s">
        <v>532</v>
      </c>
      <c r="Q8" s="3422"/>
      <c r="R8" s="1567" t="s">
        <v>13</v>
      </c>
      <c r="S8" s="1568">
        <f t="shared" si="0"/>
        <v>100</v>
      </c>
      <c r="T8" s="1567" t="s">
        <v>13</v>
      </c>
      <c r="U8" s="1568">
        <f t="shared" si="1"/>
        <v>100</v>
      </c>
      <c r="V8" s="1567" t="s">
        <v>13</v>
      </c>
      <c r="W8" s="1568">
        <f t="shared" si="2"/>
        <v>100</v>
      </c>
      <c r="X8" s="1569"/>
      <c r="Y8" s="3421" t="s">
        <v>532</v>
      </c>
      <c r="Z8" s="3422"/>
      <c r="AA8" s="1570">
        <f t="shared" ref="AA8:AA46" si="3">D8/F8</f>
        <v>1</v>
      </c>
      <c r="AB8" s="1570">
        <f t="shared" ref="AB8:AB46" si="4">D8/H8</f>
        <v>1</v>
      </c>
      <c r="AC8" s="1570">
        <f t="shared" ref="AC8:AC46" si="5">D8/J8</f>
        <v>1</v>
      </c>
    </row>
    <row r="9" spans="1:29" s="1218" customFormat="1" ht="15">
      <c r="A9" s="2914"/>
      <c r="B9" s="2921" t="s">
        <v>2752</v>
      </c>
      <c r="C9" s="3205" t="s">
        <v>3880</v>
      </c>
      <c r="D9" s="253">
        <v>100</v>
      </c>
      <c r="E9" s="857" t="s">
        <v>922</v>
      </c>
      <c r="F9" s="858">
        <f>SUMIF(63:63,E9,64:64)-SUMIF(63:63,C9,64:64)+100</f>
        <v>100</v>
      </c>
      <c r="G9" s="857" t="s">
        <v>922</v>
      </c>
      <c r="H9" s="253">
        <f>SUMIF(63:63,G9,64:64)-SUMIF(63:63,C9,64:64)+100</f>
        <v>100</v>
      </c>
      <c r="I9" s="857" t="s">
        <v>922</v>
      </c>
      <c r="J9" s="253">
        <f>SUMIF(63:63,I9,64:64)-SUMIF(63:63,C9,64:64)+100</f>
        <v>100</v>
      </c>
      <c r="K9" s="854"/>
      <c r="L9" s="2135"/>
      <c r="M9" s="2136"/>
      <c r="N9" s="2136"/>
      <c r="O9" s="2137"/>
      <c r="P9" s="3390" t="s">
        <v>534</v>
      </c>
      <c r="Q9" s="1149" t="str">
        <f t="shared" ref="Q9:Q15" si="6">B9</f>
        <v>用途</v>
      </c>
      <c r="R9" s="1567" t="s">
        <v>8</v>
      </c>
      <c r="S9" s="1568">
        <f t="shared" si="0"/>
        <v>100</v>
      </c>
      <c r="T9" s="1567" t="s">
        <v>8</v>
      </c>
      <c r="U9" s="1568">
        <f t="shared" si="1"/>
        <v>100</v>
      </c>
      <c r="V9" s="1567" t="s">
        <v>8</v>
      </c>
      <c r="W9" s="1568">
        <f t="shared" si="2"/>
        <v>100</v>
      </c>
      <c r="X9" s="1569"/>
      <c r="Y9" s="3336" t="s">
        <v>535</v>
      </c>
      <c r="Z9" s="1148" t="str">
        <f t="shared" ref="Z9:Z15" si="7">Q9</f>
        <v>用途</v>
      </c>
      <c r="AA9" s="1570">
        <f t="shared" si="3"/>
        <v>1</v>
      </c>
      <c r="AB9" s="1570">
        <f t="shared" si="4"/>
        <v>1</v>
      </c>
      <c r="AC9" s="1570">
        <f t="shared" si="5"/>
        <v>1</v>
      </c>
    </row>
    <row r="10" spans="1:29" s="1336" customFormat="1" ht="27">
      <c r="A10" s="2915"/>
      <c r="B10" s="2920" t="s">
        <v>2753</v>
      </c>
      <c r="C10" s="860" t="s">
        <v>3881</v>
      </c>
      <c r="D10" s="254">
        <v>100</v>
      </c>
      <c r="E10" s="861" t="s">
        <v>3881</v>
      </c>
      <c r="F10" s="862">
        <f>SUMIF(65:65,E10,66:66)-SUMIF(65:65,C10,66:66)+100</f>
        <v>100</v>
      </c>
      <c r="G10" s="861" t="s">
        <v>3881</v>
      </c>
      <c r="H10" s="254">
        <f>SUMIF(65:65,G10,66:66)-SUMIF(65:65,C10,66:66)+100</f>
        <v>100</v>
      </c>
      <c r="I10" s="861" t="s">
        <v>3881</v>
      </c>
      <c r="J10" s="254">
        <f>SUMIF(65:65,I10,66:66)-SUMIF(65:65,C10,66:66)+100</f>
        <v>100</v>
      </c>
      <c r="K10" s="863">
        <v>1</v>
      </c>
      <c r="L10" s="2138"/>
      <c r="M10" s="2178"/>
      <c r="N10" s="2178"/>
      <c r="O10" s="2139"/>
      <c r="P10" s="3390"/>
      <c r="Q10" s="1149" t="str">
        <f t="shared" si="6"/>
        <v>土地使用年限（年）</v>
      </c>
      <c r="R10" s="1567" t="s">
        <v>8</v>
      </c>
      <c r="S10" s="1568">
        <f t="shared" si="0"/>
        <v>100</v>
      </c>
      <c r="T10" s="1567" t="s">
        <v>8</v>
      </c>
      <c r="U10" s="1568">
        <f t="shared" si="1"/>
        <v>100</v>
      </c>
      <c r="V10" s="1567" t="s">
        <v>8</v>
      </c>
      <c r="W10" s="1568">
        <f t="shared" si="2"/>
        <v>100</v>
      </c>
      <c r="X10" s="1569"/>
      <c r="Y10" s="3336"/>
      <c r="Z10" s="1148" t="str">
        <f t="shared" si="7"/>
        <v>土地使用年限（年）</v>
      </c>
      <c r="AA10" s="1570">
        <f t="shared" si="3"/>
        <v>1</v>
      </c>
      <c r="AB10" s="1570">
        <f t="shared" si="4"/>
        <v>1</v>
      </c>
      <c r="AC10" s="1570">
        <f t="shared" si="5"/>
        <v>1</v>
      </c>
    </row>
    <row r="11" spans="1:29" ht="15.75" thickBot="1">
      <c r="A11" s="2916"/>
      <c r="B11" s="2920" t="s">
        <v>2754</v>
      </c>
      <c r="C11" s="532">
        <f>'比较法-住宅、综合1'!C13</f>
        <v>3.5</v>
      </c>
      <c r="D11" s="254">
        <v>100</v>
      </c>
      <c r="E11" s="533">
        <v>3</v>
      </c>
      <c r="F11" s="862">
        <f>LOOKUP(E11,68:68,69:69)-LOOKUP(C11,68:68,69:69)+100</f>
        <v>100</v>
      </c>
      <c r="G11" s="532">
        <v>1.57</v>
      </c>
      <c r="H11" s="254">
        <f>LOOKUP(G11,68:68,69:69)-LOOKUP(C11,68:68,69:69)+100</f>
        <v>100</v>
      </c>
      <c r="I11" s="532">
        <v>2.41</v>
      </c>
      <c r="J11" s="254">
        <f>LOOKUP(I11,68:68,69:69)-LOOKUP(C11,68:68,69:69)+100</f>
        <v>100</v>
      </c>
      <c r="K11" s="863">
        <v>0</v>
      </c>
      <c r="L11" s="2140"/>
      <c r="M11" s="2134"/>
      <c r="N11" s="2134"/>
      <c r="O11" s="2141"/>
      <c r="P11" s="3390"/>
      <c r="Q11" s="1149" t="str">
        <f t="shared" si="6"/>
        <v>容积率</v>
      </c>
      <c r="R11" s="1567" t="s">
        <v>11</v>
      </c>
      <c r="S11" s="1568">
        <f t="shared" si="0"/>
        <v>100</v>
      </c>
      <c r="T11" s="1567" t="s">
        <v>11</v>
      </c>
      <c r="U11" s="1568">
        <f t="shared" si="1"/>
        <v>100</v>
      </c>
      <c r="V11" s="1567" t="s">
        <v>11</v>
      </c>
      <c r="W11" s="1568">
        <f t="shared" si="2"/>
        <v>100</v>
      </c>
      <c r="X11" s="1569"/>
      <c r="Y11" s="3336"/>
      <c r="Z11" s="1148" t="str">
        <f t="shared" si="7"/>
        <v>容积率</v>
      </c>
      <c r="AA11" s="1570">
        <f t="shared" si="3"/>
        <v>1</v>
      </c>
      <c r="AB11" s="1570">
        <f t="shared" si="4"/>
        <v>1</v>
      </c>
      <c r="AC11" s="1570">
        <f t="shared" si="5"/>
        <v>1</v>
      </c>
    </row>
    <row r="12" spans="1:29" s="1218" customFormat="1" ht="15.75" hidden="1" customHeight="1">
      <c r="A12" s="2917"/>
      <c r="B12" s="2923"/>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90"/>
      <c r="Q12" s="1149">
        <f t="shared" si="6"/>
        <v>0</v>
      </c>
      <c r="R12" s="1567" t="s">
        <v>11</v>
      </c>
      <c r="S12" s="1568">
        <f t="shared" si="0"/>
        <v>100</v>
      </c>
      <c r="T12" s="1567" t="s">
        <v>11</v>
      </c>
      <c r="U12" s="1568">
        <f t="shared" si="1"/>
        <v>100</v>
      </c>
      <c r="V12" s="1567" t="s">
        <v>11</v>
      </c>
      <c r="W12" s="1568">
        <f t="shared" si="2"/>
        <v>100</v>
      </c>
      <c r="X12" s="1569"/>
      <c r="Y12" s="3336"/>
      <c r="Z12" s="1148">
        <f t="shared" si="7"/>
        <v>0</v>
      </c>
      <c r="AA12" s="1570">
        <f>D12/F12</f>
        <v>1</v>
      </c>
      <c r="AB12" s="1570">
        <f>D12/H12</f>
        <v>1</v>
      </c>
      <c r="AC12" s="1570">
        <f>D12/J12</f>
        <v>1</v>
      </c>
    </row>
    <row r="13" spans="1:29" ht="15" hidden="1">
      <c r="A13" s="2917"/>
      <c r="B13" s="2923"/>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90"/>
      <c r="Q13" s="1149">
        <f t="shared" si="6"/>
        <v>0</v>
      </c>
      <c r="R13" s="1567" t="s">
        <v>11</v>
      </c>
      <c r="S13" s="1568">
        <f t="shared" si="0"/>
        <v>100</v>
      </c>
      <c r="T13" s="1567" t="s">
        <v>11</v>
      </c>
      <c r="U13" s="1568">
        <f t="shared" si="1"/>
        <v>100</v>
      </c>
      <c r="V13" s="1567" t="s">
        <v>11</v>
      </c>
      <c r="W13" s="1568">
        <f t="shared" si="2"/>
        <v>100</v>
      </c>
      <c r="X13" s="1569"/>
      <c r="Y13" s="3336"/>
      <c r="Z13" s="1148">
        <f t="shared" si="7"/>
        <v>0</v>
      </c>
      <c r="AA13" s="1570">
        <f t="shared" si="3"/>
        <v>1</v>
      </c>
      <c r="AB13" s="1570">
        <f t="shared" si="4"/>
        <v>1</v>
      </c>
      <c r="AC13" s="1570">
        <f t="shared" si="5"/>
        <v>1</v>
      </c>
    </row>
    <row r="14" spans="1:29" ht="15.75" hidden="1" thickBot="1">
      <c r="A14" s="2918"/>
      <c r="B14" s="2924"/>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90"/>
      <c r="Q14" s="1149">
        <f t="shared" si="6"/>
        <v>0</v>
      </c>
      <c r="R14" s="1567" t="s">
        <v>11</v>
      </c>
      <c r="S14" s="1568">
        <f t="shared" si="0"/>
        <v>100</v>
      </c>
      <c r="T14" s="1567" t="s">
        <v>11</v>
      </c>
      <c r="U14" s="1568">
        <f t="shared" si="1"/>
        <v>100</v>
      </c>
      <c r="V14" s="1567" t="s">
        <v>11</v>
      </c>
      <c r="W14" s="1568">
        <f t="shared" si="2"/>
        <v>100</v>
      </c>
      <c r="X14" s="1569"/>
      <c r="Y14" s="3336"/>
      <c r="Z14" s="1148">
        <f t="shared" si="7"/>
        <v>0</v>
      </c>
      <c r="AA14" s="1570">
        <f t="shared" si="3"/>
        <v>1</v>
      </c>
      <c r="AB14" s="1570">
        <f t="shared" si="4"/>
        <v>1</v>
      </c>
      <c r="AC14" s="1570">
        <f t="shared" si="5"/>
        <v>1</v>
      </c>
    </row>
    <row r="15" spans="1:29" ht="99.75">
      <c r="A15" s="2910" t="s">
        <v>2750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2"/>
      <c r="M15" s="2134"/>
      <c r="N15" s="2134"/>
      <c r="O15" s="2141"/>
      <c r="P15" s="3424" t="s">
        <v>539</v>
      </c>
      <c r="Q15" s="1571" t="str">
        <f t="shared" si="6"/>
        <v>居住社区成熟度</v>
      </c>
      <c r="R15" s="1572" t="s">
        <v>11</v>
      </c>
      <c r="S15" s="1573">
        <f t="shared" si="0"/>
        <v>100</v>
      </c>
      <c r="T15" s="1572" t="s">
        <v>11</v>
      </c>
      <c r="U15" s="1573">
        <f t="shared" si="1"/>
        <v>100</v>
      </c>
      <c r="V15" s="1572" t="s">
        <v>11</v>
      </c>
      <c r="W15" s="1573">
        <f t="shared" si="2"/>
        <v>100</v>
      </c>
      <c r="X15" s="1566"/>
      <c r="Y15" s="3424" t="s">
        <v>539</v>
      </c>
      <c r="Z15" s="1574" t="str">
        <f t="shared" si="7"/>
        <v>居住社区成熟度</v>
      </c>
      <c r="AA15" s="1575">
        <f t="shared" si="3"/>
        <v>1</v>
      </c>
      <c r="AB15" s="1575">
        <f t="shared" si="4"/>
        <v>1</v>
      </c>
      <c r="AC15" s="1575">
        <f t="shared" si="5"/>
        <v>1</v>
      </c>
    </row>
    <row r="16" spans="1:29" ht="15">
      <c r="A16" s="531"/>
      <c r="B16" s="868"/>
      <c r="C16" s="575" t="s">
        <v>4148</v>
      </c>
      <c r="D16" s="554"/>
      <c r="E16" s="575" t="s">
        <v>4148</v>
      </c>
      <c r="F16" s="556"/>
      <c r="G16" s="575" t="s">
        <v>4148</v>
      </c>
      <c r="H16" s="558"/>
      <c r="I16" s="575" t="s">
        <v>4148</v>
      </c>
      <c r="J16" s="554"/>
      <c r="K16" s="869"/>
      <c r="L16" s="2142"/>
      <c r="M16" s="2134"/>
      <c r="N16" s="2134"/>
      <c r="O16" s="2141"/>
      <c r="P16" s="3425"/>
      <c r="Q16" s="1571"/>
      <c r="R16" s="1572"/>
      <c r="S16" s="1573"/>
      <c r="T16" s="1572"/>
      <c r="U16" s="1573"/>
      <c r="V16" s="1572"/>
      <c r="W16" s="1573"/>
      <c r="X16" s="1566"/>
      <c r="Y16" s="3425"/>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2"/>
      <c r="M17" s="2134"/>
      <c r="N17" s="2134"/>
      <c r="O17" s="2141"/>
      <c r="P17" s="3425"/>
      <c r="Q17" s="1571" t="str">
        <f>B17</f>
        <v>交通便捷度</v>
      </c>
      <c r="R17" s="1572" t="s">
        <v>11</v>
      </c>
      <c r="S17" s="1573">
        <f>F17</f>
        <v>100</v>
      </c>
      <c r="T17" s="1572" t="s">
        <v>11</v>
      </c>
      <c r="U17" s="1573">
        <f>H17</f>
        <v>100</v>
      </c>
      <c r="V17" s="1572" t="s">
        <v>11</v>
      </c>
      <c r="W17" s="1573">
        <f>J17</f>
        <v>100</v>
      </c>
      <c r="X17" s="1566"/>
      <c r="Y17" s="3425"/>
      <c r="Z17" s="1574" t="str">
        <f>Q17</f>
        <v>交通便捷度</v>
      </c>
      <c r="AA17" s="1575">
        <f t="shared" si="3"/>
        <v>1</v>
      </c>
      <c r="AB17" s="1575">
        <f t="shared" si="4"/>
        <v>1</v>
      </c>
      <c r="AC17" s="1575">
        <f t="shared" si="5"/>
        <v>1</v>
      </c>
    </row>
    <row r="18" spans="1:29" ht="15">
      <c r="A18" s="531"/>
      <c r="B18" s="594"/>
      <c r="C18" s="575" t="s">
        <v>4148</v>
      </c>
      <c r="D18" s="558"/>
      <c r="E18" s="575" t="s">
        <v>4148</v>
      </c>
      <c r="F18" s="562"/>
      <c r="G18" s="575" t="s">
        <v>4148</v>
      </c>
      <c r="H18" s="554"/>
      <c r="I18" s="575" t="s">
        <v>4148</v>
      </c>
      <c r="J18" s="554"/>
      <c r="K18" s="869"/>
      <c r="L18" s="2142"/>
      <c r="M18" s="2134"/>
      <c r="N18" s="2134"/>
      <c r="O18" s="2141"/>
      <c r="P18" s="3425"/>
      <c r="Q18" s="1571"/>
      <c r="R18" s="1572"/>
      <c r="S18" s="1573"/>
      <c r="T18" s="1572"/>
      <c r="U18" s="1573"/>
      <c r="V18" s="1572"/>
      <c r="W18" s="1573"/>
      <c r="X18" s="1566"/>
      <c r="Y18" s="3425"/>
      <c r="Z18" s="1574"/>
      <c r="AA18" s="1575">
        <v>1</v>
      </c>
      <c r="AB18" s="1575">
        <v>1</v>
      </c>
      <c r="AC18" s="1575">
        <v>1</v>
      </c>
    </row>
    <row r="19" spans="1:29" ht="15">
      <c r="A19" s="531"/>
      <c r="B19" s="2600" t="s">
        <v>2543</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67">
        <v>3</v>
      </c>
      <c r="L19" s="2142"/>
      <c r="M19" s="2134"/>
      <c r="N19" s="2134"/>
      <c r="O19" s="2141"/>
      <c r="P19" s="3425"/>
      <c r="Q19" s="1571" t="str">
        <f>B19</f>
        <v>公共配套设施</v>
      </c>
      <c r="R19" s="1572" t="s">
        <v>11</v>
      </c>
      <c r="S19" s="1573">
        <f>F19</f>
        <v>100</v>
      </c>
      <c r="T19" s="1572" t="s">
        <v>11</v>
      </c>
      <c r="U19" s="1573">
        <f>H19</f>
        <v>100</v>
      </c>
      <c r="V19" s="1572" t="s">
        <v>11</v>
      </c>
      <c r="W19" s="1573">
        <f>J19</f>
        <v>100</v>
      </c>
      <c r="X19" s="1566"/>
      <c r="Y19" s="3425"/>
      <c r="Z19" s="1574" t="str">
        <f>Q19</f>
        <v>公共配套设施</v>
      </c>
      <c r="AA19" s="1575">
        <f t="shared" si="3"/>
        <v>1</v>
      </c>
      <c r="AB19" s="1575">
        <f t="shared" si="4"/>
        <v>1</v>
      </c>
      <c r="AC19" s="1575">
        <f t="shared" si="5"/>
        <v>1</v>
      </c>
    </row>
    <row r="20" spans="1:29" ht="15">
      <c r="A20" s="531"/>
      <c r="B20" s="594"/>
      <c r="C20" s="575" t="s">
        <v>4148</v>
      </c>
      <c r="D20" s="554"/>
      <c r="E20" s="575" t="s">
        <v>4148</v>
      </c>
      <c r="F20" s="556"/>
      <c r="G20" s="575" t="s">
        <v>4148</v>
      </c>
      <c r="H20" s="554"/>
      <c r="I20" s="575" t="s">
        <v>4148</v>
      </c>
      <c r="J20" s="554"/>
      <c r="K20" s="869"/>
      <c r="L20" s="2142"/>
      <c r="M20" s="2134"/>
      <c r="N20" s="2134"/>
      <c r="O20" s="2141"/>
      <c r="P20" s="3425"/>
      <c r="Q20" s="1571"/>
      <c r="R20" s="1572"/>
      <c r="S20" s="1573"/>
      <c r="T20" s="1572"/>
      <c r="U20" s="1573"/>
      <c r="V20" s="1572"/>
      <c r="W20" s="1573"/>
      <c r="X20" s="1566"/>
      <c r="Y20" s="3425"/>
      <c r="Z20" s="1574"/>
      <c r="AA20" s="1575">
        <v>1</v>
      </c>
      <c r="AB20" s="1575">
        <v>1</v>
      </c>
      <c r="AC20" s="1575">
        <v>1</v>
      </c>
    </row>
    <row r="21" spans="1:29" ht="15">
      <c r="A21" s="531"/>
      <c r="B21" s="2593" t="s">
        <v>2555</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v>2</v>
      </c>
      <c r="L21" s="2142"/>
      <c r="M21" s="2134"/>
      <c r="N21" s="2134"/>
      <c r="O21" s="2141"/>
      <c r="P21" s="3425"/>
      <c r="Q21" s="2579" t="str">
        <f>B21</f>
        <v>基础设施水平</v>
      </c>
      <c r="R21" s="1572" t="s">
        <v>11</v>
      </c>
      <c r="S21" s="1573">
        <f>F21</f>
        <v>100</v>
      </c>
      <c r="T21" s="1572" t="s">
        <v>11</v>
      </c>
      <c r="U21" s="1573">
        <f>H21</f>
        <v>100</v>
      </c>
      <c r="V21" s="1572" t="s">
        <v>11</v>
      </c>
      <c r="W21" s="1573">
        <f>J21</f>
        <v>100</v>
      </c>
      <c r="X21" s="2581"/>
      <c r="Y21" s="3425"/>
      <c r="Z21" s="2580" t="str">
        <f>Q21</f>
        <v>基础设施水平</v>
      </c>
      <c r="AA21" s="1575">
        <f t="shared" ref="AA21" si="8">D21/F21</f>
        <v>1</v>
      </c>
      <c r="AB21" s="1575">
        <f t="shared" ref="AB21" si="9">D21/H21</f>
        <v>1</v>
      </c>
      <c r="AC21" s="1575">
        <f t="shared" ref="AC21" si="10">D21/J21</f>
        <v>1</v>
      </c>
    </row>
    <row r="22" spans="1:29" ht="15">
      <c r="A22" s="531"/>
      <c r="B22" s="920"/>
      <c r="C22" s="872" t="s">
        <v>3883</v>
      </c>
      <c r="D22" s="554"/>
      <c r="E22" s="872" t="s">
        <v>3883</v>
      </c>
      <c r="F22" s="556"/>
      <c r="G22" s="872" t="s">
        <v>3883</v>
      </c>
      <c r="H22" s="554"/>
      <c r="I22" s="872" t="s">
        <v>3883</v>
      </c>
      <c r="J22" s="554"/>
      <c r="K22" s="2599"/>
      <c r="L22" s="2142"/>
      <c r="M22" s="2134"/>
      <c r="N22" s="2134"/>
      <c r="O22" s="2141"/>
      <c r="P22" s="3425"/>
      <c r="Q22" s="2579"/>
      <c r="R22" s="1572"/>
      <c r="S22" s="1573"/>
      <c r="T22" s="1572"/>
      <c r="U22" s="1573"/>
      <c r="V22" s="1572"/>
      <c r="W22" s="1573"/>
      <c r="X22" s="2581"/>
      <c r="Y22" s="3425"/>
      <c r="Z22" s="2580"/>
      <c r="AA22" s="1575">
        <v>1</v>
      </c>
      <c r="AB22" s="1575">
        <v>1</v>
      </c>
      <c r="AC22" s="1575">
        <v>1</v>
      </c>
    </row>
    <row r="23" spans="1:29" ht="15">
      <c r="A23" s="531"/>
      <c r="B23" s="870" t="s">
        <v>297</v>
      </c>
      <c r="C23" s="871">
        <f>估价对象房地状况!C9</f>
        <v>0</v>
      </c>
      <c r="D23" s="558">
        <v>100</v>
      </c>
      <c r="E23" s="561"/>
      <c r="F23" s="562">
        <f>SUMIF(84:84,E24,85:85)-SUMIF(84:84,C24,85:85)+100</f>
        <v>100</v>
      </c>
      <c r="G23" s="563"/>
      <c r="H23" s="558">
        <f>SUMIF(84:84,G24,85:85)-SUMIF(84:84,C24,85:85)+100</f>
        <v>100</v>
      </c>
      <c r="I23" s="561"/>
      <c r="J23" s="558">
        <f>SUMIF(84:84,I24,85:85)-SUMIF(84:84,C24,85:85)+100</f>
        <v>100</v>
      </c>
      <c r="K23" s="867">
        <v>3</v>
      </c>
      <c r="L23" s="2142"/>
      <c r="M23" s="2134"/>
      <c r="N23" s="2134"/>
      <c r="O23" s="2141"/>
      <c r="P23" s="3425"/>
      <c r="Q23" s="1571" t="str">
        <f>B23</f>
        <v>自然及人文环境</v>
      </c>
      <c r="R23" s="1572" t="s">
        <v>11</v>
      </c>
      <c r="S23" s="1573">
        <f>F23</f>
        <v>100</v>
      </c>
      <c r="T23" s="1572" t="s">
        <v>11</v>
      </c>
      <c r="U23" s="1573">
        <f>H23</f>
        <v>100</v>
      </c>
      <c r="V23" s="1572" t="s">
        <v>11</v>
      </c>
      <c r="W23" s="1573">
        <f>J23</f>
        <v>100</v>
      </c>
      <c r="X23" s="1566"/>
      <c r="Y23" s="3425"/>
      <c r="Z23" s="1574" t="str">
        <f>Q23</f>
        <v>自然及人文环境</v>
      </c>
      <c r="AA23" s="1575">
        <f t="shared" si="3"/>
        <v>1</v>
      </c>
      <c r="AB23" s="1575">
        <f t="shared" si="4"/>
        <v>1</v>
      </c>
      <c r="AC23" s="1575">
        <f t="shared" si="5"/>
        <v>1</v>
      </c>
    </row>
    <row r="24" spans="1:29" ht="15.75" thickBot="1">
      <c r="A24" s="531"/>
      <c r="B24" s="594"/>
      <c r="C24" s="575" t="s">
        <v>3021</v>
      </c>
      <c r="D24" s="554"/>
      <c r="E24" s="575" t="s">
        <v>3021</v>
      </c>
      <c r="F24" s="556"/>
      <c r="G24" s="575" t="s">
        <v>3021</v>
      </c>
      <c r="H24" s="554"/>
      <c r="I24" s="575" t="s">
        <v>3021</v>
      </c>
      <c r="J24" s="554"/>
      <c r="K24" s="869"/>
      <c r="L24" s="2142"/>
      <c r="M24" s="2134"/>
      <c r="N24" s="2134"/>
      <c r="O24" s="2141"/>
      <c r="P24" s="3425"/>
      <c r="Q24" s="1571"/>
      <c r="R24" s="1572"/>
      <c r="S24" s="1573"/>
      <c r="T24" s="1572"/>
      <c r="U24" s="1573"/>
      <c r="V24" s="1572"/>
      <c r="W24" s="1573"/>
      <c r="X24" s="1566"/>
      <c r="Y24" s="3425"/>
      <c r="Z24" s="1574"/>
      <c r="AA24" s="1575">
        <v>1</v>
      </c>
      <c r="AB24" s="1575">
        <v>1</v>
      </c>
      <c r="AC24" s="1575">
        <v>1</v>
      </c>
    </row>
    <row r="25" spans="1:29" ht="15" hidden="1">
      <c r="A25" s="531"/>
      <c r="B25" s="1895" t="s">
        <v>2256</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25"/>
      <c r="Q25" s="1571" t="str">
        <f t="shared" ref="Q25:Q46" si="11">B25</f>
        <v>楼层-1</v>
      </c>
      <c r="R25" s="1572" t="s">
        <v>11</v>
      </c>
      <c r="S25" s="1573">
        <f>F25</f>
        <v>100</v>
      </c>
      <c r="T25" s="1572" t="s">
        <v>11</v>
      </c>
      <c r="U25" s="1573">
        <f>H25</f>
        <v>100</v>
      </c>
      <c r="V25" s="1572" t="s">
        <v>11</v>
      </c>
      <c r="W25" s="1573">
        <f>J25</f>
        <v>100</v>
      </c>
      <c r="X25" s="1566"/>
      <c r="Y25" s="3425"/>
      <c r="Z25" s="1574" t="str">
        <f>Q25</f>
        <v>楼层-1</v>
      </c>
      <c r="AA25" s="1575">
        <f t="shared" si="3"/>
        <v>1</v>
      </c>
      <c r="AB25" s="1575">
        <f t="shared" si="4"/>
        <v>1</v>
      </c>
      <c r="AC25" s="1575">
        <f t="shared" si="5"/>
        <v>1</v>
      </c>
    </row>
    <row r="26" spans="1:29" ht="15" hidden="1">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25"/>
      <c r="Q26" s="1571" t="str">
        <f t="shared" si="11"/>
        <v>朝向</v>
      </c>
      <c r="R26" s="1572" t="s">
        <v>11</v>
      </c>
      <c r="S26" s="1573">
        <f>F26</f>
        <v>100</v>
      </c>
      <c r="T26" s="1572" t="s">
        <v>11</v>
      </c>
      <c r="U26" s="1573">
        <f>H26</f>
        <v>100</v>
      </c>
      <c r="V26" s="1572" t="s">
        <v>11</v>
      </c>
      <c r="W26" s="1573">
        <f>J26</f>
        <v>100</v>
      </c>
      <c r="X26" s="1566"/>
      <c r="Y26" s="3425"/>
      <c r="Z26" s="1574" t="str">
        <f>Q26</f>
        <v>朝向</v>
      </c>
      <c r="AA26" s="1575">
        <f t="shared" si="3"/>
        <v>1</v>
      </c>
      <c r="AB26" s="1575">
        <f t="shared" si="4"/>
        <v>1</v>
      </c>
      <c r="AC26" s="1575">
        <f t="shared" si="5"/>
        <v>1</v>
      </c>
    </row>
    <row r="27" spans="1:29" s="1218" customFormat="1" ht="15" hidden="1">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25"/>
      <c r="Q27" s="1149" t="str">
        <f t="shared" si="11"/>
        <v>道路级别</v>
      </c>
      <c r="R27" s="1567" t="s">
        <v>11</v>
      </c>
      <c r="S27" s="1568">
        <f>F27</f>
        <v>100</v>
      </c>
      <c r="T27" s="1567" t="s">
        <v>11</v>
      </c>
      <c r="U27" s="1568">
        <f>H27</f>
        <v>100</v>
      </c>
      <c r="V27" s="1567" t="s">
        <v>11</v>
      </c>
      <c r="W27" s="1568">
        <f>J27</f>
        <v>100</v>
      </c>
      <c r="X27" s="1569"/>
      <c r="Y27" s="3425"/>
      <c r="Z27" s="1148" t="str">
        <f>Q27</f>
        <v>道路级别</v>
      </c>
      <c r="AA27" s="1575">
        <f>D27/F27</f>
        <v>1</v>
      </c>
      <c r="AB27" s="1575">
        <f>D27/H27</f>
        <v>1</v>
      </c>
      <c r="AC27" s="1575">
        <f>D27/J27</f>
        <v>1</v>
      </c>
    </row>
    <row r="28" spans="1:29" ht="15" hidden="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25"/>
      <c r="Q28" s="1571">
        <f t="shared" si="11"/>
        <v>0</v>
      </c>
      <c r="R28" s="1572" t="s">
        <v>11</v>
      </c>
      <c r="S28" s="1573">
        <f t="shared" ref="S28:S46" si="12">F28</f>
        <v>100</v>
      </c>
      <c r="T28" s="1572" t="s">
        <v>11</v>
      </c>
      <c r="U28" s="1573">
        <f t="shared" ref="U28:U46" si="13">H28</f>
        <v>100</v>
      </c>
      <c r="V28" s="1572" t="s">
        <v>11</v>
      </c>
      <c r="W28" s="1573">
        <f t="shared" ref="W28:W46" si="14">J28</f>
        <v>100</v>
      </c>
      <c r="X28" s="1566"/>
      <c r="Y28" s="3425"/>
      <c r="Z28" s="1574">
        <f t="shared" ref="Z28:Z46" si="15">Q28</f>
        <v>0</v>
      </c>
      <c r="AA28" s="1575">
        <f t="shared" si="3"/>
        <v>1</v>
      </c>
      <c r="AB28" s="1575">
        <f t="shared" si="4"/>
        <v>1</v>
      </c>
      <c r="AC28" s="1575">
        <f t="shared" si="5"/>
        <v>1</v>
      </c>
    </row>
    <row r="29" spans="1:29" ht="15" hidden="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25"/>
      <c r="Q29" s="1571">
        <f t="shared" si="11"/>
        <v>0</v>
      </c>
      <c r="R29" s="1572" t="s">
        <v>11</v>
      </c>
      <c r="S29" s="1573">
        <f t="shared" si="12"/>
        <v>100</v>
      </c>
      <c r="T29" s="1572" t="s">
        <v>11</v>
      </c>
      <c r="U29" s="1573">
        <f t="shared" si="13"/>
        <v>100</v>
      </c>
      <c r="V29" s="1572" t="s">
        <v>11</v>
      </c>
      <c r="W29" s="1573">
        <f t="shared" si="14"/>
        <v>100</v>
      </c>
      <c r="X29" s="1566"/>
      <c r="Y29" s="3425"/>
      <c r="Z29" s="1574">
        <f t="shared" si="15"/>
        <v>0</v>
      </c>
      <c r="AA29" s="1575">
        <f t="shared" si="3"/>
        <v>1</v>
      </c>
      <c r="AB29" s="1575">
        <f t="shared" si="4"/>
        <v>1</v>
      </c>
      <c r="AC29" s="1575">
        <f t="shared" si="5"/>
        <v>1</v>
      </c>
    </row>
    <row r="30" spans="1:29" ht="15" hidden="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25"/>
      <c r="Q30" s="1571">
        <f t="shared" si="11"/>
        <v>0</v>
      </c>
      <c r="R30" s="1572" t="s">
        <v>11</v>
      </c>
      <c r="S30" s="1573">
        <f t="shared" si="12"/>
        <v>100</v>
      </c>
      <c r="T30" s="1572" t="s">
        <v>11</v>
      </c>
      <c r="U30" s="1573">
        <f t="shared" si="13"/>
        <v>100</v>
      </c>
      <c r="V30" s="1572" t="s">
        <v>11</v>
      </c>
      <c r="W30" s="1573">
        <f t="shared" si="14"/>
        <v>100</v>
      </c>
      <c r="X30" s="1566"/>
      <c r="Y30" s="3425"/>
      <c r="Z30" s="1574">
        <f t="shared" si="15"/>
        <v>0</v>
      </c>
      <c r="AA30" s="1575">
        <f t="shared" si="3"/>
        <v>1</v>
      </c>
      <c r="AB30" s="1575">
        <f t="shared" si="4"/>
        <v>1</v>
      </c>
      <c r="AC30" s="1575">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25"/>
      <c r="Q31" s="1571">
        <f t="shared" si="11"/>
        <v>0</v>
      </c>
      <c r="R31" s="1572" t="s">
        <v>11</v>
      </c>
      <c r="S31" s="1573">
        <f t="shared" si="12"/>
        <v>100</v>
      </c>
      <c r="T31" s="1572" t="s">
        <v>11</v>
      </c>
      <c r="U31" s="1573">
        <f t="shared" si="13"/>
        <v>100</v>
      </c>
      <c r="V31" s="1572" t="s">
        <v>11</v>
      </c>
      <c r="W31" s="1573">
        <f t="shared" si="14"/>
        <v>100</v>
      </c>
      <c r="X31" s="1566"/>
      <c r="Y31" s="3425"/>
      <c r="Z31" s="1574">
        <f t="shared" si="15"/>
        <v>0</v>
      </c>
      <c r="AA31" s="1575">
        <f t="shared" si="3"/>
        <v>1</v>
      </c>
      <c r="AB31" s="1575">
        <f t="shared" si="4"/>
        <v>1</v>
      </c>
      <c r="AC31" s="1575">
        <f t="shared" si="5"/>
        <v>1</v>
      </c>
    </row>
    <row r="32" spans="1:29" ht="15">
      <c r="A32" s="2907" t="s">
        <v>2751</v>
      </c>
      <c r="B32" s="172" t="s">
        <v>724</v>
      </c>
      <c r="C32" s="877" t="s">
        <v>3005</v>
      </c>
      <c r="D32" s="596">
        <v>100</v>
      </c>
      <c r="E32" s="877" t="s">
        <v>3005</v>
      </c>
      <c r="F32" s="574">
        <f>SUMIF(100:100,E32,101:101)-SUMIF(100:100,C32,101:101)+100</f>
        <v>100</v>
      </c>
      <c r="G32" s="877" t="s">
        <v>3005</v>
      </c>
      <c r="H32" s="596">
        <f>SUMIF(100:100,G32,101:101)-SUMIF(100:100,C32,101:101)+100</f>
        <v>100</v>
      </c>
      <c r="I32" s="877" t="s">
        <v>3005</v>
      </c>
      <c r="J32" s="539">
        <f>SUMIF(100:100,I32,101:101)-SUMIF(100:100,C32,101:101)+100</f>
        <v>100</v>
      </c>
      <c r="K32" s="863">
        <v>5</v>
      </c>
      <c r="L32" s="2142"/>
      <c r="M32" s="2134"/>
      <c r="N32" s="2134"/>
      <c r="O32" s="2141"/>
      <c r="P32" s="3426" t="s">
        <v>549</v>
      </c>
      <c r="Q32" s="1571" t="str">
        <f t="shared" si="11"/>
        <v>建筑类型</v>
      </c>
      <c r="R32" s="1572" t="s">
        <v>11</v>
      </c>
      <c r="S32" s="1573">
        <f t="shared" si="12"/>
        <v>100</v>
      </c>
      <c r="T32" s="1572" t="s">
        <v>11</v>
      </c>
      <c r="U32" s="1573">
        <f t="shared" si="13"/>
        <v>100</v>
      </c>
      <c r="V32" s="1572" t="s">
        <v>11</v>
      </c>
      <c r="W32" s="1573">
        <f t="shared" si="14"/>
        <v>100</v>
      </c>
      <c r="X32" s="1566"/>
      <c r="Y32" s="3427" t="s">
        <v>549</v>
      </c>
      <c r="Z32" s="1574" t="str">
        <f t="shared" si="15"/>
        <v>建筑类型</v>
      </c>
      <c r="AA32" s="1575">
        <f t="shared" si="3"/>
        <v>1</v>
      </c>
      <c r="AB32" s="1575">
        <f t="shared" si="4"/>
        <v>1</v>
      </c>
      <c r="AC32" s="1575">
        <f t="shared" si="5"/>
        <v>1</v>
      </c>
    </row>
    <row r="33" spans="1:29" s="1337" customFormat="1" ht="15">
      <c r="A33" s="602"/>
      <c r="B33" s="526" t="s">
        <v>725</v>
      </c>
      <c r="C33" s="878">
        <f>'数据-汇总表'!E3</f>
        <v>412380.85000000003</v>
      </c>
      <c r="D33" s="254">
        <v>100</v>
      </c>
      <c r="E33" s="533">
        <v>268135.33</v>
      </c>
      <c r="F33" s="862">
        <f>LOOKUP(E33,103:103,104:104)-LOOKUP(C33,103:103,104:104)+100</f>
        <v>100</v>
      </c>
      <c r="G33" s="532">
        <v>98734</v>
      </c>
      <c r="H33" s="254">
        <f>LOOKUP(G33,103:103,104:104)-LOOKUP(C33,103:103,104:104)+100</f>
        <v>100</v>
      </c>
      <c r="I33" s="533">
        <v>320000</v>
      </c>
      <c r="J33" s="254">
        <f>LOOKUP(I33,103:103,104:104)-LOOKUP(C33,103:103,104:104)+100</f>
        <v>100</v>
      </c>
      <c r="K33" s="864"/>
      <c r="L33" s="2140"/>
      <c r="M33" s="2171"/>
      <c r="N33" s="2171"/>
      <c r="O33" s="2143"/>
      <c r="P33" s="3427"/>
      <c r="Q33" s="1604" t="str">
        <f t="shared" si="11"/>
        <v>项目建筑规模</v>
      </c>
      <c r="R33" s="1576" t="s">
        <v>11</v>
      </c>
      <c r="S33" s="1577">
        <f t="shared" si="12"/>
        <v>100</v>
      </c>
      <c r="T33" s="1576" t="s">
        <v>11</v>
      </c>
      <c r="U33" s="1577">
        <f t="shared" si="13"/>
        <v>100</v>
      </c>
      <c r="V33" s="1576" t="s">
        <v>11</v>
      </c>
      <c r="W33" s="1577">
        <f t="shared" si="14"/>
        <v>100</v>
      </c>
      <c r="X33" s="1578"/>
      <c r="Y33" s="3427"/>
      <c r="Z33" s="1579" t="str">
        <f t="shared" si="15"/>
        <v>项目建筑规模</v>
      </c>
      <c r="AA33" s="1575">
        <f t="shared" si="3"/>
        <v>1</v>
      </c>
      <c r="AB33" s="1575">
        <f t="shared" si="4"/>
        <v>1</v>
      </c>
      <c r="AC33" s="1575">
        <f t="shared" si="5"/>
        <v>1</v>
      </c>
    </row>
    <row r="34" spans="1:29" ht="15">
      <c r="A34" s="593"/>
      <c r="B34" s="526" t="s">
        <v>726</v>
      </c>
      <c r="C34" s="879" t="s">
        <v>3014</v>
      </c>
      <c r="D34" s="539">
        <v>100</v>
      </c>
      <c r="E34" s="879" t="s">
        <v>3014</v>
      </c>
      <c r="F34" s="574">
        <f>SUMIF(105:105,E34,106:106)-SUMIF(105:105,C34,106:106)+100</f>
        <v>100</v>
      </c>
      <c r="G34" s="879" t="s">
        <v>3014</v>
      </c>
      <c r="H34" s="539">
        <f>SUMIF(105:105,G34,106:106)-SUMIF(105:105,C34,106:106)+100</f>
        <v>100</v>
      </c>
      <c r="I34" s="879" t="s">
        <v>3014</v>
      </c>
      <c r="J34" s="539">
        <f>SUMIF(105:105,I34,106:106)-SUMIF(105:105,C34,106:106)+100</f>
        <v>100</v>
      </c>
      <c r="K34" s="863">
        <v>2</v>
      </c>
      <c r="L34" s="2142"/>
      <c r="M34" s="2134"/>
      <c r="N34" s="2134"/>
      <c r="O34" s="2141"/>
      <c r="P34" s="3427"/>
      <c r="Q34" s="1571" t="str">
        <f t="shared" si="11"/>
        <v>建筑结构</v>
      </c>
      <c r="R34" s="1572" t="s">
        <v>11</v>
      </c>
      <c r="S34" s="1573">
        <f t="shared" si="12"/>
        <v>100</v>
      </c>
      <c r="T34" s="1572" t="s">
        <v>11</v>
      </c>
      <c r="U34" s="1573">
        <f t="shared" si="13"/>
        <v>100</v>
      </c>
      <c r="V34" s="1572" t="s">
        <v>11</v>
      </c>
      <c r="W34" s="1573">
        <f t="shared" si="14"/>
        <v>100</v>
      </c>
      <c r="X34" s="1566"/>
      <c r="Y34" s="3427"/>
      <c r="Z34" s="1574" t="str">
        <f t="shared" si="15"/>
        <v>建筑结构</v>
      </c>
      <c r="AA34" s="1575">
        <f t="shared" si="3"/>
        <v>1</v>
      </c>
      <c r="AB34" s="1575">
        <f t="shared" si="4"/>
        <v>1</v>
      </c>
      <c r="AC34" s="1575">
        <f t="shared" si="5"/>
        <v>1</v>
      </c>
    </row>
    <row r="35" spans="1:29" ht="15">
      <c r="A35" s="593"/>
      <c r="B35" s="526" t="s">
        <v>727</v>
      </c>
      <c r="C35" s="598" t="s">
        <v>3886</v>
      </c>
      <c r="D35" s="539">
        <v>100</v>
      </c>
      <c r="E35" s="598" t="s">
        <v>3886</v>
      </c>
      <c r="F35" s="574">
        <f>SUMIF(107:107,E35,108:108)-SUMIF(107:107,C35,108:108)+100</f>
        <v>100</v>
      </c>
      <c r="G35" s="598" t="s">
        <v>3886</v>
      </c>
      <c r="H35" s="539">
        <f>SUMIF(107:107,G35,108:108)-SUMIF(107:107,C35,108:108)+100</f>
        <v>100</v>
      </c>
      <c r="I35" s="598" t="s">
        <v>3886</v>
      </c>
      <c r="J35" s="539">
        <f>SUMIF(107:107,I35,108:108)-SUMIF(107:107,C35,108:108)+100</f>
        <v>100</v>
      </c>
      <c r="K35" s="863">
        <v>2</v>
      </c>
      <c r="L35" s="2142"/>
      <c r="M35" s="2134"/>
      <c r="N35" s="2134"/>
      <c r="O35" s="2141"/>
      <c r="P35" s="3427"/>
      <c r="Q35" s="1571" t="str">
        <f t="shared" si="11"/>
        <v>建筑品质</v>
      </c>
      <c r="R35" s="1572" t="s">
        <v>11</v>
      </c>
      <c r="S35" s="1573">
        <f t="shared" si="12"/>
        <v>100</v>
      </c>
      <c r="T35" s="1572" t="s">
        <v>11</v>
      </c>
      <c r="U35" s="1573">
        <f t="shared" si="13"/>
        <v>100</v>
      </c>
      <c r="V35" s="1572" t="s">
        <v>11</v>
      </c>
      <c r="W35" s="1573">
        <f t="shared" si="14"/>
        <v>100</v>
      </c>
      <c r="X35" s="1566"/>
      <c r="Y35" s="3427"/>
      <c r="Z35" s="1574" t="str">
        <f t="shared" si="15"/>
        <v>建筑品质</v>
      </c>
      <c r="AA35" s="1575">
        <f t="shared" si="3"/>
        <v>1</v>
      </c>
      <c r="AB35" s="1575">
        <f t="shared" si="4"/>
        <v>1</v>
      </c>
      <c r="AC35" s="1575">
        <f t="shared" si="5"/>
        <v>1</v>
      </c>
    </row>
    <row r="36" spans="1:29" ht="15">
      <c r="A36" s="593"/>
      <c r="B36" s="526" t="s">
        <v>728</v>
      </c>
      <c r="C36" s="598" t="s">
        <v>3888</v>
      </c>
      <c r="D36" s="539">
        <v>100</v>
      </c>
      <c r="E36" s="598" t="s">
        <v>3888</v>
      </c>
      <c r="F36" s="574">
        <f>SUMIF(109:109,E36,110:110)-SUMIF(109:109,C36,110:110)+100</f>
        <v>100</v>
      </c>
      <c r="G36" s="598" t="s">
        <v>3888</v>
      </c>
      <c r="H36" s="539">
        <f>SUMIF(109:109,G36,110:110)-SUMIF(109:109,C36,110:110)+100</f>
        <v>100</v>
      </c>
      <c r="I36" s="598" t="s">
        <v>3888</v>
      </c>
      <c r="J36" s="539">
        <f>SUMIF(109:109,I36,110:110)-SUMIF(109:109,C36,110:110)+100</f>
        <v>100</v>
      </c>
      <c r="K36" s="863">
        <v>2</v>
      </c>
      <c r="L36" s="2142"/>
      <c r="M36" s="2134"/>
      <c r="N36" s="2134"/>
      <c r="O36" s="2141"/>
      <c r="P36" s="3427"/>
      <c r="Q36" s="1571" t="str">
        <f t="shared" si="11"/>
        <v>公共部分装修</v>
      </c>
      <c r="R36" s="1572" t="s">
        <v>11</v>
      </c>
      <c r="S36" s="1573">
        <f t="shared" si="12"/>
        <v>100</v>
      </c>
      <c r="T36" s="1572" t="s">
        <v>11</v>
      </c>
      <c r="U36" s="1573">
        <f t="shared" si="13"/>
        <v>100</v>
      </c>
      <c r="V36" s="1572" t="s">
        <v>11</v>
      </c>
      <c r="W36" s="1573">
        <f t="shared" si="14"/>
        <v>100</v>
      </c>
      <c r="X36" s="1566"/>
      <c r="Y36" s="3427"/>
      <c r="Z36" s="1574" t="str">
        <f t="shared" si="15"/>
        <v>公共部分装修</v>
      </c>
      <c r="AA36" s="1575">
        <f t="shared" si="3"/>
        <v>1</v>
      </c>
      <c r="AB36" s="1575">
        <f t="shared" si="4"/>
        <v>1</v>
      </c>
      <c r="AC36" s="1575">
        <f t="shared" si="5"/>
        <v>1</v>
      </c>
    </row>
    <row r="37" spans="1:29" s="1218" customFormat="1" ht="15">
      <c r="A37" s="599"/>
      <c r="B37" s="526" t="s">
        <v>729</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2</v>
      </c>
      <c r="L37" s="2135"/>
      <c r="M37" s="2136"/>
      <c r="N37" s="2136"/>
      <c r="O37" s="2137"/>
      <c r="P37" s="3427"/>
      <c r="Q37" s="1149" t="str">
        <f t="shared" si="11"/>
        <v>成新度</v>
      </c>
      <c r="R37" s="1567" t="s">
        <v>11</v>
      </c>
      <c r="S37" s="1568">
        <f t="shared" si="12"/>
        <v>100</v>
      </c>
      <c r="T37" s="1567" t="s">
        <v>11</v>
      </c>
      <c r="U37" s="1568">
        <f t="shared" si="13"/>
        <v>100</v>
      </c>
      <c r="V37" s="1567" t="s">
        <v>11</v>
      </c>
      <c r="W37" s="1568">
        <f t="shared" si="14"/>
        <v>100</v>
      </c>
      <c r="X37" s="1569"/>
      <c r="Y37" s="3427"/>
      <c r="Z37" s="1148" t="str">
        <f t="shared" si="15"/>
        <v>成新度</v>
      </c>
      <c r="AA37" s="1570">
        <f t="shared" si="3"/>
        <v>1</v>
      </c>
      <c r="AB37" s="1570">
        <f t="shared" si="4"/>
        <v>1</v>
      </c>
      <c r="AC37" s="1570">
        <f t="shared" si="5"/>
        <v>1</v>
      </c>
    </row>
    <row r="38" spans="1:29" ht="15">
      <c r="A38" s="593"/>
      <c r="B38" s="526" t="s">
        <v>730</v>
      </c>
      <c r="C38" s="598" t="s">
        <v>3890</v>
      </c>
      <c r="D38" s="539">
        <v>100</v>
      </c>
      <c r="E38" s="598" t="s">
        <v>3890</v>
      </c>
      <c r="F38" s="574">
        <f>SUMIF(114:114,E38,115:115)-SUMIF(114:114,C38,115:115)+100</f>
        <v>100</v>
      </c>
      <c r="G38" s="598" t="s">
        <v>3890</v>
      </c>
      <c r="H38" s="539">
        <f>SUMIF(114:114,G38,115:115)-SUMIF(114:114,C38,115:115)+100</f>
        <v>100</v>
      </c>
      <c r="I38" s="598" t="s">
        <v>3890</v>
      </c>
      <c r="J38" s="539">
        <f>SUMIF(114:114,I38,115:115)-SUMIF(114:114,C38,115:115)+100</f>
        <v>100</v>
      </c>
      <c r="K38" s="863">
        <v>2</v>
      </c>
      <c r="L38" s="2142"/>
      <c r="M38" s="2134"/>
      <c r="N38" s="2134"/>
      <c r="O38" s="2141"/>
      <c r="P38" s="3427" t="s">
        <v>549</v>
      </c>
      <c r="Q38" s="1571" t="str">
        <f t="shared" si="11"/>
        <v>物业管理</v>
      </c>
      <c r="R38" s="1572" t="s">
        <v>11</v>
      </c>
      <c r="S38" s="1573">
        <f t="shared" si="12"/>
        <v>100</v>
      </c>
      <c r="T38" s="1572" t="s">
        <v>11</v>
      </c>
      <c r="U38" s="1573">
        <f t="shared" si="13"/>
        <v>100</v>
      </c>
      <c r="V38" s="1572" t="s">
        <v>11</v>
      </c>
      <c r="W38" s="1573">
        <f t="shared" si="14"/>
        <v>100</v>
      </c>
      <c r="X38" s="1566"/>
      <c r="Y38" s="3427" t="s">
        <v>549</v>
      </c>
      <c r="Z38" s="1574" t="str">
        <f t="shared" si="15"/>
        <v>物业管理</v>
      </c>
      <c r="AA38" s="1575">
        <f t="shared" si="3"/>
        <v>1</v>
      </c>
      <c r="AB38" s="1575">
        <f t="shared" si="4"/>
        <v>1</v>
      </c>
      <c r="AC38" s="1575">
        <f t="shared" si="5"/>
        <v>1</v>
      </c>
    </row>
    <row r="39" spans="1:29" ht="15">
      <c r="A39" s="593"/>
      <c r="B39" s="1895" t="s">
        <v>2561</v>
      </c>
      <c r="C39" s="598" t="s">
        <v>3883</v>
      </c>
      <c r="D39" s="539">
        <v>100</v>
      </c>
      <c r="E39" s="598" t="s">
        <v>3883</v>
      </c>
      <c r="F39" s="574">
        <f>SUMIF(116:116,E39,117:117)-SUMIF(116:116,C39,117:117)+100</f>
        <v>100</v>
      </c>
      <c r="G39" s="598" t="s">
        <v>3883</v>
      </c>
      <c r="H39" s="539">
        <f>SUMIF(116:116,G39,117:117)-SUMIF(116:116,C39,117:117)+100</f>
        <v>100</v>
      </c>
      <c r="I39" s="598" t="s">
        <v>3883</v>
      </c>
      <c r="J39" s="539">
        <f>SUMIF(116:116,I39,117:117)-SUMIF(116:116,C39,117:117)+100</f>
        <v>100</v>
      </c>
      <c r="K39" s="863">
        <v>2</v>
      </c>
      <c r="L39" s="2142"/>
      <c r="M39" s="2134"/>
      <c r="N39" s="2134"/>
      <c r="O39" s="2141"/>
      <c r="P39" s="3427"/>
      <c r="Q39" s="1571" t="str">
        <f t="shared" si="11"/>
        <v>市政基础设施</v>
      </c>
      <c r="R39" s="1572" t="s">
        <v>11</v>
      </c>
      <c r="S39" s="1573">
        <f t="shared" si="12"/>
        <v>100</v>
      </c>
      <c r="T39" s="1572" t="s">
        <v>11</v>
      </c>
      <c r="U39" s="1573">
        <f t="shared" si="13"/>
        <v>100</v>
      </c>
      <c r="V39" s="1572" t="s">
        <v>11</v>
      </c>
      <c r="W39" s="1573">
        <f t="shared" si="14"/>
        <v>100</v>
      </c>
      <c r="X39" s="1566"/>
      <c r="Y39" s="3427"/>
      <c r="Z39" s="1574" t="str">
        <f t="shared" si="15"/>
        <v>市政基础设施</v>
      </c>
      <c r="AA39" s="1575">
        <f t="shared" si="3"/>
        <v>1</v>
      </c>
      <c r="AB39" s="1575">
        <f t="shared" si="4"/>
        <v>1</v>
      </c>
      <c r="AC39" s="1575">
        <f t="shared" si="5"/>
        <v>1</v>
      </c>
    </row>
    <row r="40" spans="1:29" ht="15">
      <c r="A40" s="593"/>
      <c r="B40" s="526" t="s">
        <v>731</v>
      </c>
      <c r="C40" s="598" t="s">
        <v>3893</v>
      </c>
      <c r="D40" s="539">
        <v>100</v>
      </c>
      <c r="E40" s="598" t="s">
        <v>3893</v>
      </c>
      <c r="F40" s="574">
        <f>SUMIF(118:118,E40,119:119)-SUMIF(118:118,C40,119:119)+100</f>
        <v>100</v>
      </c>
      <c r="G40" s="598" t="s">
        <v>3893</v>
      </c>
      <c r="H40" s="539">
        <f>SUMIF(118:118,G40,119:119)-SUMIF(118:118,C40,119:119)+100</f>
        <v>100</v>
      </c>
      <c r="I40" s="598" t="s">
        <v>3893</v>
      </c>
      <c r="J40" s="539">
        <f>SUMIF(118:118,I40,119:119)-SUMIF(118:118,C40,119:119)+100</f>
        <v>100</v>
      </c>
      <c r="K40" s="863">
        <v>2</v>
      </c>
      <c r="L40" s="2142"/>
      <c r="M40" s="2134"/>
      <c r="N40" s="2134"/>
      <c r="O40" s="2141"/>
      <c r="P40" s="3427"/>
      <c r="Q40" s="1571" t="str">
        <f t="shared" si="11"/>
        <v>房型</v>
      </c>
      <c r="R40" s="1572" t="s">
        <v>11</v>
      </c>
      <c r="S40" s="1573">
        <f t="shared" si="12"/>
        <v>100</v>
      </c>
      <c r="T40" s="1572" t="s">
        <v>11</v>
      </c>
      <c r="U40" s="1573">
        <f t="shared" si="13"/>
        <v>100</v>
      </c>
      <c r="V40" s="1572" t="s">
        <v>11</v>
      </c>
      <c r="W40" s="1573">
        <f t="shared" si="14"/>
        <v>100</v>
      </c>
      <c r="X40" s="1566"/>
      <c r="Y40" s="3427"/>
      <c r="Z40" s="1574" t="str">
        <f t="shared" si="15"/>
        <v>房型</v>
      </c>
      <c r="AA40" s="1575">
        <f t="shared" si="3"/>
        <v>1</v>
      </c>
      <c r="AB40" s="1575">
        <f t="shared" si="4"/>
        <v>1</v>
      </c>
      <c r="AC40" s="1575">
        <f t="shared" si="5"/>
        <v>1</v>
      </c>
    </row>
    <row r="41" spans="1:29" s="1337" customFormat="1" ht="28.5">
      <c r="A41" s="602"/>
      <c r="B41" s="526" t="s">
        <v>732</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40"/>
      <c r="M41" s="2171"/>
      <c r="N41" s="2171"/>
      <c r="O41" s="2143"/>
      <c r="P41" s="3427"/>
      <c r="Q41" s="1604" t="str">
        <f t="shared" si="11"/>
        <v>单套/主力户型建筑面积</v>
      </c>
      <c r="R41" s="1576" t="s">
        <v>11</v>
      </c>
      <c r="S41" s="1577">
        <f t="shared" si="12"/>
        <v>100</v>
      </c>
      <c r="T41" s="1576" t="s">
        <v>11</v>
      </c>
      <c r="U41" s="1577">
        <f t="shared" si="13"/>
        <v>100</v>
      </c>
      <c r="V41" s="1576" t="s">
        <v>11</v>
      </c>
      <c r="W41" s="1577">
        <f t="shared" si="14"/>
        <v>100</v>
      </c>
      <c r="X41" s="1578"/>
      <c r="Y41" s="3427"/>
      <c r="Z41" s="1579" t="str">
        <f t="shared" si="15"/>
        <v>单套/主力户型建筑面积</v>
      </c>
      <c r="AA41" s="1575">
        <f t="shared" si="3"/>
        <v>1</v>
      </c>
      <c r="AB41" s="1575">
        <f t="shared" si="4"/>
        <v>1</v>
      </c>
      <c r="AC41" s="1575">
        <f t="shared" si="5"/>
        <v>1</v>
      </c>
    </row>
    <row r="42" spans="1:29" ht="15">
      <c r="A42" s="593"/>
      <c r="B42" s="526" t="s">
        <v>733</v>
      </c>
      <c r="C42" s="598" t="s">
        <v>3895</v>
      </c>
      <c r="D42" s="539">
        <v>100</v>
      </c>
      <c r="E42" s="598" t="s">
        <v>3895</v>
      </c>
      <c r="F42" s="574">
        <f>SUMIF(122:122,E42,123:123)-SUMIF(122:122,C42,123:123)+100</f>
        <v>100</v>
      </c>
      <c r="G42" s="598" t="s">
        <v>4163</v>
      </c>
      <c r="H42" s="539">
        <f>SUMIF(122:122,G42,123:123)-SUMIF(122:122,C42,123:123)+100</f>
        <v>110</v>
      </c>
      <c r="I42" s="598" t="s">
        <v>3895</v>
      </c>
      <c r="J42" s="539">
        <f>SUMIF(122:122,I42,123:123)-SUMIF(122:122,C42,123:123)+100</f>
        <v>100</v>
      </c>
      <c r="K42" s="863">
        <v>5</v>
      </c>
      <c r="L42" s="2142"/>
      <c r="M42" s="2134"/>
      <c r="N42" s="2134"/>
      <c r="O42" s="2141"/>
      <c r="P42" s="3427"/>
      <c r="Q42" s="1571" t="str">
        <f t="shared" si="11"/>
        <v>内部装修</v>
      </c>
      <c r="R42" s="1572" t="s">
        <v>11</v>
      </c>
      <c r="S42" s="1573">
        <f t="shared" si="12"/>
        <v>100</v>
      </c>
      <c r="T42" s="1572" t="s">
        <v>11</v>
      </c>
      <c r="U42" s="1573">
        <f t="shared" si="13"/>
        <v>110</v>
      </c>
      <c r="V42" s="1572" t="s">
        <v>11</v>
      </c>
      <c r="W42" s="1573">
        <f t="shared" si="14"/>
        <v>100</v>
      </c>
      <c r="X42" s="1566"/>
      <c r="Y42" s="3427"/>
      <c r="Z42" s="1574" t="str">
        <f t="shared" si="15"/>
        <v>内部装修</v>
      </c>
      <c r="AA42" s="1575">
        <f t="shared" si="3"/>
        <v>1</v>
      </c>
      <c r="AB42" s="1575">
        <f t="shared" si="4"/>
        <v>0.90909090909090906</v>
      </c>
      <c r="AC42" s="1575">
        <f t="shared" si="5"/>
        <v>1</v>
      </c>
    </row>
    <row r="43" spans="1:29" ht="27.75" thickBot="1">
      <c r="A43" s="593"/>
      <c r="B43" s="526" t="s">
        <v>734</v>
      </c>
      <c r="C43" s="598" t="s">
        <v>3021</v>
      </c>
      <c r="D43" s="539">
        <v>100</v>
      </c>
      <c r="E43" s="598" t="s">
        <v>3021</v>
      </c>
      <c r="F43" s="574">
        <f>SUMIF(124:124,E43,125:125)-SUMIF(124:124,C43,125:125)+100</f>
        <v>100</v>
      </c>
      <c r="G43" s="598" t="s">
        <v>3021</v>
      </c>
      <c r="H43" s="539">
        <f>SUMIF(124:124,G43,125:125)-SUMIF(124:124,C43,125:125)+100</f>
        <v>100</v>
      </c>
      <c r="I43" s="598" t="s">
        <v>3021</v>
      </c>
      <c r="J43" s="539">
        <f>SUMIF(124:124,I43,125:125)-SUMIF(124:124,C43,125:125)+100</f>
        <v>100</v>
      </c>
      <c r="K43" s="863">
        <v>2</v>
      </c>
      <c r="L43" s="2142"/>
      <c r="M43" s="2134"/>
      <c r="N43" s="2134"/>
      <c r="O43" s="2141"/>
      <c r="P43" s="3427"/>
      <c r="Q43" s="1571" t="str">
        <f t="shared" si="11"/>
        <v>内部装修维护情况</v>
      </c>
      <c r="R43" s="1572" t="s">
        <v>11</v>
      </c>
      <c r="S43" s="1573">
        <f t="shared" si="12"/>
        <v>100</v>
      </c>
      <c r="T43" s="1572" t="s">
        <v>11</v>
      </c>
      <c r="U43" s="1573">
        <f t="shared" si="13"/>
        <v>100</v>
      </c>
      <c r="V43" s="1572" t="s">
        <v>11</v>
      </c>
      <c r="W43" s="1573">
        <f t="shared" si="14"/>
        <v>100</v>
      </c>
      <c r="X43" s="1566"/>
      <c r="Y43" s="3427"/>
      <c r="Z43" s="1574" t="str">
        <f t="shared" si="15"/>
        <v>内部装修维护情况</v>
      </c>
      <c r="AA43" s="1575">
        <f t="shared" si="3"/>
        <v>1</v>
      </c>
      <c r="AB43" s="1575">
        <f t="shared" si="4"/>
        <v>1</v>
      </c>
      <c r="AC43" s="1575">
        <f t="shared" si="5"/>
        <v>1</v>
      </c>
    </row>
    <row r="44" spans="1:29" s="1218" customFormat="1" ht="15" hidden="1">
      <c r="A44" s="599"/>
      <c r="B44" s="876"/>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5"/>
      <c r="M44" s="2136"/>
      <c r="N44" s="2136"/>
      <c r="O44" s="2137"/>
      <c r="P44" s="3427"/>
      <c r="Q44" s="1149">
        <f t="shared" si="11"/>
        <v>0</v>
      </c>
      <c r="R44" s="1567" t="s">
        <v>11</v>
      </c>
      <c r="S44" s="1568">
        <f t="shared" si="12"/>
        <v>100</v>
      </c>
      <c r="T44" s="1567" t="s">
        <v>11</v>
      </c>
      <c r="U44" s="1568">
        <f t="shared" si="13"/>
        <v>100</v>
      </c>
      <c r="V44" s="1567" t="s">
        <v>11</v>
      </c>
      <c r="W44" s="1568">
        <f t="shared" si="14"/>
        <v>100</v>
      </c>
      <c r="X44" s="1569"/>
      <c r="Y44" s="3427"/>
      <c r="Z44" s="1148">
        <f t="shared" si="15"/>
        <v>0</v>
      </c>
      <c r="AA44" s="1570">
        <f t="shared" si="3"/>
        <v>1</v>
      </c>
      <c r="AB44" s="1570">
        <f t="shared" si="4"/>
        <v>1</v>
      </c>
      <c r="AC44" s="1570">
        <f t="shared" si="5"/>
        <v>1</v>
      </c>
    </row>
    <row r="45" spans="1:29" ht="15" hidden="1">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27"/>
      <c r="Q45" s="1571">
        <f t="shared" si="11"/>
        <v>0</v>
      </c>
      <c r="R45" s="1572" t="s">
        <v>11</v>
      </c>
      <c r="S45" s="1573">
        <f t="shared" si="12"/>
        <v>100</v>
      </c>
      <c r="T45" s="1572" t="s">
        <v>11</v>
      </c>
      <c r="U45" s="1573">
        <f t="shared" si="13"/>
        <v>100</v>
      </c>
      <c r="V45" s="1572" t="s">
        <v>11</v>
      </c>
      <c r="W45" s="1573">
        <f t="shared" si="14"/>
        <v>100</v>
      </c>
      <c r="X45" s="1566"/>
      <c r="Y45" s="3427"/>
      <c r="Z45" s="1574">
        <f t="shared" si="15"/>
        <v>0</v>
      </c>
      <c r="AA45" s="1575">
        <f t="shared" si="3"/>
        <v>1</v>
      </c>
      <c r="AB45" s="1575">
        <f t="shared" si="4"/>
        <v>1</v>
      </c>
      <c r="AC45" s="1575">
        <f t="shared" si="5"/>
        <v>1</v>
      </c>
    </row>
    <row r="46" spans="1:29" ht="15.75" hidden="1" thickBot="1">
      <c r="A46" s="884"/>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1"/>
      <c r="Q46" s="1571">
        <f t="shared" si="11"/>
        <v>0</v>
      </c>
      <c r="R46" s="1572" t="s">
        <v>10</v>
      </c>
      <c r="S46" s="1573">
        <f t="shared" si="12"/>
        <v>100</v>
      </c>
      <c r="T46" s="1572" t="s">
        <v>10</v>
      </c>
      <c r="U46" s="1573">
        <f t="shared" si="13"/>
        <v>100</v>
      </c>
      <c r="V46" s="1572" t="s">
        <v>10</v>
      </c>
      <c r="W46" s="1573">
        <f t="shared" si="14"/>
        <v>100</v>
      </c>
      <c r="X46" s="1566"/>
      <c r="Y46" s="3481"/>
      <c r="Z46" s="1574">
        <f t="shared" si="15"/>
        <v>0</v>
      </c>
      <c r="AA46" s="1575">
        <f t="shared" si="3"/>
        <v>1</v>
      </c>
      <c r="AB46" s="1575">
        <f t="shared" si="4"/>
        <v>1</v>
      </c>
      <c r="AC46" s="1575">
        <f t="shared" si="5"/>
        <v>1</v>
      </c>
    </row>
    <row r="47" spans="1:29" ht="15">
      <c r="A47" s="606" t="s">
        <v>735</v>
      </c>
      <c r="B47" s="885"/>
      <c r="C47" s="2627" t="s">
        <v>9</v>
      </c>
      <c r="D47" s="2628"/>
      <c r="E47" s="2629">
        <f>ROUND(7300*0.99,0)</f>
        <v>7227</v>
      </c>
      <c r="F47" s="2630"/>
      <c r="G47" s="2629">
        <f>ROUND(8000*0.99,0)</f>
        <v>7920</v>
      </c>
      <c r="H47" s="2632"/>
      <c r="I47" s="2629">
        <f>ROUND(7000*0.99,0)</f>
        <v>6930</v>
      </c>
      <c r="J47" s="2632"/>
      <c r="K47" s="1605"/>
      <c r="L47" s="2144"/>
      <c r="M47" s="2145"/>
      <c r="N47" s="2134"/>
      <c r="O47" s="2145"/>
      <c r="P47" s="3390" t="str">
        <f>A47</f>
        <v>成交单价（元/平方米）</v>
      </c>
      <c r="Q47" s="3390"/>
      <c r="R47" s="3480">
        <f>E47</f>
        <v>7227</v>
      </c>
      <c r="S47" s="3480"/>
      <c r="T47" s="3480">
        <f>G47</f>
        <v>7920</v>
      </c>
      <c r="U47" s="3480"/>
      <c r="V47" s="3480">
        <f>I47</f>
        <v>6930</v>
      </c>
      <c r="W47" s="3480"/>
      <c r="X47" s="1558"/>
      <c r="Y47" s="1580"/>
      <c r="Z47" s="1558"/>
      <c r="AA47" s="1558"/>
      <c r="AB47" s="1558"/>
      <c r="AC47" s="1558"/>
    </row>
    <row r="48" spans="1:29" ht="15.75" thickBot="1">
      <c r="A48" s="614" t="s">
        <v>2756</v>
      </c>
      <c r="B48" s="886"/>
      <c r="C48" s="2633">
        <f>R49</f>
        <v>7119</v>
      </c>
      <c r="D48" s="2634"/>
      <c r="E48" s="2635">
        <f>R48</f>
        <v>7227</v>
      </c>
      <c r="F48" s="2635"/>
      <c r="G48" s="2633">
        <f>T48</f>
        <v>7200</v>
      </c>
      <c r="H48" s="2634"/>
      <c r="I48" s="2635">
        <f>V48</f>
        <v>6930</v>
      </c>
      <c r="J48" s="2634"/>
      <c r="K48" s="1606"/>
      <c r="L48" s="2144"/>
      <c r="M48" s="2145"/>
      <c r="N48" s="2145"/>
      <c r="O48" s="2145"/>
      <c r="P48" s="3390" t="str">
        <f>A48</f>
        <v>比较价格（元/平方米）</v>
      </c>
      <c r="Q48" s="3390"/>
      <c r="R48" s="3480">
        <f>IF(F1="售价",ROUND(PRODUCT(R47,AA7:AA46),0),ROUND(PRODUCT(R47,AA7:AA46),1))</f>
        <v>7227</v>
      </c>
      <c r="S48" s="3480"/>
      <c r="T48" s="3480">
        <f>IF(F1="售价",ROUND(PRODUCT(T47,AB7:AB46),0),ROUND(PRODUCT(T47,AB7:AB46),1))</f>
        <v>7200</v>
      </c>
      <c r="U48" s="3480"/>
      <c r="V48" s="3480">
        <f>IF(F1="售价",ROUND(PRODUCT(V47,AC7:AC46),0),ROUND(PRODUCT(V47,AC7:AC46),1))</f>
        <v>6930</v>
      </c>
      <c r="W48" s="3480"/>
      <c r="X48" s="1558"/>
      <c r="Y48" s="1558"/>
      <c r="Z48" s="1558"/>
      <c r="AA48" s="1558"/>
      <c r="AB48" s="1558"/>
      <c r="AC48" s="1558"/>
    </row>
    <row r="49" spans="1:29" ht="15.75" thickBot="1">
      <c r="A49" s="620" t="s">
        <v>2922</v>
      </c>
      <c r="B49" s="621"/>
      <c r="C49" s="2636">
        <f>R49</f>
        <v>7119</v>
      </c>
      <c r="D49" s="2636"/>
      <c r="E49" s="2636"/>
      <c r="F49" s="2636"/>
      <c r="G49" s="2636"/>
      <c r="H49" s="2636"/>
      <c r="I49" s="2636"/>
      <c r="J49" s="2636"/>
      <c r="K49" s="1607"/>
      <c r="L49" s="2144"/>
      <c r="M49" s="2145"/>
      <c r="N49" s="2145"/>
      <c r="O49" s="2145"/>
      <c r="P49" s="3387" t="str">
        <f>A49</f>
        <v>估价对象XX用房的比较价格（楼面单价，元/平方米）</v>
      </c>
      <c r="Q49" s="3388"/>
      <c r="R49" s="3479">
        <f>IF(F1="售价",ROUND(AVERAGE(R48:V48),0),ROUND(AVERAGE(R48:V48),1))</f>
        <v>7119</v>
      </c>
      <c r="S49" s="3479"/>
      <c r="T49" s="3479"/>
      <c r="U49" s="3479"/>
      <c r="V49" s="3479"/>
      <c r="W49" s="347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556</v>
      </c>
      <c r="D52" s="624"/>
      <c r="E52" s="625">
        <f>IF(E47&lt;E48,E48/E47-1,E47/E48-1)</f>
        <v>0</v>
      </c>
      <c r="F52" s="626" t="str">
        <f>IF(OR(E52&gt;=0.3,E52&lt;=-0.3),"超过30%","")</f>
        <v/>
      </c>
      <c r="G52" s="625">
        <f>IF(G47&lt;G48,G48/G47-1,G47/G48-1)</f>
        <v>0.10000000000000009</v>
      </c>
      <c r="H52" s="626" t="str">
        <f>IF(OR(G52&gt;=0.3,G52&lt;=-0.3),"超过30%","")</f>
        <v/>
      </c>
      <c r="I52" s="625">
        <f>IF(I47&lt;I48,I48/I47-1,I47/I48-1)</f>
        <v>0</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557</v>
      </c>
      <c r="D53" s="627"/>
      <c r="E53" s="625">
        <f>IF(E48&lt;G48,G48/E48-1,E48/G48-1)</f>
        <v>3.7499999999999201E-3</v>
      </c>
      <c r="F53" s="626" t="str">
        <f>IF(OR(E53&gt;=0.2,E53&lt;=-0.2),"超过20%","")</f>
        <v/>
      </c>
      <c r="G53" s="625">
        <f>IF(G48&lt;I48,I48/G48-1,G48/I48-1)</f>
        <v>3.8961038961038863E-2</v>
      </c>
      <c r="H53" s="626" t="str">
        <f>IF(OR(G53&gt;=0.2,G53&lt;=-0.2),"超过20%","")</f>
        <v/>
      </c>
      <c r="I53" s="625">
        <f>IF(I48&lt;E48,E48/I48-1,I48/E48-1)</f>
        <v>4.2857142857142927E-2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558</v>
      </c>
      <c r="D54" s="627"/>
      <c r="E54" s="625">
        <f>IF(E47&lt;G47,G47/E47-1,E47/G47-1)</f>
        <v>9.5890410958904049E-2</v>
      </c>
      <c r="F54" s="626" t="str">
        <f>IF(OR(E54&gt;=0.3,E54&lt;=-0.3),"超过30%","")</f>
        <v/>
      </c>
      <c r="G54" s="625">
        <f>IF(G47&lt;I47,I47/G47-1,G47/I47-1)</f>
        <v>0.14285714285714279</v>
      </c>
      <c r="H54" s="626" t="str">
        <f>IF(OR(G54&gt;=0.3,G54&lt;=-0.3),"超过30%","")</f>
        <v/>
      </c>
      <c r="I54" s="625">
        <f>IF(I47&lt;E47,E47/I47-1,I47/E47-1)</f>
        <v>4.2857142857142927E-2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528</v>
      </c>
      <c r="B58" s="645"/>
      <c r="C58" s="2804" t="str">
        <f>YEAR(C7)&amp;"-"&amp;MONTH(C7)</f>
        <v>2018-12</v>
      </c>
      <c r="D58" s="2804">
        <f>EDATE(C58,-1)</f>
        <v>43405</v>
      </c>
      <c r="E58" s="2804">
        <f t="shared" ref="E58:O58" si="16">EDATE(D58,-1)</f>
        <v>43374</v>
      </c>
      <c r="F58" s="2804">
        <f t="shared" si="16"/>
        <v>43344</v>
      </c>
      <c r="G58" s="2804">
        <f t="shared" si="16"/>
        <v>43313</v>
      </c>
      <c r="H58" s="2804">
        <f t="shared" si="16"/>
        <v>43282</v>
      </c>
      <c r="I58" s="2804">
        <f t="shared" si="16"/>
        <v>43252</v>
      </c>
      <c r="J58" s="2804">
        <f t="shared" si="16"/>
        <v>43221</v>
      </c>
      <c r="K58" s="2804">
        <f t="shared" si="16"/>
        <v>43191</v>
      </c>
      <c r="L58" s="2804">
        <f t="shared" si="16"/>
        <v>43160</v>
      </c>
      <c r="M58" s="2804">
        <f t="shared" si="16"/>
        <v>43132</v>
      </c>
      <c r="N58" s="2804">
        <f t="shared" si="16"/>
        <v>43101</v>
      </c>
      <c r="O58" s="2804">
        <f t="shared" si="16"/>
        <v>43070</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8" customFormat="1" ht="15.75" thickBot="1">
      <c r="A60" s="652" t="s">
        <v>574</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530</v>
      </c>
      <c r="B61" s="647"/>
      <c r="C61" s="659" t="s">
        <v>575</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7">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576</v>
      </c>
      <c r="B63" s="664" t="s">
        <v>533</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537</v>
      </c>
      <c r="C67" s="681" t="str">
        <f>C68&amp;"（含）"&amp;"-"&amp;D68</f>
        <v>1（含）-2</v>
      </c>
      <c r="D67" s="681" t="str">
        <f t="shared" ref="D67:L67" si="18">D68&amp;"（含）"&amp;"-"&amp;E68</f>
        <v>2（含）-3</v>
      </c>
      <c r="E67" s="681" t="str">
        <f t="shared" si="18"/>
        <v>3（含）-4</v>
      </c>
      <c r="F67" s="681" t="str">
        <f t="shared" si="18"/>
        <v>4（含）-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1</v>
      </c>
      <c r="D68" s="540">
        <v>2</v>
      </c>
      <c r="E68" s="540">
        <v>3</v>
      </c>
      <c r="F68" s="540">
        <v>4</v>
      </c>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7" customFormat="1" ht="15.75" hidden="1" thickTop="1">
      <c r="A70" s="686"/>
      <c r="B70" s="672">
        <f>B12</f>
        <v>0</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hidden="1"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hidden="1" thickTop="1">
      <c r="A72" s="686"/>
      <c r="B72" s="672">
        <f>B13</f>
        <v>0</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hidden="1"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hidden="1" thickTop="1">
      <c r="A74" s="686"/>
      <c r="B74" s="680">
        <f>B14</f>
        <v>0</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hidden="1"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ht="15" thickTop="1">
      <c r="A76" s="663" t="s">
        <v>538</v>
      </c>
      <c r="B76" s="664" t="s">
        <v>577</v>
      </c>
      <c r="C76" s="702" t="s">
        <v>578</v>
      </c>
      <c r="D76" s="702" t="s">
        <v>579</v>
      </c>
      <c r="E76" s="702" t="s">
        <v>580</v>
      </c>
      <c r="F76" s="702" t="s">
        <v>581</v>
      </c>
      <c r="G76" s="702" t="s">
        <v>582</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97</v>
      </c>
      <c r="E77" s="678">
        <f>D77-$K15</f>
        <v>94</v>
      </c>
      <c r="F77" s="678">
        <f>E77-$K15</f>
        <v>91</v>
      </c>
      <c r="G77" s="678">
        <f>F77-$K15</f>
        <v>88</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585</v>
      </c>
      <c r="C78" s="707" t="s">
        <v>578</v>
      </c>
      <c r="D78" s="707" t="s">
        <v>579</v>
      </c>
      <c r="E78" s="707" t="s">
        <v>580</v>
      </c>
      <c r="F78" s="707" t="s">
        <v>581</v>
      </c>
      <c r="G78" s="707" t="s">
        <v>582</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98</v>
      </c>
      <c r="E79" s="678">
        <f>D79-$K17</f>
        <v>96</v>
      </c>
      <c r="F79" s="678">
        <f>E79-$K17</f>
        <v>94</v>
      </c>
      <c r="G79" s="678">
        <f>F79-$K17</f>
        <v>92</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2554</v>
      </c>
      <c r="C80" s="707" t="s">
        <v>578</v>
      </c>
      <c r="D80" s="707" t="s">
        <v>579</v>
      </c>
      <c r="E80" s="707" t="s">
        <v>580</v>
      </c>
      <c r="F80" s="707" t="s">
        <v>581</v>
      </c>
      <c r="G80" s="707" t="s">
        <v>582</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97</v>
      </c>
      <c r="E81" s="678">
        <f>D81-$K19</f>
        <v>94</v>
      </c>
      <c r="F81" s="678">
        <f>E81-$K19</f>
        <v>91</v>
      </c>
      <c r="G81" s="678">
        <f>F81-$K19</f>
        <v>88</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2555</v>
      </c>
      <c r="C82" s="2598" t="s">
        <v>2556</v>
      </c>
      <c r="D82" s="2598" t="s">
        <v>2557</v>
      </c>
      <c r="E82" s="2598" t="s">
        <v>2558</v>
      </c>
      <c r="F82" s="2598" t="s">
        <v>2559</v>
      </c>
      <c r="G82" s="2598" t="s">
        <v>2560</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98</v>
      </c>
      <c r="E83" s="678">
        <f>D83-$K21</f>
        <v>96</v>
      </c>
      <c r="F83" s="678">
        <f>E83-$K21</f>
        <v>94</v>
      </c>
      <c r="G83" s="678">
        <f>F83-$K21</f>
        <v>92</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743</v>
      </c>
      <c r="C84" s="707" t="s">
        <v>578</v>
      </c>
      <c r="D84" s="707" t="s">
        <v>579</v>
      </c>
      <c r="E84" s="707" t="s">
        <v>580</v>
      </c>
      <c r="F84" s="707" t="s">
        <v>581</v>
      </c>
      <c r="G84" s="707" t="s">
        <v>582</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97</v>
      </c>
      <c r="E85" s="678">
        <f>D85-$K23</f>
        <v>94</v>
      </c>
      <c r="F85" s="678">
        <f>E85-$K23</f>
        <v>91</v>
      </c>
      <c r="G85" s="678">
        <f>F85-$K23</f>
        <v>88</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hidden="1" thickTop="1">
      <c r="A86" s="708"/>
      <c r="B86" s="1896" t="s">
        <v>2257</v>
      </c>
      <c r="C86" s="687"/>
      <c r="D86" s="687"/>
      <c r="E86" s="687"/>
      <c r="F86" s="687"/>
      <c r="G86" s="687"/>
      <c r="H86" s="687"/>
      <c r="I86" s="687"/>
      <c r="J86" s="687"/>
      <c r="K86" s="687"/>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hidden="1" thickTop="1">
      <c r="A88" s="708"/>
      <c r="B88" s="672" t="s">
        <v>745</v>
      </c>
      <c r="C88" s="687"/>
      <c r="D88" s="687"/>
      <c r="E88" s="687"/>
      <c r="F88" s="890"/>
      <c r="G88" s="687"/>
      <c r="H88" s="687"/>
      <c r="I88" s="687"/>
      <c r="J88" s="687"/>
      <c r="K88" s="687"/>
      <c r="L88" s="687"/>
      <c r="M88" s="889"/>
      <c r="N88" s="2162"/>
      <c r="O88" s="2162"/>
      <c r="P88" s="2165"/>
      <c r="Q88" s="2158"/>
      <c r="R88" s="1993"/>
      <c r="S88" s="1993"/>
      <c r="T88" s="1993"/>
      <c r="U88" s="1993"/>
      <c r="V88" s="1993"/>
      <c r="W88" s="1993"/>
      <c r="X88" s="1993"/>
      <c r="Y88" s="1993"/>
      <c r="Z88" s="1993"/>
      <c r="AA88" s="1993"/>
      <c r="AB88" s="1993"/>
      <c r="AC88" s="1993"/>
    </row>
    <row r="89" spans="1:29" s="1218" customFormat="1" ht="15.75"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hidden="1"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hidden="1"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hidden="1" thickTop="1">
      <c r="A92" s="668"/>
      <c r="B92" s="672">
        <f>B28</f>
        <v>0</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hidden="1"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hidden="1" thickTop="1">
      <c r="A94" s="668"/>
      <c r="B94" s="672">
        <f>B29</f>
        <v>0</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hidden="1"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hidden="1" thickTop="1">
      <c r="A96" s="668"/>
      <c r="B96" s="672">
        <f>B30</f>
        <v>0</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hidden="1"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hidden="1" thickTop="1">
      <c r="A98" s="668"/>
      <c r="B98" s="680">
        <f>B31</f>
        <v>0</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hidden="1" thickBot="1">
      <c r="A99" s="891"/>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ht="15" thickTop="1">
      <c r="A100" s="663" t="s">
        <v>550</v>
      </c>
      <c r="B100" s="664" t="s">
        <v>746</v>
      </c>
      <c r="C100" s="3206" t="s">
        <v>3884</v>
      </c>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747</v>
      </c>
      <c r="C102" s="707" t="str">
        <f>C103&amp;"(含)"&amp;"-"&amp;D103</f>
        <v>0(含)-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v>0</v>
      </c>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v>100</v>
      </c>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748</v>
      </c>
      <c r="C105" s="3191" t="s">
        <v>3885</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749</v>
      </c>
      <c r="C107" s="3192" t="s">
        <v>3887</v>
      </c>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750</v>
      </c>
      <c r="C109" s="3191" t="s">
        <v>3889</v>
      </c>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7"/>
      <c r="B112" s="680"/>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752</v>
      </c>
      <c r="C114" s="3191" t="s">
        <v>3891</v>
      </c>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2553</v>
      </c>
      <c r="C116" s="3191" t="s">
        <v>3892</v>
      </c>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753</v>
      </c>
      <c r="C118" s="3192" t="s">
        <v>3894</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7"/>
      <c r="B120" s="672" t="s">
        <v>732</v>
      </c>
      <c r="C120" s="687"/>
      <c r="D120" s="687"/>
      <c r="E120" s="687"/>
      <c r="F120" s="687"/>
      <c r="G120" s="687"/>
      <c r="H120" s="687"/>
      <c r="I120" s="687"/>
      <c r="J120" s="687"/>
      <c r="K120" s="687"/>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754</v>
      </c>
      <c r="C122" s="3191" t="s">
        <v>4164</v>
      </c>
      <c r="D122" s="3191" t="s">
        <v>4161</v>
      </c>
      <c r="E122" s="3191" t="s">
        <v>4162</v>
      </c>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hidden="1" thickTop="1">
      <c r="A126" s="727"/>
      <c r="B126" s="672">
        <f>B44</f>
        <v>0</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hidden="1"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4"/>
      <c r="B128" s="672">
        <f>B45</f>
        <v>0</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4"/>
      <c r="B130" s="680">
        <f>B46</f>
        <v>0</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1"/>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F41" sqref="F4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4012</v>
      </c>
      <c r="D1" s="3126" t="s">
        <v>3012</v>
      </c>
      <c r="E1" s="2387" t="s">
        <v>2372</v>
      </c>
      <c r="F1" s="2388">
        <f ca="1">J53</f>
        <v>28.9</v>
      </c>
      <c r="G1" s="773">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1726</v>
      </c>
      <c r="B2" s="774">
        <f ca="1">C40+J29+L46</f>
        <v>154395</v>
      </c>
      <c r="C2" s="2057"/>
      <c r="D2" s="2055"/>
      <c r="E2" s="2056"/>
      <c r="F2" s="2056"/>
      <c r="G2" s="1589"/>
      <c r="H2" s="2057"/>
      <c r="I2" s="2057"/>
      <c r="J2" s="2057"/>
      <c r="K2" s="2058"/>
      <c r="L2" s="2057"/>
      <c r="M2" s="2057"/>
    </row>
    <row r="3" spans="1:33" ht="18" customHeight="1" thickBot="1">
      <c r="A3" s="832" t="s">
        <v>1727</v>
      </c>
      <c r="B3" s="833">
        <f ca="1">IF(ISERROR(B2*10000/F43),0,ROUND(B2*10000/F43,0))</f>
        <v>6240</v>
      </c>
      <c r="C3" s="2057"/>
      <c r="D3" s="2055"/>
      <c r="E3" s="2056"/>
      <c r="F3" s="2056"/>
      <c r="G3" s="1589"/>
      <c r="H3" s="775" t="s">
        <v>694</v>
      </c>
      <c r="I3" s="1361"/>
      <c r="J3" s="1361"/>
      <c r="K3" s="1590"/>
      <c r="L3" s="1361"/>
      <c r="M3" s="1361"/>
    </row>
    <row r="4" spans="1:33" ht="18" customHeight="1">
      <c r="A4" s="776" t="s">
        <v>1728</v>
      </c>
      <c r="B4" s="777" t="s">
        <v>1729</v>
      </c>
      <c r="C4" s="777" t="s">
        <v>1730</v>
      </c>
      <c r="D4" s="777" t="s">
        <v>632</v>
      </c>
      <c r="E4" s="778" t="s">
        <v>1731</v>
      </c>
      <c r="F4" s="779"/>
      <c r="G4" s="1591"/>
      <c r="H4" s="776" t="s">
        <v>1732</v>
      </c>
      <c r="I4" s="777" t="s">
        <v>1733</v>
      </c>
      <c r="J4" s="777" t="s">
        <v>1734</v>
      </c>
      <c r="K4" s="777" t="s">
        <v>1735</v>
      </c>
      <c r="L4" s="778" t="s">
        <v>1736</v>
      </c>
      <c r="M4" s="779"/>
    </row>
    <row r="5" spans="1:33" ht="18" customHeight="1">
      <c r="A5" s="780">
        <v>1</v>
      </c>
      <c r="B5" s="781" t="s">
        <v>2455</v>
      </c>
      <c r="C5" s="55">
        <f ca="1">C6+C10+C12</f>
        <v>12192</v>
      </c>
      <c r="D5" s="2496" t="s">
        <v>2458</v>
      </c>
      <c r="E5" s="2490"/>
      <c r="F5" s="2491"/>
      <c r="G5" s="1591"/>
      <c r="H5" s="780">
        <v>1</v>
      </c>
      <c r="I5" s="781" t="s">
        <v>2455</v>
      </c>
      <c r="J5" s="55">
        <f ca="1">J6+J10+J12</f>
        <v>0</v>
      </c>
      <c r="K5" s="2496" t="s">
        <v>2458</v>
      </c>
      <c r="L5" s="2490"/>
      <c r="M5" s="2491"/>
    </row>
    <row r="6" spans="1:33" ht="18" customHeight="1">
      <c r="A6" s="1830" t="s">
        <v>1824</v>
      </c>
      <c r="B6" s="3463" t="s">
        <v>2460</v>
      </c>
      <c r="C6" s="782">
        <f ca="1">ROUND(F6*F8*F7*(1-F9)/10000,0)</f>
        <v>12192</v>
      </c>
      <c r="D6" s="2497" t="s">
        <v>2459</v>
      </c>
      <c r="E6" s="783" t="s">
        <v>1738</v>
      </c>
      <c r="F6" s="784">
        <f ca="1">INDIRECT("'数据-取费表'!u"&amp;$G$1)</f>
        <v>1.5</v>
      </c>
      <c r="G6" s="1591"/>
      <c r="H6" s="2504" t="s">
        <v>2465</v>
      </c>
      <c r="I6" s="3463" t="s">
        <v>2460</v>
      </c>
      <c r="J6" s="782">
        <f ca="1">ROUND(M6*M8*M7*(1-M9)/10000,0)</f>
        <v>0</v>
      </c>
      <c r="K6" s="340" t="s">
        <v>1737</v>
      </c>
      <c r="L6" s="783" t="s">
        <v>1738</v>
      </c>
      <c r="M6" s="784">
        <f ca="1">INDIRECT("'数据-取费表'!z"&amp;$G$1)</f>
        <v>0</v>
      </c>
    </row>
    <row r="7" spans="1:33" ht="18" customHeight="1">
      <c r="A7" s="2500"/>
      <c r="B7" s="3464"/>
      <c r="C7" s="787"/>
      <c r="D7" s="788"/>
      <c r="E7" s="783" t="s">
        <v>1739</v>
      </c>
      <c r="F7" s="784">
        <f ca="1">IF(INDIRECT("'数据-取费表'!ah"&amp;$G$1)="",INDIRECT("'数据-取费表'!k"&amp;$G$1),INDIRECT("'数据-取费表'!ah"&amp;$G$1))</f>
        <v>247428.51000000004</v>
      </c>
      <c r="G7" s="1591"/>
      <c r="H7" s="2489"/>
      <c r="I7" s="3464"/>
      <c r="J7" s="787"/>
      <c r="K7" s="788"/>
      <c r="L7" s="783" t="s">
        <v>1739</v>
      </c>
      <c r="M7" s="784">
        <f ca="1">F7</f>
        <v>247428.51000000004</v>
      </c>
    </row>
    <row r="8" spans="1:33" ht="18" customHeight="1">
      <c r="A8" s="2493"/>
      <c r="B8" s="3465"/>
      <c r="C8" s="787"/>
      <c r="D8" s="788"/>
      <c r="E8" s="783" t="s">
        <v>1740</v>
      </c>
      <c r="F8" s="784">
        <f ca="1">INDIRECT("'数据-取费表'!ai"&amp;$G$1)</f>
        <v>365</v>
      </c>
      <c r="G8" s="1591"/>
      <c r="H8" s="2489"/>
      <c r="I8" s="3465"/>
      <c r="J8" s="787"/>
      <c r="K8" s="788"/>
      <c r="L8" s="783" t="s">
        <v>1740</v>
      </c>
      <c r="M8" s="784">
        <f ca="1">INDIRECT("'数据-取费表'!ai"&amp;$G$1)</f>
        <v>365</v>
      </c>
    </row>
    <row r="9" spans="1:33" ht="18" customHeight="1">
      <c r="A9" s="785"/>
      <c r="B9" s="3466"/>
      <c r="C9" s="787"/>
      <c r="D9" s="788"/>
      <c r="E9" s="783" t="s">
        <v>1741</v>
      </c>
      <c r="F9" s="793">
        <f ca="1">INDIRECT("'数据-取费表'!w"&amp;$G$1)</f>
        <v>0.1</v>
      </c>
      <c r="G9" s="1591"/>
      <c r="H9" s="2505"/>
      <c r="I9" s="3465"/>
      <c r="J9" s="787"/>
      <c r="K9" s="788"/>
      <c r="L9" s="794" t="s">
        <v>1741</v>
      </c>
      <c r="M9" s="795">
        <f ca="1">INDIRECT("'数据-取费表'!ab"&amp;$G$1)</f>
        <v>0</v>
      </c>
    </row>
    <row r="10" spans="1:33" ht="18" hidden="1" customHeight="1">
      <c r="A10" s="1830" t="s">
        <v>2463</v>
      </c>
      <c r="B10" s="2494" t="s">
        <v>2456</v>
      </c>
      <c r="C10" s="798">
        <f ca="1">ROUND(IF(F10="押一",C6/12*F11,IF(F10="押二",C6/12*2*F11,IF(F10="押三",C6/12*3*F11,C11*F11))),0)</f>
        <v>0</v>
      </c>
      <c r="D10" s="2501" t="s">
        <v>2963</v>
      </c>
      <c r="E10" s="2498" t="s">
        <v>2461</v>
      </c>
      <c r="F10" s="2621"/>
      <c r="G10" s="1591"/>
      <c r="H10" s="2561" t="s">
        <v>2466</v>
      </c>
      <c r="I10" s="2566" t="s">
        <v>2456</v>
      </c>
      <c r="J10" s="782">
        <f ca="1">ROUND(IF(M10="押一",J6/12*M11,IF(M10="押二",J6/12*2*M11,IF(M10="押三",J6/12*3*M11,J11*M11))),0)</f>
        <v>0</v>
      </c>
      <c r="K10" s="2501" t="s">
        <v>2963</v>
      </c>
      <c r="L10" s="2498" t="s">
        <v>2461</v>
      </c>
      <c r="M10" s="2621"/>
    </row>
    <row r="11" spans="1:33" ht="18" hidden="1" customHeight="1">
      <c r="A11" s="789"/>
      <c r="B11" s="2495" t="s">
        <v>2570</v>
      </c>
      <c r="C11" s="2499"/>
      <c r="D11" s="788"/>
      <c r="E11" s="2498" t="s">
        <v>2462</v>
      </c>
      <c r="F11" s="795">
        <f ca="1">'数据-取费表'!B39</f>
        <v>1.4999999999999999E-2</v>
      </c>
      <c r="G11" s="1591"/>
      <c r="H11" s="2562"/>
      <c r="I11" s="2495" t="s">
        <v>2570</v>
      </c>
      <c r="J11" s="2499"/>
      <c r="K11" s="2563"/>
      <c r="L11" s="2498" t="s">
        <v>2462</v>
      </c>
      <c r="M11" s="2492">
        <f ca="1">'数据-取费表'!B39</f>
        <v>1.4999999999999999E-2</v>
      </c>
    </row>
    <row r="12" spans="1:33" ht="18" hidden="1" customHeight="1" thickBot="1">
      <c r="A12" s="2537" t="s">
        <v>2464</v>
      </c>
      <c r="B12" s="2538" t="s">
        <v>2457</v>
      </c>
      <c r="C12" s="2539"/>
      <c r="D12" s="2540"/>
      <c r="E12" s="2541"/>
      <c r="F12" s="2542"/>
      <c r="G12" s="1591"/>
      <c r="H12" s="2551" t="s">
        <v>2467</v>
      </c>
      <c r="I12" s="2564" t="s">
        <v>2457</v>
      </c>
      <c r="J12" s="2565"/>
      <c r="K12" s="2540"/>
      <c r="L12" s="2541"/>
      <c r="M12" s="2554"/>
    </row>
    <row r="13" spans="1:33" ht="18" customHeight="1">
      <c r="A13" s="1829">
        <v>2</v>
      </c>
      <c r="B13" s="1827" t="s">
        <v>1742</v>
      </c>
      <c r="C13" s="791">
        <f ca="1">ROUND(C29*F13,0)</f>
        <v>100151</v>
      </c>
      <c r="D13" s="1834" t="s">
        <v>2297</v>
      </c>
      <c r="E13" s="1834" t="s">
        <v>1744</v>
      </c>
      <c r="F13" s="2536">
        <f ca="1">INDIRECT("'数据-取费表'!y"&amp;$G$1)</f>
        <v>1</v>
      </c>
      <c r="G13" s="1591"/>
      <c r="H13" s="1829">
        <v>2</v>
      </c>
      <c r="I13" s="1827" t="s">
        <v>1742</v>
      </c>
      <c r="J13" s="1819">
        <f ca="1">ROUND(J14*J15,0)</f>
        <v>0</v>
      </c>
      <c r="K13" s="1821" t="s">
        <v>1743</v>
      </c>
      <c r="L13" s="2552"/>
      <c r="M13" s="2553"/>
    </row>
    <row r="14" spans="1:33" ht="18" customHeight="1">
      <c r="A14" s="1647" t="s">
        <v>1884</v>
      </c>
      <c r="B14" s="783" t="s">
        <v>644</v>
      </c>
      <c r="C14" s="803">
        <f ca="1">INDIRECT("'数据-取费表'!m"&amp;$G$1)+INDIRECT("'数据-取费表'!t"&amp;$G$1)</f>
        <v>69280</v>
      </c>
      <c r="D14" s="1979" t="s">
        <v>1745</v>
      </c>
      <c r="E14" s="1980"/>
      <c r="F14" s="804"/>
      <c r="G14" s="1591"/>
      <c r="H14" s="1648" t="s">
        <v>1830</v>
      </c>
      <c r="I14" s="2231" t="s">
        <v>2822</v>
      </c>
      <c r="J14" s="53">
        <f ca="1">C29</f>
        <v>100151</v>
      </c>
      <c r="K14" s="26"/>
      <c r="L14" s="800"/>
      <c r="M14" s="801"/>
    </row>
    <row r="15" spans="1:33" s="2064" customFormat="1" ht="18" customHeight="1" thickBot="1">
      <c r="A15" s="1647" t="s">
        <v>1885</v>
      </c>
      <c r="B15" s="783" t="s">
        <v>646</v>
      </c>
      <c r="C15" s="53">
        <f ca="1">ROUND(C14*F15,0)</f>
        <v>2078</v>
      </c>
      <c r="D15" s="805" t="s">
        <v>1746</v>
      </c>
      <c r="E15" s="805" t="s">
        <v>1747</v>
      </c>
      <c r="F15" s="806">
        <f>'数据-取费表'!B33</f>
        <v>0.03</v>
      </c>
      <c r="G15" s="1592"/>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3" t="s">
        <v>649</v>
      </c>
      <c r="C16" s="53">
        <f ca="1">ROUND(INDIRECT("'数据-取费表'!m"&amp;$G$1)*F16,0)</f>
        <v>0</v>
      </c>
      <c r="D16" s="783" t="s">
        <v>1746</v>
      </c>
      <c r="E16" s="783" t="s">
        <v>1747</v>
      </c>
      <c r="F16" s="808">
        <f ca="1">IF(INDIRECT("'数据-取费表'!c"&amp;$G$1)="住宅",'数据-取费表'!B34,0)</f>
        <v>0</v>
      </c>
      <c r="G16" s="1591"/>
      <c r="H16" s="1829" t="s">
        <v>1748</v>
      </c>
      <c r="I16" s="1827" t="s">
        <v>1749</v>
      </c>
      <c r="J16" s="791">
        <f ca="1">ROUND(J17+J22+J23+J24,0)</f>
        <v>9943</v>
      </c>
      <c r="K16" s="1821" t="s">
        <v>1750</v>
      </c>
      <c r="L16" s="2486"/>
      <c r="M16" s="2491"/>
    </row>
    <row r="17" spans="1:33" s="2064" customFormat="1" ht="18" customHeight="1">
      <c r="A17" s="1647" t="s">
        <v>1887</v>
      </c>
      <c r="B17" s="783" t="s">
        <v>652</v>
      </c>
      <c r="C17" s="53">
        <f ca="1">ROUND(F17*(F43+INDIRECT("'数据-取费表'!S"&amp;$G$1))/10000,0)</f>
        <v>4949</v>
      </c>
      <c r="D17" s="783" t="s">
        <v>1751</v>
      </c>
      <c r="E17" s="783" t="s">
        <v>1752</v>
      </c>
      <c r="F17" s="56">
        <f>'数据-取费表'!B35</f>
        <v>200</v>
      </c>
      <c r="G17" s="1592"/>
      <c r="H17" s="1648" t="s">
        <v>1830</v>
      </c>
      <c r="I17" s="783" t="s">
        <v>655</v>
      </c>
      <c r="J17" s="53">
        <f ca="1">ROUND(IF(项目基本情况!B11="自然人",J5*M17,J18+J19+J20),0)</f>
        <v>8441</v>
      </c>
      <c r="K17" s="2485" t="s">
        <v>1753</v>
      </c>
      <c r="L17" s="2484" t="s">
        <v>1754</v>
      </c>
      <c r="M17" s="809"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658</v>
      </c>
      <c r="C18" s="53">
        <f ca="1">ROUND(C14*F18,0)</f>
        <v>1039</v>
      </c>
      <c r="D18" s="783" t="s">
        <v>1746</v>
      </c>
      <c r="E18" s="783" t="s">
        <v>1747</v>
      </c>
      <c r="F18" s="808">
        <f>'数据-取费表'!B36</f>
        <v>1.4999999999999999E-2</v>
      </c>
      <c r="G18" s="1592"/>
      <c r="H18" s="1647" t="s">
        <v>1884</v>
      </c>
      <c r="I18" s="783" t="s">
        <v>1755</v>
      </c>
      <c r="J18" s="53">
        <f ca="1">ROUND(J5*M18/1.05,1)</f>
        <v>0</v>
      </c>
      <c r="K18" s="2484" t="s">
        <v>1756</v>
      </c>
      <c r="L18" s="783" t="s">
        <v>1747</v>
      </c>
      <c r="M18" s="808">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3" t="s">
        <v>661</v>
      </c>
      <c r="C19" s="53">
        <f ca="1">SUM(C14:C18)</f>
        <v>77346</v>
      </c>
      <c r="D19" s="260" t="s">
        <v>1757</v>
      </c>
      <c r="E19" s="1982"/>
      <c r="F19" s="56"/>
      <c r="G19" s="1591"/>
      <c r="H19" s="1647" t="s">
        <v>1885</v>
      </c>
      <c r="I19" s="783" t="s">
        <v>1758</v>
      </c>
      <c r="J19" s="53">
        <f ca="1">IF(K19="按租金收入计税",ROUND(J5*M19,1),ROUND(C29*F33*0.7,1))</f>
        <v>8412.7000000000007</v>
      </c>
      <c r="K19" s="810" t="s">
        <v>664</v>
      </c>
      <c r="L19" s="783" t="s">
        <v>1747</v>
      </c>
      <c r="M19" s="808">
        <f>IF(K19="按租金收入计税",'数据-取费表'!B51,'数据-取费表'!B50)</f>
        <v>1.2E-2</v>
      </c>
    </row>
    <row r="20" spans="1:33" s="2064" customFormat="1" ht="18" customHeight="1">
      <c r="A20" s="1648" t="s">
        <v>1889</v>
      </c>
      <c r="B20" s="783" t="s">
        <v>665</v>
      </c>
      <c r="C20" s="53">
        <f ca="1">ROUND(C19*F20,0)</f>
        <v>1547</v>
      </c>
      <c r="D20" s="811" t="s">
        <v>1759</v>
      </c>
      <c r="E20" s="783" t="s">
        <v>1747</v>
      </c>
      <c r="F20" s="808">
        <f>'数据-取费表'!B37</f>
        <v>0.02</v>
      </c>
      <c r="G20" s="1592"/>
      <c r="H20" s="1650" t="s">
        <v>1880</v>
      </c>
      <c r="I20" s="340" t="s">
        <v>1760</v>
      </c>
      <c r="J20" s="54">
        <f ca="1">ROUND(M20*M21/10000,0)</f>
        <v>28</v>
      </c>
      <c r="K20" s="813" t="s">
        <v>1761</v>
      </c>
      <c r="L20" s="783" t="s">
        <v>1762</v>
      </c>
      <c r="M20" s="639">
        <f>'数据-取费表'!B52</f>
        <v>4</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1763</v>
      </c>
      <c r="C21" s="53" t="s">
        <v>1764</v>
      </c>
      <c r="D21" s="811" t="s">
        <v>2298</v>
      </c>
      <c r="E21" s="783" t="s">
        <v>1765</v>
      </c>
      <c r="F21" s="808">
        <f>'数据-取费表'!B38</f>
        <v>0.02</v>
      </c>
      <c r="G21" s="1592"/>
      <c r="H21" s="2506"/>
      <c r="I21" s="792"/>
      <c r="J21" s="69"/>
      <c r="K21" s="815"/>
      <c r="L21" s="783" t="s">
        <v>1766</v>
      </c>
      <c r="M21" s="784">
        <f ca="1">INDIRECT("'数据-取费表'!r"&amp;$G$1)</f>
        <v>70693.86</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1767</v>
      </c>
      <c r="C22" s="53"/>
      <c r="D22" s="2572" t="str">
        <f>IF(F23&lt;=1,"单利计息。","复利计息。")&amp;"建造成本、管理费用、销售费用产生的利息。"</f>
        <v>复利计息。建造成本、管理费用、销售费用产生的利息。</v>
      </c>
      <c r="E22" s="1982"/>
      <c r="F22" s="56"/>
      <c r="G22" s="1591"/>
      <c r="H22" s="1648" t="s">
        <v>1889</v>
      </c>
      <c r="I22" s="783" t="s">
        <v>1768</v>
      </c>
      <c r="J22" s="53">
        <f ca="1">ROUND(J14*M22,0)</f>
        <v>1502</v>
      </c>
      <c r="K22" s="2484" t="s">
        <v>1769</v>
      </c>
      <c r="L22" s="783" t="s">
        <v>1747</v>
      </c>
      <c r="M22" s="816">
        <f ca="1">INDIRECT("'数据-取费表'!Ak"&amp;$G$1)</f>
        <v>1.4999999999999999E-2</v>
      </c>
    </row>
    <row r="23" spans="1:33" s="2064" customFormat="1" ht="18" customHeight="1">
      <c r="A23" s="1647" t="s">
        <v>1831</v>
      </c>
      <c r="B23" s="783" t="s">
        <v>2532</v>
      </c>
      <c r="C23" s="53">
        <f ca="1">ROUND(IF('数据-取费表'!B22&lt;=1,(C19+C20)*F24*F23/2,(C19+C20)*(POWER((1+F24),F23/2)-1)),0)</f>
        <v>5687</v>
      </c>
      <c r="D23" s="2571" t="str">
        <f>IF(F23&lt;=1,"(建造成本+管理费用)×利率×(建设周期÷2)","(建造成本+管理费用)×((1+利率)^(建设周期÷2)-1)")</f>
        <v>(建造成本+管理费用)×((1+利率)^(建设周期÷2)-1)</v>
      </c>
      <c r="E23" s="783" t="s">
        <v>1770</v>
      </c>
      <c r="F23" s="639">
        <f>'数据-取费表'!B20</f>
        <v>3</v>
      </c>
      <c r="G23" s="1592"/>
      <c r="H23" s="1648" t="s">
        <v>1890</v>
      </c>
      <c r="I23" s="783" t="s">
        <v>678</v>
      </c>
      <c r="J23" s="53">
        <f ca="1">ROUND(J13*M23,0)</f>
        <v>0</v>
      </c>
      <c r="K23" s="2484" t="s">
        <v>1771</v>
      </c>
      <c r="L23" s="783" t="s">
        <v>1747</v>
      </c>
      <c r="M23" s="817">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1.4E-3</v>
      </c>
      <c r="D24" s="2571" t="str">
        <f>IF(F23&lt;=1,"销售费用×利率×(建设周期÷2)","销售费用×((1+利率)^(建设周期÷2)-1)")</f>
        <v>销售费用×((1+利率)^(建设周期÷2)-1)</v>
      </c>
      <c r="E24" s="783" t="s">
        <v>1773</v>
      </c>
      <c r="F24" s="818">
        <f ca="1">'数据-取费表'!B40</f>
        <v>4.7500000000000001E-2</v>
      </c>
      <c r="G24" s="1592"/>
      <c r="H24" s="2551" t="s">
        <v>1891</v>
      </c>
      <c r="I24" s="2546" t="s">
        <v>665</v>
      </c>
      <c r="J24" s="2544">
        <f ca="1">ROUND(J5*M24,0)</f>
        <v>0</v>
      </c>
      <c r="K24" s="2545" t="s">
        <v>1774</v>
      </c>
      <c r="L24" s="2546" t="s">
        <v>1747</v>
      </c>
      <c r="M24" s="2542">
        <f ca="1">INDIRECT("'数据-取费表'!Am"&amp;$G$1)</f>
        <v>1.4999999999999999E-2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683</v>
      </c>
      <c r="C25" s="53"/>
      <c r="D25" s="260" t="s">
        <v>1775</v>
      </c>
      <c r="E25" s="1982"/>
      <c r="F25" s="56"/>
      <c r="G25" s="1591"/>
      <c r="H25" s="1829" t="s">
        <v>1776</v>
      </c>
      <c r="I25" s="3010" t="s">
        <v>2818</v>
      </c>
      <c r="J25" s="791">
        <f ca="1">J5-J16</f>
        <v>-9943</v>
      </c>
      <c r="K25" s="2548" t="s">
        <v>1777</v>
      </c>
      <c r="L25" s="2549"/>
      <c r="M25" s="2550"/>
    </row>
    <row r="26" spans="1:33" ht="18" customHeight="1">
      <c r="A26" s="1647" t="s">
        <v>1831</v>
      </c>
      <c r="B26" s="783" t="s">
        <v>2436</v>
      </c>
      <c r="C26" s="53">
        <f ca="1">ROUND((C19+C20)*F26,0)</f>
        <v>7889</v>
      </c>
      <c r="D26" s="811" t="s">
        <v>1778</v>
      </c>
      <c r="E26" s="794" t="s">
        <v>1779</v>
      </c>
      <c r="F26" s="793">
        <f ca="1">INDIRECT("'数据-取费表'!q"&amp;$G$1)</f>
        <v>0.1</v>
      </c>
      <c r="G26" s="1591"/>
      <c r="H26" s="2502" t="s">
        <v>1780</v>
      </c>
      <c r="I26" s="2232" t="s">
        <v>2823</v>
      </c>
      <c r="J26" s="782">
        <f ca="1">IF(J5&lt;&gt;0,ROUND(J25*(1-((1+M28)/(1+M26))^M27)/(M26-M28),0),0)</f>
        <v>0</v>
      </c>
      <c r="K26" s="813" t="s">
        <v>1781</v>
      </c>
      <c r="L26" s="783" t="s">
        <v>2417</v>
      </c>
      <c r="M26" s="793">
        <f ca="1">INDIRECT("'数据-取费表'!I"&amp;$G$1)</f>
        <v>0.06</v>
      </c>
    </row>
    <row r="27" spans="1:33" ht="18" customHeight="1">
      <c r="A27" s="1647" t="s">
        <v>1832</v>
      </c>
      <c r="B27" s="783" t="s">
        <v>685</v>
      </c>
      <c r="C27" s="53">
        <f ca="1">ROUND(F21*F26,4)</f>
        <v>2E-3</v>
      </c>
      <c r="D27" s="811" t="s">
        <v>1782</v>
      </c>
      <c r="E27" s="805"/>
      <c r="F27" s="806"/>
      <c r="G27" s="1591"/>
      <c r="H27" s="2503"/>
      <c r="I27" s="786"/>
      <c r="J27" s="787"/>
      <c r="K27" s="820" t="s">
        <v>1783</v>
      </c>
      <c r="L27" s="783" t="s">
        <v>1784</v>
      </c>
      <c r="M27" s="821">
        <f ca="1">INDIRECT("'数据-取费表'!ag"&amp;$G$1)</f>
        <v>0</v>
      </c>
    </row>
    <row r="28" spans="1:33" s="2064" customFormat="1" ht="18" customHeight="1">
      <c r="A28" s="1649" t="s">
        <v>1841</v>
      </c>
      <c r="B28" s="783" t="s">
        <v>686</v>
      </c>
      <c r="C28" s="53">
        <f>ROUND(F28/(1+'数据-取费表'!C42),4)</f>
        <v>5.33E-2</v>
      </c>
      <c r="D28" s="811" t="s">
        <v>2299</v>
      </c>
      <c r="E28" s="783" t="s">
        <v>1785</v>
      </c>
      <c r="F28" s="808">
        <f>'数据-取费表'!B41</f>
        <v>5.6000000000000001E-2</v>
      </c>
      <c r="G28" s="1592"/>
      <c r="H28" s="1829"/>
      <c r="I28" s="790"/>
      <c r="J28" s="791"/>
      <c r="K28" s="815"/>
      <c r="L28" s="783" t="s">
        <v>1786</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2300</v>
      </c>
      <c r="C29" s="2544">
        <f ca="1">ROUND((C19+C20+C23+C26)/(1-F21-C24-C27-C28),0)</f>
        <v>100151</v>
      </c>
      <c r="D29" s="2545"/>
      <c r="E29" s="2546"/>
      <c r="F29" s="2547"/>
      <c r="G29" s="1592"/>
      <c r="H29" s="822" t="s">
        <v>1787</v>
      </c>
      <c r="I29" s="823" t="s">
        <v>1788</v>
      </c>
      <c r="J29" s="824">
        <f ca="1">ROUND(J26/(1+F40)^F41,0)</f>
        <v>0</v>
      </c>
      <c r="K29" s="825" t="s">
        <v>1789</v>
      </c>
      <c r="L29" s="826"/>
      <c r="M29" s="827">
        <f ca="1">INDIRECT("'数据-取费表'!k"&amp;$G$1)</f>
        <v>247428.51000000004</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1">
        <f ca="1">ROUND(C31+C36+C37+C38,0)</f>
        <v>3977</v>
      </c>
      <c r="D30" s="1821" t="s">
        <v>1791</v>
      </c>
      <c r="E30" s="2486"/>
      <c r="F30" s="2491"/>
      <c r="G30" s="2062"/>
      <c r="H30" s="2065"/>
      <c r="I30" s="2066"/>
      <c r="J30" s="2067"/>
      <c r="K30" s="2068"/>
      <c r="L30" s="2069"/>
      <c r="M30" s="2070"/>
    </row>
    <row r="31" spans="1:33" ht="18" customHeight="1">
      <c r="A31" s="1648" t="s">
        <v>1830</v>
      </c>
      <c r="B31" s="783" t="s">
        <v>655</v>
      </c>
      <c r="C31" s="53">
        <f ca="1">ROUND(IF(项目基本情况!B11="自然人",C5*F31,C32+C33+C34),1)</f>
        <v>2141.5</v>
      </c>
      <c r="D31" s="1979" t="s">
        <v>1792</v>
      </c>
      <c r="E31" s="1977" t="s">
        <v>1793</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3" t="s">
        <v>1794</v>
      </c>
      <c r="C32" s="53">
        <f ca="1">ROUND(C5*F32/1.05,1)</f>
        <v>650.20000000000005</v>
      </c>
      <c r="D32" s="1977" t="s">
        <v>1795</v>
      </c>
      <c r="E32" s="783" t="s">
        <v>1796</v>
      </c>
      <c r="F32" s="808">
        <f>'数据-取费表'!B41</f>
        <v>5.6000000000000001E-2</v>
      </c>
      <c r="G32" s="2062"/>
      <c r="H32" s="2071"/>
      <c r="I32" s="2072"/>
      <c r="J32" s="2073"/>
      <c r="K32" s="2074"/>
      <c r="L32" s="2075"/>
      <c r="M32" s="2076"/>
    </row>
    <row r="33" spans="1:18" ht="18" customHeight="1">
      <c r="A33" s="1647" t="s">
        <v>1832</v>
      </c>
      <c r="B33" s="783" t="s">
        <v>1797</v>
      </c>
      <c r="C33" s="53">
        <f ca="1">IF(D33="按租金收入计税",ROUND(C5*F33,1),IF(D33="按房产原值计税",ROUND(C29*F33*0.7,1),INDIRECT("'数据-取费表'!Aj"&amp;$G$1)))</f>
        <v>1463</v>
      </c>
      <c r="D33" s="810" t="s">
        <v>3013</v>
      </c>
      <c r="E33" s="783" t="s">
        <v>1796</v>
      </c>
      <c r="F33" s="808">
        <f>IF(D33="按租金收入计税",'数据-取费表'!B51,'数据-取费表'!B50)</f>
        <v>0.12</v>
      </c>
      <c r="G33" s="2062"/>
      <c r="H33" s="2077"/>
      <c r="I33" s="2077"/>
      <c r="J33" s="2077"/>
      <c r="K33" s="2078"/>
      <c r="L33" s="2077"/>
      <c r="M33" s="2077"/>
    </row>
    <row r="34" spans="1:18" ht="18" customHeight="1">
      <c r="A34" s="1650" t="s">
        <v>1833</v>
      </c>
      <c r="B34" s="340" t="s">
        <v>1798</v>
      </c>
      <c r="C34" s="54">
        <f ca="1">ROUND(F34*F35/10000,1)</f>
        <v>28.3</v>
      </c>
      <c r="D34" s="813" t="s">
        <v>1799</v>
      </c>
      <c r="E34" s="783" t="s">
        <v>1800</v>
      </c>
      <c r="F34" s="639">
        <f>'数据-取费表'!B52</f>
        <v>4</v>
      </c>
      <c r="G34" s="2062"/>
      <c r="H34" s="2065"/>
      <c r="I34" s="834" t="s">
        <v>1813</v>
      </c>
      <c r="J34" s="835"/>
      <c r="K34" s="2080"/>
      <c r="L34" s="2079"/>
      <c r="M34" s="2079"/>
    </row>
    <row r="35" spans="1:18" ht="18" customHeight="1">
      <c r="A35" s="814"/>
      <c r="B35" s="792"/>
      <c r="C35" s="69"/>
      <c r="D35" s="815"/>
      <c r="E35" s="783" t="s">
        <v>1801</v>
      </c>
      <c r="F35" s="784">
        <f ca="1">INDIRECT("'数据-取费表'!r"&amp;$G$1)</f>
        <v>70693.86</v>
      </c>
      <c r="G35" s="2062"/>
      <c r="H35" s="2065"/>
      <c r="I35" s="836" t="s">
        <v>1814</v>
      </c>
      <c r="J35" s="837">
        <f ca="1">ROUND(C13*J36,0)</f>
        <v>8513</v>
      </c>
      <c r="K35" s="2078"/>
      <c r="L35" s="2077"/>
      <c r="M35" s="2077"/>
    </row>
    <row r="36" spans="1:18" ht="18" customHeight="1">
      <c r="A36" s="1648" t="s">
        <v>1889</v>
      </c>
      <c r="B36" s="783" t="s">
        <v>1802</v>
      </c>
      <c r="C36" s="53">
        <f ca="1">ROUND(C29*F36,1)</f>
        <v>1502.3</v>
      </c>
      <c r="D36" s="1977" t="s">
        <v>1803</v>
      </c>
      <c r="E36" s="783" t="s">
        <v>1796</v>
      </c>
      <c r="F36" s="816">
        <f ca="1">INDIRECT("'数据-取费表'!Ak"&amp;$G$1)</f>
        <v>1.4999999999999999E-2</v>
      </c>
      <c r="G36" s="2062"/>
      <c r="H36" s="2077"/>
      <c r="I36" s="838" t="s">
        <v>1815</v>
      </c>
      <c r="J36" s="839">
        <f ca="1">INDIRECT("'数据-取费表'!j"&amp;$G$1)</f>
        <v>8.5000000000000006E-2</v>
      </c>
      <c r="K36" s="2082"/>
      <c r="L36" s="2077"/>
      <c r="M36" s="2077"/>
    </row>
    <row r="37" spans="1:18" ht="18" customHeight="1">
      <c r="A37" s="1648" t="s">
        <v>1890</v>
      </c>
      <c r="B37" s="783" t="s">
        <v>678</v>
      </c>
      <c r="C37" s="53">
        <f ca="1">ROUND(C13*F37,1)</f>
        <v>150.19999999999999</v>
      </c>
      <c r="D37" s="1977" t="s">
        <v>1804</v>
      </c>
      <c r="E37" s="783" t="s">
        <v>1796</v>
      </c>
      <c r="F37" s="817">
        <f ca="1">INDIRECT("'数据-取费表'!Al"&amp;$G$1)</f>
        <v>1.5E-3</v>
      </c>
      <c r="G37" s="2062"/>
      <c r="H37" s="2077"/>
      <c r="I37" s="840" t="s">
        <v>1816</v>
      </c>
      <c r="J37" s="841"/>
      <c r="K37" s="2082"/>
      <c r="L37" s="2077"/>
      <c r="M37" s="2077"/>
    </row>
    <row r="38" spans="1:18" ht="18" customHeight="1" thickBot="1">
      <c r="A38" s="2551" t="s">
        <v>1891</v>
      </c>
      <c r="B38" s="2546" t="s">
        <v>665</v>
      </c>
      <c r="C38" s="2544">
        <f ca="1">ROUND(C5*F38,1)</f>
        <v>182.9</v>
      </c>
      <c r="D38" s="2545" t="s">
        <v>1805</v>
      </c>
      <c r="E38" s="2546" t="s">
        <v>1796</v>
      </c>
      <c r="F38" s="2542">
        <f ca="1">INDIRECT("'数据-取费表'!Am"&amp;$G$1)</f>
        <v>1.4999999999999999E-2</v>
      </c>
      <c r="G38" s="2062"/>
      <c r="H38" s="2077"/>
      <c r="I38" s="842" t="s">
        <v>1817</v>
      </c>
      <c r="J38" s="843"/>
      <c r="K38" s="2083"/>
      <c r="L38" s="2077"/>
      <c r="M38" s="2077"/>
    </row>
    <row r="39" spans="1:18" ht="24.6" customHeight="1" thickTop="1">
      <c r="A39" s="1829" t="s">
        <v>1894</v>
      </c>
      <c r="B39" s="3010" t="s">
        <v>2818</v>
      </c>
      <c r="C39" s="791">
        <f ca="1">C5-C30</f>
        <v>8215</v>
      </c>
      <c r="D39" s="2548" t="s">
        <v>1806</v>
      </c>
      <c r="E39" s="2549"/>
      <c r="F39" s="2550"/>
      <c r="G39" s="2062"/>
      <c r="H39" s="2077"/>
      <c r="I39" s="836" t="s">
        <v>1818</v>
      </c>
      <c r="J39" s="844">
        <f ca="1">ROUND(J35/C39,3)</f>
        <v>1.036</v>
      </c>
      <c r="K39" s="2083"/>
      <c r="L39" s="2077"/>
      <c r="M39" s="2077"/>
    </row>
    <row r="40" spans="1:18" ht="18" customHeight="1">
      <c r="A40" s="780" t="s">
        <v>1895</v>
      </c>
      <c r="B40" s="2232" t="s">
        <v>2301</v>
      </c>
      <c r="C40" s="782">
        <f ca="1">ROUND(C39*(1-((1+F42)/(1+F40))^F41)/(F40-F42),0)</f>
        <v>154395</v>
      </c>
      <c r="D40" s="813" t="s">
        <v>1807</v>
      </c>
      <c r="E40" s="783" t="s">
        <v>2417</v>
      </c>
      <c r="F40" s="793">
        <f ca="1">INDIRECT("'数据-取费表'!I"&amp;$G$1)</f>
        <v>0.06</v>
      </c>
      <c r="G40" s="2062"/>
      <c r="H40" s="2062"/>
      <c r="I40" s="836" t="s">
        <v>1819</v>
      </c>
      <c r="J40" s="844">
        <f ca="1">1-J39</f>
        <v>-3.6000000000000032E-2</v>
      </c>
      <c r="K40" s="2083"/>
      <c r="L40" s="2062"/>
      <c r="M40" s="2062"/>
    </row>
    <row r="41" spans="1:18" ht="18" customHeight="1">
      <c r="A41" s="785"/>
      <c r="B41" s="786"/>
      <c r="C41" s="787"/>
      <c r="D41" s="820" t="s">
        <v>1808</v>
      </c>
      <c r="E41" s="783" t="s">
        <v>2953</v>
      </c>
      <c r="F41" s="821">
        <f ca="1">IF(INDIRECT("'数据-取费表'!af"&amp;$G$1)=0,INDIRECT("'数据-取费表'!ae"&amp;$G$1),INDIRECT("'数据-取费表'!af"&amp;$G$1))</f>
        <v>28.9</v>
      </c>
      <c r="G41" s="2062"/>
      <c r="H41" s="1988"/>
      <c r="I41" s="842" t="s">
        <v>1820</v>
      </c>
      <c r="J41" s="845"/>
      <c r="K41" s="2082"/>
      <c r="L41" s="1988"/>
      <c r="M41" s="1988"/>
    </row>
    <row r="42" spans="1:18" ht="18" customHeight="1">
      <c r="A42" s="789"/>
      <c r="B42" s="790"/>
      <c r="C42" s="791"/>
      <c r="D42" s="815"/>
      <c r="E42" s="783" t="s">
        <v>1809</v>
      </c>
      <c r="F42" s="793">
        <f ca="1">INDIRECT("'数据-取费表'!v"&amp;$G$1)</f>
        <v>0.03</v>
      </c>
      <c r="G42" s="2062"/>
      <c r="H42" s="1988"/>
      <c r="I42" s="846" t="s">
        <v>1821</v>
      </c>
      <c r="J42" s="844">
        <f ca="1">ROUND(C13/C40,3)</f>
        <v>0.64900000000000002</v>
      </c>
      <c r="K42" s="2082"/>
      <c r="L42" s="1988"/>
      <c r="M42" s="1988"/>
    </row>
    <row r="43" spans="1:18" ht="18" customHeight="1" thickBot="1">
      <c r="A43" s="822" t="s">
        <v>1787</v>
      </c>
      <c r="B43" s="823" t="s">
        <v>1810</v>
      </c>
      <c r="C43" s="824">
        <f ca="1">ROUND(C40*10000/F43,0)</f>
        <v>6240</v>
      </c>
      <c r="D43" s="825" t="s">
        <v>1811</v>
      </c>
      <c r="E43" s="826" t="s">
        <v>1812</v>
      </c>
      <c r="F43" s="827">
        <f ca="1">INDIRECT("'数据-取费表'!k"&amp;$G$1)</f>
        <v>247428.51000000004</v>
      </c>
      <c r="G43" s="2062"/>
      <c r="H43" s="1988"/>
      <c r="I43" s="846" t="s">
        <v>1822</v>
      </c>
      <c r="J43" s="847">
        <f ca="1">1-J42</f>
        <v>0.35099999999999998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f ca="1">C67-C40</f>
        <v>-177211</v>
      </c>
      <c r="D46" s="2085"/>
      <c r="E46" s="2085"/>
      <c r="F46" s="2085"/>
      <c r="I46" s="2378" t="s">
        <v>2341</v>
      </c>
      <c r="J46" s="2379"/>
      <c r="K46" s="2380"/>
      <c r="L46" s="3161">
        <f>IF(OR(M47="住宅",D1="土地（套用方法）"),0,IF(L48&gt;J51,L60,J60))</f>
        <v>0</v>
      </c>
      <c r="O46" s="2394" t="s">
        <v>2408</v>
      </c>
      <c r="P46" s="1591"/>
      <c r="Q46" s="1603"/>
      <c r="R46" s="1591"/>
    </row>
    <row r="47" spans="1:18" s="2059" customFormat="1" ht="18" customHeight="1" thickBot="1">
      <c r="A47" s="2372">
        <v>1</v>
      </c>
      <c r="B47" s="2373" t="s">
        <v>634</v>
      </c>
      <c r="C47" s="2574">
        <f ca="1">C48+C52+C54</f>
        <v>0</v>
      </c>
      <c r="D47" s="2085"/>
      <c r="E47" s="2085"/>
      <c r="F47" s="2085"/>
      <c r="I47" s="3151" t="s">
        <v>2342</v>
      </c>
      <c r="J47" s="2381" t="s">
        <v>3014</v>
      </c>
      <c r="K47" s="3158" t="s">
        <v>2347</v>
      </c>
      <c r="L47" s="3162">
        <f ca="1">INDIRECT("'数据-取费表'!d"&amp;$G$1)</f>
        <v>40</v>
      </c>
      <c r="M47" s="1603" t="str">
        <f>IF(ISNUMBER(FIND("住宅",C1)),"住宅","非住宅")</f>
        <v>非住宅</v>
      </c>
      <c r="O47" s="2395" t="s">
        <v>2373</v>
      </c>
      <c r="P47" s="2396" t="s">
        <v>2374</v>
      </c>
      <c r="Q47" s="2397" t="s">
        <v>2375</v>
      </c>
      <c r="R47" s="2396" t="s">
        <v>2376</v>
      </c>
    </row>
    <row r="48" spans="1:18" s="2059" customFormat="1" ht="18" customHeight="1" thickBot="1">
      <c r="A48" s="2642" t="s">
        <v>2534</v>
      </c>
      <c r="B48" s="2643" t="s">
        <v>2535</v>
      </c>
      <c r="C48" s="2374">
        <f ca="1">ROUND(F48*F50*F49*(1-F51)/10000,0)</f>
        <v>0</v>
      </c>
      <c r="D48" s="2375" t="s">
        <v>635</v>
      </c>
      <c r="E48" s="2376" t="s">
        <v>2296</v>
      </c>
      <c r="F48" s="2377"/>
      <c r="G48" s="2090"/>
      <c r="I48" s="3127" t="s">
        <v>2343</v>
      </c>
      <c r="J48" s="2382" t="s">
        <v>2348</v>
      </c>
      <c r="K48" s="3159" t="s">
        <v>2349</v>
      </c>
      <c r="L48" s="1908">
        <f ca="1">INDIRECT("'数据-取费表'!f"&amp;$G$1)</f>
        <v>31.9</v>
      </c>
      <c r="O48" s="2398" t="s">
        <v>2377</v>
      </c>
      <c r="P48" s="2399" t="s">
        <v>2403</v>
      </c>
      <c r="Q48" s="2400">
        <f ca="1">C40+J29</f>
        <v>154395</v>
      </c>
      <c r="R48" s="2399" t="s">
        <v>2378</v>
      </c>
    </row>
    <row r="49" spans="1:18" s="2059" customFormat="1" ht="18" customHeight="1" thickBot="1">
      <c r="A49" s="785"/>
      <c r="B49" s="786"/>
      <c r="C49" s="787"/>
      <c r="D49" s="788"/>
      <c r="E49" s="783" t="s">
        <v>1739</v>
      </c>
      <c r="F49" s="784">
        <f ca="1">F7</f>
        <v>247428.51000000004</v>
      </c>
      <c r="G49" s="2090"/>
      <c r="H49" s="2093"/>
      <c r="I49" s="3127" t="s">
        <v>2344</v>
      </c>
      <c r="J49" s="2383"/>
      <c r="K49" s="3160" t="s">
        <v>2350</v>
      </c>
      <c r="L49" s="2384"/>
      <c r="O49" s="2398" t="s">
        <v>2379</v>
      </c>
      <c r="P49" s="2399" t="s">
        <v>2404</v>
      </c>
      <c r="Q49" s="2400">
        <f ca="1">J60</f>
        <v>46871</v>
      </c>
      <c r="R49" s="2399" t="s">
        <v>2380</v>
      </c>
    </row>
    <row r="50" spans="1:18" s="2059" customFormat="1" ht="18" customHeight="1" thickBot="1">
      <c r="A50" s="785"/>
      <c r="B50" s="786"/>
      <c r="C50" s="787"/>
      <c r="D50" s="788"/>
      <c r="E50" s="783" t="s">
        <v>1740</v>
      </c>
      <c r="F50" s="784">
        <f ca="1">F8</f>
        <v>365</v>
      </c>
      <c r="G50" s="2095"/>
      <c r="H50" s="2093"/>
      <c r="I50" s="3127" t="s">
        <v>2345</v>
      </c>
      <c r="J50" s="3155">
        <f>SUMPRODUCT((I63:I65=J47)*(J62:L62=J48)*(J63:L65))</f>
        <v>60</v>
      </c>
      <c r="K50" s="3160" t="s">
        <v>2351</v>
      </c>
      <c r="L50" s="2384"/>
      <c r="O50" s="2401" t="s">
        <v>2381</v>
      </c>
      <c r="P50" s="2399" t="s">
        <v>2405</v>
      </c>
      <c r="Q50" s="2400">
        <f ca="1">C29</f>
        <v>100151</v>
      </c>
      <c r="R50" s="2399" t="s">
        <v>2378</v>
      </c>
    </row>
    <row r="51" spans="1:18" s="2059" customFormat="1" ht="18" customHeight="1" thickBot="1">
      <c r="A51" s="785"/>
      <c r="B51" s="786"/>
      <c r="C51" s="787"/>
      <c r="D51" s="788"/>
      <c r="E51" s="783" t="s">
        <v>639</v>
      </c>
      <c r="F51" s="2371"/>
      <c r="H51" s="2093"/>
      <c r="I51" s="3152" t="s">
        <v>2346</v>
      </c>
      <c r="J51" s="3156">
        <f>IF(J49="",J50,J49+J50-YEAR('数据-取费表'!B2))</f>
        <v>60</v>
      </c>
      <c r="K51" s="3127" t="s">
        <v>2352</v>
      </c>
      <c r="L51" s="3163">
        <f ca="1">ROUND(-PV(INDIRECT("'数据-取费表'!h"&amp;$G$1),L48,(C39-C13*J36),0),0)</f>
        <v>-4434</v>
      </c>
      <c r="O51" s="2401" t="s">
        <v>2382</v>
      </c>
      <c r="P51" s="2399" t="s">
        <v>2383</v>
      </c>
      <c r="Q51" s="2402">
        <f ca="1">J58</f>
        <v>0.46800000000000003</v>
      </c>
      <c r="R51" s="2403"/>
    </row>
    <row r="52" spans="1:18" s="2059" customFormat="1" ht="18" customHeight="1" thickBot="1">
      <c r="A52" s="780" t="s">
        <v>2533</v>
      </c>
      <c r="B52" s="2494" t="s">
        <v>2456</v>
      </c>
      <c r="C52" s="798">
        <f ca="1">ROUND(IF(F52="押一",C48/12*F11,IF(F52="押二",C48/12*2*F11,IF(F52="押三",C48/12*3*F11,C53*F11))),0)</f>
        <v>0</v>
      </c>
      <c r="D52" s="2501" t="s">
        <v>2964</v>
      </c>
      <c r="E52" s="2498" t="s">
        <v>2461</v>
      </c>
      <c r="F52" s="2621"/>
      <c r="I52" s="3153" t="s">
        <v>2419</v>
      </c>
      <c r="J52" s="2385"/>
      <c r="K52" s="3153" t="s">
        <v>2418</v>
      </c>
      <c r="L52" s="2385"/>
      <c r="O52" s="2401" t="s">
        <v>2384</v>
      </c>
      <c r="P52" s="2399" t="s">
        <v>2385</v>
      </c>
      <c r="Q52" s="2402">
        <f>J52</f>
        <v>0</v>
      </c>
      <c r="R52" s="2403"/>
    </row>
    <row r="53" spans="1:18" s="2059" customFormat="1" ht="39.75" customHeight="1" thickBot="1">
      <c r="A53" s="785"/>
      <c r="B53" s="2495" t="s">
        <v>2570</v>
      </c>
      <c r="C53" s="2499"/>
      <c r="D53" s="2501"/>
      <c r="E53" s="2498"/>
      <c r="F53" s="799"/>
      <c r="I53" s="3154" t="s">
        <v>2968</v>
      </c>
      <c r="J53" s="3157">
        <f ca="1">IF(M47="住宅",IF(D1="——",MAX(J51,L48),MAX(J51,L48-'数据-取费表'!B20)),IF(D1="——",MIN(J51,L48),MIN(J51,L48-'数据-取费表'!B20)))</f>
        <v>28.9</v>
      </c>
      <c r="K53" s="3486" t="s">
        <v>2955</v>
      </c>
      <c r="L53" s="3487"/>
      <c r="O53" s="2401" t="s">
        <v>2386</v>
      </c>
      <c r="P53" s="2399" t="s">
        <v>2387</v>
      </c>
      <c r="Q53" s="2400">
        <f ca="1">J53</f>
        <v>28.9</v>
      </c>
      <c r="R53" s="2399" t="s">
        <v>2388</v>
      </c>
    </row>
    <row r="54" spans="1:18" s="2059" customFormat="1" ht="18" customHeight="1" thickBot="1">
      <c r="A54" s="2537" t="s">
        <v>2464</v>
      </c>
      <c r="B54" s="2538" t="s">
        <v>2457</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2389</v>
      </c>
      <c r="P54" s="2399" t="s">
        <v>2406</v>
      </c>
      <c r="Q54" s="2400">
        <f ca="1">Q48+Q49</f>
        <v>201266</v>
      </c>
      <c r="R54" s="2403" t="s">
        <v>2390</v>
      </c>
    </row>
    <row r="55" spans="1:18" s="2059" customFormat="1" ht="18" customHeight="1" thickTop="1" thickBot="1">
      <c r="A55" s="796">
        <v>2</v>
      </c>
      <c r="B55" s="797" t="s">
        <v>643</v>
      </c>
      <c r="C55" s="798">
        <f ca="1">C13</f>
        <v>100151</v>
      </c>
      <c r="D55" s="794"/>
      <c r="E55" s="794"/>
      <c r="F55" s="799"/>
      <c r="I55" s="3166" t="s">
        <v>2353</v>
      </c>
      <c r="J55" s="3102">
        <f ca="1">ROUND(IF(J47="钢混",J57/J50,1-(1-2%)*(J50-J57)/J50),3)</f>
        <v>0.46800000000000003</v>
      </c>
      <c r="K55" s="3167" t="s">
        <v>2354</v>
      </c>
      <c r="L55" s="2386"/>
      <c r="O55" s="2404" t="s">
        <v>2409</v>
      </c>
      <c r="P55" s="1591"/>
      <c r="Q55" s="1603"/>
      <c r="R55" s="1591"/>
    </row>
    <row r="56" spans="1:18" s="2059" customFormat="1" ht="42.75" customHeight="1" thickBot="1">
      <c r="A56" s="1649"/>
      <c r="B56" s="2231" t="s">
        <v>2302</v>
      </c>
      <c r="C56" s="53">
        <f ca="1">C29</f>
        <v>100151</v>
      </c>
      <c r="D56" s="2639"/>
      <c r="E56" s="783"/>
      <c r="F56" s="808"/>
      <c r="I56" s="3168" t="s">
        <v>2355</v>
      </c>
      <c r="J56" s="3178"/>
      <c r="K56" s="3127" t="s">
        <v>2360</v>
      </c>
      <c r="L56" s="1908" t="str">
        <f ca="1">IF(L48&lt;J51,"——",L48-J51)</f>
        <v>——</v>
      </c>
      <c r="O56" s="2395" t="s">
        <v>2373</v>
      </c>
      <c r="P56" s="2396" t="s">
        <v>2374</v>
      </c>
      <c r="Q56" s="2397" t="s">
        <v>2375</v>
      </c>
      <c r="R56" s="2396" t="s">
        <v>2376</v>
      </c>
    </row>
    <row r="57" spans="1:18" s="2059" customFormat="1" ht="28.5" customHeight="1" thickBot="1">
      <c r="A57" s="796" t="s">
        <v>1748</v>
      </c>
      <c r="B57" s="797" t="s">
        <v>650</v>
      </c>
      <c r="C57" s="798">
        <f ca="1">ROUND(C58+C63+C64+C65,0)</f>
        <v>1681</v>
      </c>
      <c r="D57" s="26" t="s">
        <v>1750</v>
      </c>
      <c r="E57" s="2640"/>
      <c r="F57" s="56"/>
      <c r="I57" s="3169" t="s">
        <v>2356</v>
      </c>
      <c r="J57" s="3170">
        <f ca="1">IF(OR(M47="住宅",J51&lt;L48,J56="是"),"——",J51-L48)</f>
        <v>28.1</v>
      </c>
      <c r="K57" s="3127" t="s">
        <v>2361</v>
      </c>
      <c r="L57" s="1908" t="str">
        <f ca="1">IF(L48&lt;J51,"——",IF(L55="比较法",L49,IF(L55="基准地价",L50,L51)))</f>
        <v>——</v>
      </c>
      <c r="O57" s="2398" t="s">
        <v>2377</v>
      </c>
      <c r="P57" s="2399" t="s">
        <v>2407</v>
      </c>
      <c r="Q57" s="2400">
        <f ca="1">C40+J29</f>
        <v>154395</v>
      </c>
      <c r="R57" s="2399" t="s">
        <v>2378</v>
      </c>
    </row>
    <row r="58" spans="1:18" s="2059" customFormat="1" ht="28.5" customHeight="1" thickBot="1">
      <c r="A58" s="1648" t="s">
        <v>1824</v>
      </c>
      <c r="B58" s="783" t="s">
        <v>655</v>
      </c>
      <c r="C58" s="53">
        <f ca="1">ROUND(IF(项目基本情况!B11="自然人",C47*F58,C59+C60+C61),1)</f>
        <v>28.3</v>
      </c>
      <c r="D58" s="2638" t="s">
        <v>656</v>
      </c>
      <c r="E58" s="2639" t="s">
        <v>689</v>
      </c>
      <c r="F58" s="809" t="str">
        <f ca="1">IF(项目基本情况!B11="企业","",IF(INDIRECT("'数据-取费表'!c"&amp;$G$1)="住宅",5%,IF(F48*F49*F50/12/(1+'数据-取费表'!C42)&gt;20000,12%,7%)))</f>
        <v/>
      </c>
      <c r="I58" s="3169" t="s">
        <v>2357</v>
      </c>
      <c r="J58" s="3103">
        <f ca="1">IF(J55&lt;0.4,0.4,J55)</f>
        <v>0.46800000000000003</v>
      </c>
      <c r="K58" s="3127" t="s">
        <v>2362</v>
      </c>
      <c r="L58" s="1908" t="e">
        <f ca="1">ROUND(POWER(1+L52,L47-L48)*(POWER(1+L52,L48)-1)/(POWER(1+L52,L47)-1),4)</f>
        <v>#DIV/0!</v>
      </c>
      <c r="O58" s="2398" t="s">
        <v>2379</v>
      </c>
      <c r="P58" s="2399" t="s">
        <v>2410</v>
      </c>
      <c r="Q58" s="2400">
        <f ca="1">L60</f>
        <v>0</v>
      </c>
      <c r="R58" s="2403" t="s">
        <v>2412</v>
      </c>
    </row>
    <row r="59" spans="1:18" s="2059" customFormat="1" ht="28.5" customHeight="1" thickBot="1">
      <c r="A59" s="1647" t="s">
        <v>1831</v>
      </c>
      <c r="B59" s="783" t="s">
        <v>659</v>
      </c>
      <c r="C59" s="53">
        <f ca="1">ROUND(C47*F59/1.05,1)</f>
        <v>0</v>
      </c>
      <c r="D59" s="2639" t="s">
        <v>1756</v>
      </c>
      <c r="E59" s="783" t="s">
        <v>1747</v>
      </c>
      <c r="F59" s="808">
        <f t="shared" ref="F59:F65" si="0">F32</f>
        <v>5.6000000000000001E-2</v>
      </c>
      <c r="I59" s="3169" t="s">
        <v>2358</v>
      </c>
      <c r="J59" s="3170">
        <f ca="1">IF(OR(M47="住宅",J51&lt;L48,J56="是"),"——",ROUND(C29*J58,0))</f>
        <v>46871</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2381</v>
      </c>
      <c r="P59" s="2399" t="s">
        <v>2411</v>
      </c>
      <c r="Q59" s="2400">
        <f>IF(L55="比较法",L49,IF(L55="基准地价",L50,0))</f>
        <v>0</v>
      </c>
      <c r="R59" s="2399" t="s">
        <v>2378</v>
      </c>
    </row>
    <row r="60" spans="1:18" s="2059" customFormat="1" ht="18" customHeight="1" thickBot="1">
      <c r="A60" s="1647" t="s">
        <v>1832</v>
      </c>
      <c r="B60" s="783" t="s">
        <v>1758</v>
      </c>
      <c r="C60" s="53">
        <f ca="1">IF(D60="按租金收入计税",ROUND(C47*F60,1),IF(D60="按房产原值计税",ROUND(C56*F60*0.7,1),INDIRECT("'数据-取费表'!Aj"&amp;$G$1)))</f>
        <v>0</v>
      </c>
      <c r="D60" s="2639" t="str">
        <f>D33</f>
        <v>按租金收入计税</v>
      </c>
      <c r="E60" s="783" t="s">
        <v>1747</v>
      </c>
      <c r="F60" s="808">
        <f t="shared" si="0"/>
        <v>0.12</v>
      </c>
      <c r="I60" s="3171" t="s">
        <v>2359</v>
      </c>
      <c r="J60" s="3172">
        <f ca="1">IF(OR(M47="住宅",J51&lt;L48,J56="是"),"0",ROUND(J59/(1+J52)^J53,0))</f>
        <v>46871</v>
      </c>
      <c r="K60" s="3173" t="s">
        <v>2364</v>
      </c>
      <c r="L60" s="3172">
        <f ca="1">IF(OR(M47="住宅",L48&lt;J51),0,ROUND(L57*(L58/L59-1),0))</f>
        <v>0</v>
      </c>
      <c r="O60" s="2401" t="s">
        <v>2382</v>
      </c>
      <c r="P60" s="2399" t="s">
        <v>2391</v>
      </c>
      <c r="Q60" s="2402">
        <f>L52</f>
        <v>0</v>
      </c>
      <c r="R60" s="2403"/>
    </row>
    <row r="61" spans="1:18" s="2059" customFormat="1" ht="18" customHeight="1" thickBot="1">
      <c r="A61" s="1650" t="s">
        <v>1833</v>
      </c>
      <c r="B61" s="340" t="s">
        <v>667</v>
      </c>
      <c r="C61" s="54">
        <f ca="1">ROUND(F61*F62/10000,1)</f>
        <v>28.3</v>
      </c>
      <c r="D61" s="813" t="s">
        <v>668</v>
      </c>
      <c r="E61" s="783" t="s">
        <v>669</v>
      </c>
      <c r="F61" s="639">
        <f t="shared" si="0"/>
        <v>4</v>
      </c>
      <c r="K61" s="2086"/>
      <c r="O61" s="2401" t="s">
        <v>2384</v>
      </c>
      <c r="P61" s="2399" t="s">
        <v>2392</v>
      </c>
      <c r="Q61" s="2400" t="e">
        <f ca="1">L58</f>
        <v>#DIV/0!</v>
      </c>
      <c r="R61" s="2403" t="s">
        <v>2393</v>
      </c>
    </row>
    <row r="62" spans="1:18" s="2059" customFormat="1" ht="15.75" thickBot="1">
      <c r="A62" s="814"/>
      <c r="B62" s="792"/>
      <c r="C62" s="69"/>
      <c r="D62" s="815"/>
      <c r="E62" s="783" t="s">
        <v>673</v>
      </c>
      <c r="F62" s="784">
        <f t="shared" ca="1" si="0"/>
        <v>70693.86</v>
      </c>
      <c r="I62" s="3174" t="s">
        <v>2365</v>
      </c>
      <c r="J62" s="3175" t="s">
        <v>2366</v>
      </c>
      <c r="K62" s="3175" t="s">
        <v>2367</v>
      </c>
      <c r="L62" s="3175" t="s">
        <v>2348</v>
      </c>
      <c r="M62" s="3176" t="s">
        <v>2931</v>
      </c>
      <c r="O62" s="2401" t="s">
        <v>2386</v>
      </c>
      <c r="P62" s="2399" t="str">
        <f>K59</f>
        <v>建设期及建筑物耐用年限下的土地年期修正系数Kn</v>
      </c>
      <c r="Q62" s="2400" t="e">
        <f ca="1">L59</f>
        <v>#DIV/0!</v>
      </c>
      <c r="R62" s="2403" t="s">
        <v>2395</v>
      </c>
    </row>
    <row r="63" spans="1:18" s="2059" customFormat="1" ht="15.75" thickBot="1">
      <c r="A63" s="1648" t="s">
        <v>1889</v>
      </c>
      <c r="B63" s="783" t="s">
        <v>675</v>
      </c>
      <c r="C63" s="53">
        <f ca="1">ROUND(C56*F63,1)</f>
        <v>1502.3</v>
      </c>
      <c r="D63" s="2639" t="s">
        <v>1803</v>
      </c>
      <c r="E63" s="783" t="s">
        <v>1747</v>
      </c>
      <c r="F63" s="816">
        <f t="shared" ca="1" si="0"/>
        <v>1.4999999999999999E-2</v>
      </c>
      <c r="I63" s="3174" t="s">
        <v>2368</v>
      </c>
      <c r="J63" s="3175">
        <v>70</v>
      </c>
      <c r="K63" s="3175">
        <v>50</v>
      </c>
      <c r="L63" s="3175">
        <v>80</v>
      </c>
      <c r="M63" s="3177">
        <v>0.02</v>
      </c>
      <c r="O63" s="2398" t="s">
        <v>2389</v>
      </c>
      <c r="P63" s="2399" t="s">
        <v>2406</v>
      </c>
      <c r="Q63" s="2400">
        <f ca="1">Q57+Q58</f>
        <v>154395</v>
      </c>
      <c r="R63" s="2403" t="s">
        <v>2390</v>
      </c>
    </row>
    <row r="64" spans="1:18" s="2059" customFormat="1" ht="16.5" thickBot="1">
      <c r="A64" s="1648" t="s">
        <v>1890</v>
      </c>
      <c r="B64" s="783" t="s">
        <v>678</v>
      </c>
      <c r="C64" s="53">
        <f ca="1">ROUND(C55*F64,1)</f>
        <v>150.19999999999999</v>
      </c>
      <c r="D64" s="2639" t="s">
        <v>679</v>
      </c>
      <c r="E64" s="783" t="s">
        <v>1747</v>
      </c>
      <c r="F64" s="817">
        <f t="shared" ca="1" si="0"/>
        <v>1.5E-3</v>
      </c>
      <c r="I64" s="3174" t="s">
        <v>2369</v>
      </c>
      <c r="J64" s="3175">
        <v>50</v>
      </c>
      <c r="K64" s="3175">
        <v>35</v>
      </c>
      <c r="L64" s="3175">
        <v>60</v>
      </c>
      <c r="M64" s="845">
        <v>0</v>
      </c>
      <c r="O64" s="2404" t="s">
        <v>2413</v>
      </c>
      <c r="P64" s="1591"/>
      <c r="Q64" s="1603"/>
      <c r="R64" s="1591"/>
    </row>
    <row r="65" spans="1:18" s="2059" customFormat="1" ht="15.75" thickBot="1">
      <c r="A65" s="1648" t="s">
        <v>1891</v>
      </c>
      <c r="B65" s="783" t="s">
        <v>665</v>
      </c>
      <c r="C65" s="53">
        <f ca="1">ROUND(C47*F65,1)</f>
        <v>0</v>
      </c>
      <c r="D65" s="2639" t="s">
        <v>682</v>
      </c>
      <c r="E65" s="783" t="s">
        <v>1747</v>
      </c>
      <c r="F65" s="793">
        <f t="shared" ca="1" si="0"/>
        <v>1.4999999999999999E-2</v>
      </c>
      <c r="I65" s="3174" t="s">
        <v>2370</v>
      </c>
      <c r="J65" s="3175">
        <v>40</v>
      </c>
      <c r="K65" s="3175">
        <v>30</v>
      </c>
      <c r="L65" s="3175">
        <v>50</v>
      </c>
      <c r="M65" s="3177">
        <v>0.02</v>
      </c>
      <c r="O65" s="2395" t="s">
        <v>2373</v>
      </c>
      <c r="P65" s="2396" t="s">
        <v>2374</v>
      </c>
      <c r="Q65" s="2397" t="s">
        <v>2375</v>
      </c>
      <c r="R65" s="2396" t="s">
        <v>2376</v>
      </c>
    </row>
    <row r="66" spans="1:18" s="2059" customFormat="1" ht="24.75" thickBot="1">
      <c r="A66" s="796" t="s">
        <v>1776</v>
      </c>
      <c r="B66" s="3011" t="s">
        <v>2818</v>
      </c>
      <c r="C66" s="798">
        <f ca="1">C47-C57</f>
        <v>-1681</v>
      </c>
      <c r="D66" s="2638" t="s">
        <v>699</v>
      </c>
      <c r="E66" s="2637"/>
      <c r="F66" s="819"/>
      <c r="K66" s="2086"/>
      <c r="O66" s="2398" t="s">
        <v>2377</v>
      </c>
      <c r="P66" s="2399" t="s">
        <v>2407</v>
      </c>
      <c r="Q66" s="2400">
        <f ca="1">C40+J29</f>
        <v>154395</v>
      </c>
      <c r="R66" s="2399" t="s">
        <v>2378</v>
      </c>
    </row>
    <row r="67" spans="1:18" s="2059" customFormat="1" ht="20.25" thickBot="1">
      <c r="A67" s="780" t="s">
        <v>1780</v>
      </c>
      <c r="B67" s="2232" t="s">
        <v>2301</v>
      </c>
      <c r="C67" s="782">
        <f ca="1">ROUND(C66*(1-((1+F69)/(1+F67))^F68)/(F67-F69),0)</f>
        <v>-22816</v>
      </c>
      <c r="D67" s="813" t="s">
        <v>703</v>
      </c>
      <c r="E67" s="783" t="s">
        <v>704</v>
      </c>
      <c r="F67" s="793">
        <f ca="1">F40</f>
        <v>0.06</v>
      </c>
      <c r="K67" s="2086"/>
      <c r="O67" s="2398" t="s">
        <v>2379</v>
      </c>
      <c r="P67" s="2399" t="s">
        <v>2410</v>
      </c>
      <c r="Q67" s="2400">
        <f ca="1">L60</f>
        <v>0</v>
      </c>
      <c r="R67" s="2403" t="s">
        <v>2412</v>
      </c>
    </row>
    <row r="68" spans="1:18" ht="21.75" thickBot="1">
      <c r="A68" s="785"/>
      <c r="B68" s="786"/>
      <c r="C68" s="787"/>
      <c r="D68" s="820" t="s">
        <v>1808</v>
      </c>
      <c r="E68" s="783" t="s">
        <v>1784</v>
      </c>
      <c r="F68" s="821">
        <f ca="1">F41</f>
        <v>28.9</v>
      </c>
      <c r="O68" s="2401" t="s">
        <v>2381</v>
      </c>
      <c r="P68" s="2399" t="s">
        <v>2411</v>
      </c>
      <c r="Q68" s="2405">
        <f ca="1">L51</f>
        <v>-4434</v>
      </c>
      <c r="R68" s="2406" t="s">
        <v>2414</v>
      </c>
    </row>
    <row r="69" spans="1:18" ht="20.25" thickBot="1">
      <c r="A69" s="789"/>
      <c r="B69" s="790"/>
      <c r="C69" s="791"/>
      <c r="D69" s="815"/>
      <c r="E69" s="783" t="s">
        <v>709</v>
      </c>
      <c r="F69" s="2371"/>
      <c r="O69" s="2401" t="s">
        <v>2382</v>
      </c>
      <c r="P69" s="2407" t="s">
        <v>2396</v>
      </c>
      <c r="Q69" s="2400">
        <f ca="1">ROUND(Q70-Q71*Q72,0)</f>
        <v>-298</v>
      </c>
      <c r="R69" s="2403"/>
    </row>
    <row r="70" spans="1:18" ht="15.75" thickBot="1">
      <c r="A70" s="822" t="s">
        <v>1787</v>
      </c>
      <c r="B70" s="823" t="s">
        <v>1810</v>
      </c>
      <c r="C70" s="824">
        <f ca="1">ROUND(C67*10000/F70,0)</f>
        <v>-922</v>
      </c>
      <c r="D70" s="825" t="s">
        <v>1811</v>
      </c>
      <c r="E70" s="826" t="s">
        <v>1812</v>
      </c>
      <c r="F70" s="827">
        <f ca="1">F43</f>
        <v>247428.51000000004</v>
      </c>
      <c r="O70" s="2401" t="s">
        <v>2397</v>
      </c>
      <c r="P70" s="2407" t="s">
        <v>2398</v>
      </c>
      <c r="Q70" s="2400">
        <f ca="1">C39</f>
        <v>8215</v>
      </c>
      <c r="R70" s="2399" t="s">
        <v>2378</v>
      </c>
    </row>
    <row r="71" spans="1:18" ht="15.75" thickBot="1">
      <c r="O71" s="2401" t="s">
        <v>2399</v>
      </c>
      <c r="P71" s="2407" t="s">
        <v>2400</v>
      </c>
      <c r="Q71" s="2400">
        <f ca="1">C13</f>
        <v>100151</v>
      </c>
      <c r="R71" s="2399" t="s">
        <v>2378</v>
      </c>
    </row>
    <row r="72" spans="1:18" ht="15.75" thickBot="1">
      <c r="O72" s="2401" t="s">
        <v>2401</v>
      </c>
      <c r="P72" s="2407" t="s">
        <v>2402</v>
      </c>
      <c r="Q72" s="2402">
        <f ca="1">J36</f>
        <v>8.5000000000000006E-2</v>
      </c>
      <c r="R72" s="2403"/>
    </row>
    <row r="73" spans="1:18" ht="15.75" thickBot="1">
      <c r="O73" s="2401" t="s">
        <v>2384</v>
      </c>
      <c r="P73" s="2399" t="s">
        <v>2391</v>
      </c>
      <c r="Q73" s="2402">
        <f>L52</f>
        <v>0</v>
      </c>
      <c r="R73" s="2403"/>
    </row>
    <row r="74" spans="1:18" ht="20.25" thickBot="1">
      <c r="O74" s="2401" t="s">
        <v>2386</v>
      </c>
      <c r="P74" s="2399" t="s">
        <v>2392</v>
      </c>
      <c r="Q74" s="2400" t="e">
        <f ca="1">L58</f>
        <v>#DIV/0!</v>
      </c>
      <c r="R74" s="2403" t="s">
        <v>2393</v>
      </c>
    </row>
    <row r="75" spans="1:18" ht="15.75" thickBot="1">
      <c r="O75" s="2401" t="s">
        <v>2415</v>
      </c>
      <c r="P75" s="2399" t="str">
        <f>K59</f>
        <v>建设期及建筑物耐用年限下的土地年期修正系数Kn</v>
      </c>
      <c r="Q75" s="2400" t="e">
        <f ca="1">L59</f>
        <v>#DIV/0!</v>
      </c>
      <c r="R75" s="2403" t="s">
        <v>2395</v>
      </c>
    </row>
    <row r="76" spans="1:18" ht="15.75" thickBot="1">
      <c r="O76" s="2398" t="s">
        <v>2389</v>
      </c>
      <c r="P76" s="2399" t="s">
        <v>2406</v>
      </c>
      <c r="Q76" s="2400">
        <f ca="1">Q66+Q67</f>
        <v>154395</v>
      </c>
      <c r="R76" s="240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8" t="s">
        <v>2468</v>
      </c>
      <c r="B1" s="3489"/>
      <c r="C1" s="3490"/>
      <c r="D1" s="3491">
        <f>SUM(I10,I15,I20,I21,I23)</f>
        <v>0</v>
      </c>
      <c r="E1" s="3491"/>
      <c r="F1" s="3491"/>
      <c r="G1" s="3491"/>
      <c r="H1" s="3491"/>
      <c r="I1" s="3492"/>
    </row>
    <row r="2" spans="1:9">
      <c r="A2" s="3493" t="s">
        <v>2469</v>
      </c>
      <c r="B2" s="3494" t="s">
        <v>2470</v>
      </c>
      <c r="C2" s="3494"/>
      <c r="D2" s="2507" t="s">
        <v>2471</v>
      </c>
      <c r="E2" s="2507" t="s">
        <v>2472</v>
      </c>
      <c r="F2" s="2507" t="s">
        <v>2473</v>
      </c>
      <c r="G2" s="2507" t="s">
        <v>2474</v>
      </c>
      <c r="H2" s="2507" t="s">
        <v>2475</v>
      </c>
      <c r="I2" s="2508" t="s">
        <v>2476</v>
      </c>
    </row>
    <row r="3" spans="1:9">
      <c r="A3" s="3493"/>
      <c r="B3" s="3494" t="s">
        <v>2477</v>
      </c>
      <c r="C3" s="3494"/>
      <c r="D3" s="2509"/>
      <c r="E3" s="2507"/>
      <c r="F3" s="2510"/>
      <c r="G3" s="2510"/>
      <c r="H3" s="2511"/>
      <c r="I3" s="2512">
        <f>ROUND(D3*E3*F3*G3*H3/10000,0)</f>
        <v>0</v>
      </c>
    </row>
    <row r="4" spans="1:9">
      <c r="A4" s="3493"/>
      <c r="B4" s="3494" t="s">
        <v>2478</v>
      </c>
      <c r="C4" s="3494"/>
      <c r="D4" s="2509"/>
      <c r="E4" s="2507"/>
      <c r="F4" s="2510"/>
      <c r="G4" s="2510"/>
      <c r="H4" s="2511"/>
      <c r="I4" s="2512">
        <f t="shared" ref="I4:I9" si="0">ROUND(D4*E4*F4*G4*H4/10000,0)</f>
        <v>0</v>
      </c>
    </row>
    <row r="5" spans="1:9">
      <c r="A5" s="3493"/>
      <c r="B5" s="3494" t="s">
        <v>2479</v>
      </c>
      <c r="C5" s="3494"/>
      <c r="D5" s="2509"/>
      <c r="E5" s="2507"/>
      <c r="F5" s="2510"/>
      <c r="G5" s="2510"/>
      <c r="H5" s="2511"/>
      <c r="I5" s="2512">
        <f t="shared" si="0"/>
        <v>0</v>
      </c>
    </row>
    <row r="6" spans="1:9">
      <c r="A6" s="3493"/>
      <c r="B6" s="3494" t="s">
        <v>2480</v>
      </c>
      <c r="C6" s="3494"/>
      <c r="D6" s="2509"/>
      <c r="E6" s="2507"/>
      <c r="F6" s="2510"/>
      <c r="G6" s="2510"/>
      <c r="H6" s="2511"/>
      <c r="I6" s="2512">
        <f t="shared" si="0"/>
        <v>0</v>
      </c>
    </row>
    <row r="7" spans="1:9">
      <c r="A7" s="3493"/>
      <c r="B7" s="3494" t="s">
        <v>2481</v>
      </c>
      <c r="C7" s="3494"/>
      <c r="D7" s="2509"/>
      <c r="E7" s="2507"/>
      <c r="F7" s="2510"/>
      <c r="G7" s="2510"/>
      <c r="H7" s="2511"/>
      <c r="I7" s="2512">
        <f t="shared" si="0"/>
        <v>0</v>
      </c>
    </row>
    <row r="8" spans="1:9">
      <c r="A8" s="3493"/>
      <c r="B8" s="3494" t="s">
        <v>2482</v>
      </c>
      <c r="C8" s="3494"/>
      <c r="D8" s="2509"/>
      <c r="E8" s="2507"/>
      <c r="F8" s="2510"/>
      <c r="G8" s="2510"/>
      <c r="H8" s="2511"/>
      <c r="I8" s="2512">
        <f t="shared" si="0"/>
        <v>0</v>
      </c>
    </row>
    <row r="9" spans="1:9">
      <c r="A9" s="3493"/>
      <c r="B9" s="3494" t="s">
        <v>2483</v>
      </c>
      <c r="C9" s="3494"/>
      <c r="D9" s="2509"/>
      <c r="E9" s="2507"/>
      <c r="F9" s="2510"/>
      <c r="G9" s="2510"/>
      <c r="H9" s="2511"/>
      <c r="I9" s="2512">
        <f t="shared" si="0"/>
        <v>0</v>
      </c>
    </row>
    <row r="10" spans="1:9">
      <c r="A10" s="3493"/>
      <c r="B10" s="3495" t="s">
        <v>2484</v>
      </c>
      <c r="C10" s="3495"/>
      <c r="D10" s="2513">
        <v>527</v>
      </c>
      <c r="E10" s="2513" t="e">
        <f>ROUND(D1*10000/D10/H9,0)</f>
        <v>#DIV/0!</v>
      </c>
      <c r="F10" s="2514"/>
      <c r="G10" s="2514"/>
      <c r="H10" s="2515"/>
      <c r="I10" s="2516">
        <f>SUM(I3:I9)</f>
        <v>0</v>
      </c>
    </row>
    <row r="11" spans="1:9" ht="14.25">
      <c r="A11" s="3493" t="s">
        <v>2485</v>
      </c>
      <c r="B11" s="3494" t="s">
        <v>2486</v>
      </c>
      <c r="C11" s="3494"/>
      <c r="D11" s="2509" t="s">
        <v>2487</v>
      </c>
      <c r="E11" s="2509" t="s">
        <v>2488</v>
      </c>
      <c r="F11" s="2510" t="s">
        <v>2489</v>
      </c>
      <c r="G11" s="2510" t="s">
        <v>2490</v>
      </c>
      <c r="H11" s="2517" t="s">
        <v>2491</v>
      </c>
      <c r="I11" s="2508" t="s">
        <v>2492</v>
      </c>
    </row>
    <row r="12" spans="1:9">
      <c r="A12" s="3493"/>
      <c r="B12" s="3494" t="s">
        <v>2493</v>
      </c>
      <c r="C12" s="3494"/>
      <c r="D12" s="2509"/>
      <c r="E12" s="2509"/>
      <c r="F12" s="2510"/>
      <c r="G12" s="2511"/>
      <c r="H12" s="2518"/>
      <c r="I12" s="2508">
        <f>ROUND(D12*E12*F12*G12/10000,0)</f>
        <v>0</v>
      </c>
    </row>
    <row r="13" spans="1:9">
      <c r="A13" s="3493"/>
      <c r="B13" s="3494" t="s">
        <v>2494</v>
      </c>
      <c r="C13" s="3494"/>
      <c r="D13" s="2509"/>
      <c r="E13" s="2509"/>
      <c r="F13" s="2510"/>
      <c r="G13" s="2511"/>
      <c r="H13" s="2518"/>
      <c r="I13" s="2508">
        <f>ROUND(D13*E13*F13*G13/10000,0)</f>
        <v>0</v>
      </c>
    </row>
    <row r="14" spans="1:9">
      <c r="A14" s="3493"/>
      <c r="B14" s="3494" t="s">
        <v>2495</v>
      </c>
      <c r="C14" s="3494"/>
      <c r="D14" s="2509"/>
      <c r="E14" s="2509"/>
      <c r="F14" s="2510"/>
      <c r="G14" s="2511"/>
      <c r="H14" s="2518"/>
      <c r="I14" s="2508">
        <f>ROUND(D14*E14*F14*G14/10000,0)</f>
        <v>0</v>
      </c>
    </row>
    <row r="15" spans="1:9">
      <c r="A15" s="3493"/>
      <c r="B15" s="3495" t="s">
        <v>2484</v>
      </c>
      <c r="C15" s="3495"/>
      <c r="D15" s="2513"/>
      <c r="E15" s="2513">
        <f>SUM(E12:E14)</f>
        <v>0</v>
      </c>
      <c r="F15" s="2514"/>
      <c r="G15" s="2511"/>
      <c r="H15" s="2518"/>
      <c r="I15" s="2519">
        <f>SUM(I12:I14)</f>
        <v>0</v>
      </c>
    </row>
    <row r="16" spans="1:9" ht="24">
      <c r="A16" s="3493" t="s">
        <v>2496</v>
      </c>
      <c r="B16" s="3494" t="s">
        <v>2497</v>
      </c>
      <c r="C16" s="3494"/>
      <c r="D16" s="2509" t="s">
        <v>2498</v>
      </c>
      <c r="E16" s="2520" t="s">
        <v>2499</v>
      </c>
      <c r="F16" s="2510" t="s">
        <v>2500</v>
      </c>
      <c r="G16" s="2511" t="s">
        <v>2490</v>
      </c>
      <c r="H16" s="2517" t="s">
        <v>2491</v>
      </c>
      <c r="I16" s="2508" t="s">
        <v>2492</v>
      </c>
    </row>
    <row r="17" spans="1:9" ht="14.25">
      <c r="A17" s="3493"/>
      <c r="B17" s="3494" t="s">
        <v>2501</v>
      </c>
      <c r="C17" s="3494"/>
      <c r="D17" s="2509"/>
      <c r="E17" s="2509"/>
      <c r="F17" s="2510"/>
      <c r="G17" s="2511"/>
      <c r="H17" s="2521"/>
      <c r="I17" s="2522">
        <f>ROUND(D17*E17*F17*G17/10000,0)</f>
        <v>0</v>
      </c>
    </row>
    <row r="18" spans="1:9" ht="14.25">
      <c r="A18" s="3493"/>
      <c r="B18" s="3494" t="s">
        <v>2502</v>
      </c>
      <c r="C18" s="3494"/>
      <c r="D18" s="2509"/>
      <c r="E18" s="2509"/>
      <c r="F18" s="2510"/>
      <c r="G18" s="2511"/>
      <c r="H18" s="2521"/>
      <c r="I18" s="2522">
        <f>ROUND(D18*E18*F18*G18/10000,0)</f>
        <v>0</v>
      </c>
    </row>
    <row r="19" spans="1:9" ht="14.25">
      <c r="A19" s="3493"/>
      <c r="B19" s="3494" t="s">
        <v>2503</v>
      </c>
      <c r="C19" s="3494"/>
      <c r="D19" s="2509"/>
      <c r="E19" s="2509"/>
      <c r="F19" s="2510"/>
      <c r="G19" s="2511"/>
      <c r="H19" s="2521"/>
      <c r="I19" s="2522">
        <f>ROUND(D19*E19*F19*G19/10000,0)</f>
        <v>0</v>
      </c>
    </row>
    <row r="20" spans="1:9">
      <c r="A20" s="3493"/>
      <c r="B20" s="3495" t="s">
        <v>2484</v>
      </c>
      <c r="C20" s="3495"/>
      <c r="D20" s="2513">
        <f>SUM(D17:D19)</f>
        <v>0</v>
      </c>
      <c r="E20" s="2513"/>
      <c r="F20" s="2514"/>
      <c r="G20" s="2511"/>
      <c r="H20" s="2518"/>
      <c r="I20" s="2519">
        <f>SUM(I17:I19)</f>
        <v>0</v>
      </c>
    </row>
    <row r="21" spans="1:9">
      <c r="A21" s="3493" t="s">
        <v>2504</v>
      </c>
      <c r="B21" s="3497"/>
      <c r="C21" s="3497"/>
      <c r="D21" s="3497"/>
      <c r="E21" s="3497"/>
      <c r="F21" s="3497"/>
      <c r="G21" s="3497"/>
      <c r="H21" s="2523">
        <v>0.1</v>
      </c>
      <c r="I21" s="2516">
        <f>ROUND(I10*H21,0)</f>
        <v>0</v>
      </c>
    </row>
    <row r="22" spans="1:9" ht="14.25">
      <c r="A22" s="3498" t="s">
        <v>2505</v>
      </c>
      <c r="B22" s="3499"/>
      <c r="C22" s="3500"/>
      <c r="D22" s="2524" t="s">
        <v>2506</v>
      </c>
      <c r="E22" s="2524" t="s">
        <v>2507</v>
      </c>
      <c r="F22" s="2525" t="s">
        <v>2508</v>
      </c>
      <c r="G22" s="2525" t="s">
        <v>2509</v>
      </c>
      <c r="H22" s="2517" t="s">
        <v>2510</v>
      </c>
      <c r="I22" s="2508" t="s">
        <v>2511</v>
      </c>
    </row>
    <row r="23" spans="1:9" ht="14.25" thickBot="1">
      <c r="A23" s="3501"/>
      <c r="B23" s="3502"/>
      <c r="C23" s="3503"/>
      <c r="D23" s="2526"/>
      <c r="E23" s="2526"/>
      <c r="F23" s="2526"/>
      <c r="G23" s="2527"/>
      <c r="H23" s="2528"/>
      <c r="I23" s="2529">
        <f>ROUND(E23*D23*F23*(1-G23)/10000,0)</f>
        <v>0</v>
      </c>
    </row>
    <row r="26" spans="1:9">
      <c r="A26" s="2530" t="s">
        <v>2512</v>
      </c>
      <c r="B26" s="2530"/>
      <c r="C26" s="2530"/>
      <c r="D26" s="2530"/>
      <c r="E26" s="3504">
        <f>C27-C30-C31-C32</f>
        <v>0</v>
      </c>
      <c r="F26" s="3504"/>
      <c r="G26" s="3504"/>
      <c r="H26" s="3044" t="s">
        <v>2839</v>
      </c>
    </row>
    <row r="27" spans="1:9">
      <c r="A27" s="2531">
        <v>1</v>
      </c>
      <c r="B27" s="2532" t="s">
        <v>2513</v>
      </c>
      <c r="C27" s="2532"/>
      <c r="D27" s="2532"/>
      <c r="E27" s="3505"/>
      <c r="F27" s="3505"/>
      <c r="G27" s="3505"/>
    </row>
    <row r="28" spans="1:9">
      <c r="A28" s="2533" t="s">
        <v>2514</v>
      </c>
      <c r="B28" s="2532" t="s">
        <v>2515</v>
      </c>
      <c r="C28" s="2532"/>
      <c r="D28" s="2532"/>
      <c r="E28" s="3505"/>
      <c r="F28" s="3505"/>
      <c r="G28" s="3505"/>
    </row>
    <row r="29" spans="1:9">
      <c r="A29" s="2533" t="s">
        <v>2516</v>
      </c>
      <c r="B29" s="2532" t="s">
        <v>2457</v>
      </c>
      <c r="C29" s="2532"/>
      <c r="D29" s="2532"/>
      <c r="E29" s="2532" t="s">
        <v>2517</v>
      </c>
      <c r="F29" s="2532"/>
      <c r="G29" s="2532"/>
    </row>
    <row r="30" spans="1:9">
      <c r="A30" s="2531">
        <v>2</v>
      </c>
      <c r="B30" s="2532" t="s">
        <v>2518</v>
      </c>
      <c r="C30" s="2532">
        <f>C27*D30</f>
        <v>0</v>
      </c>
      <c r="D30" s="2534">
        <v>0.2</v>
      </c>
      <c r="E30" s="2532" t="s">
        <v>2519</v>
      </c>
      <c r="F30" s="2532"/>
      <c r="G30" s="2532"/>
    </row>
    <row r="31" spans="1:9">
      <c r="A31" s="2531">
        <v>3</v>
      </c>
      <c r="B31" s="2532" t="s">
        <v>2520</v>
      </c>
      <c r="C31" s="2532">
        <f>C25*D31</f>
        <v>0</v>
      </c>
      <c r="D31" s="2534">
        <v>0.15</v>
      </c>
      <c r="E31" s="2532" t="s">
        <v>2521</v>
      </c>
      <c r="F31" s="2532"/>
      <c r="G31" s="2532"/>
    </row>
    <row r="32" spans="1:9">
      <c r="A32" s="2531">
        <v>4</v>
      </c>
      <c r="B32" s="2532" t="s">
        <v>2522</v>
      </c>
      <c r="C32" s="2532">
        <f>C27*D32</f>
        <v>0</v>
      </c>
      <c r="D32" s="2534">
        <v>0.05</v>
      </c>
      <c r="E32" s="3496"/>
      <c r="F32" s="3496"/>
      <c r="G32" s="3496"/>
    </row>
    <row r="33" spans="1:7" hidden="1">
      <c r="A33" s="3506" t="s">
        <v>2523</v>
      </c>
      <c r="B33" s="3507"/>
      <c r="C33" s="3507"/>
      <c r="D33" s="3508"/>
      <c r="E33" s="3504"/>
      <c r="F33" s="3504"/>
      <c r="G33" s="3504"/>
    </row>
    <row r="34" spans="1:7" hidden="1">
      <c r="A34" s="2535">
        <v>1</v>
      </c>
      <c r="B34" s="2532" t="s">
        <v>2524</v>
      </c>
      <c r="C34" s="2532"/>
      <c r="D34" s="2532"/>
      <c r="E34" s="3505"/>
      <c r="F34" s="3505"/>
      <c r="G34" s="3505"/>
    </row>
    <row r="35" spans="1:7" hidden="1">
      <c r="A35" s="2535">
        <v>2</v>
      </c>
      <c r="B35" s="2532" t="s">
        <v>2525</v>
      </c>
      <c r="C35" s="2532"/>
      <c r="D35" s="2532"/>
      <c r="E35" s="3505"/>
      <c r="F35" s="3505"/>
      <c r="G35" s="3505"/>
    </row>
    <row r="36" spans="1:7" hidden="1">
      <c r="A36" s="2535">
        <v>3</v>
      </c>
      <c r="B36" s="2532" t="s">
        <v>2526</v>
      </c>
      <c r="C36" s="2532"/>
      <c r="D36" s="2532"/>
      <c r="E36" s="3505"/>
      <c r="F36" s="3505"/>
      <c r="G36" s="3505"/>
    </row>
    <row r="37" spans="1:7" hidden="1">
      <c r="A37" s="2535">
        <v>4</v>
      </c>
      <c r="B37" s="2532" t="s">
        <v>2527</v>
      </c>
      <c r="C37" s="2532"/>
      <c r="D37" s="2532"/>
      <c r="E37" s="3505"/>
      <c r="F37" s="3505"/>
      <c r="G37" s="3505"/>
    </row>
    <row r="38" spans="1:7" hidden="1">
      <c r="A38" s="3506" t="s">
        <v>2528</v>
      </c>
      <c r="B38" s="3507"/>
      <c r="C38" s="3507"/>
      <c r="D38" s="3508"/>
      <c r="E38" s="3504"/>
      <c r="F38" s="3504"/>
      <c r="G38" s="35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602</v>
      </c>
      <c r="B1" s="741"/>
      <c r="C1" s="2182"/>
      <c r="D1" s="2182"/>
      <c r="E1" s="2182"/>
      <c r="F1" s="2182"/>
      <c r="G1" s="2108"/>
    </row>
    <row r="2" spans="1:25" s="2059" customFormat="1" ht="18" customHeight="1">
      <c r="A2" s="422" t="s">
        <v>466</v>
      </c>
      <c r="B2" s="424">
        <f ca="1">C23</f>
        <v>0</v>
      </c>
      <c r="C2" s="2108"/>
      <c r="D2" s="2108"/>
      <c r="E2" s="2108"/>
      <c r="F2" s="2108"/>
      <c r="G2" s="2108"/>
    </row>
    <row r="3" spans="1:25" s="2059" customFormat="1" ht="18" customHeight="1">
      <c r="A3" s="1378" t="s">
        <v>1685</v>
      </c>
      <c r="B3" s="424">
        <f ca="1">ROUND(B2*10000/'数据-汇总表'!E3,0)</f>
        <v>0</v>
      </c>
      <c r="C3" s="2108"/>
      <c r="D3" s="2108"/>
      <c r="E3" s="2108"/>
      <c r="F3" s="2108"/>
      <c r="G3" s="2108"/>
    </row>
    <row r="4" spans="1:25" s="2059" customFormat="1" ht="18" customHeight="1">
      <c r="A4" s="425" t="s">
        <v>467</v>
      </c>
      <c r="B4" s="426">
        <f ca="1">ROUND(B2*10000/'数据-汇总表'!D3,0)</f>
        <v>0</v>
      </c>
      <c r="C4" s="2061"/>
      <c r="D4" s="2108"/>
      <c r="E4" s="2108"/>
      <c r="F4" s="2108"/>
      <c r="G4" s="2108"/>
    </row>
    <row r="5" spans="1:25" s="2059" customFormat="1" ht="18" customHeight="1" thickBot="1">
      <c r="A5" s="428"/>
      <c r="B5" s="429">
        <f ca="1">ROUND(B2/('数据-汇总表'!D3/666.67),0)</f>
        <v>0</v>
      </c>
      <c r="C5" s="430" t="s">
        <v>468</v>
      </c>
      <c r="D5" s="2108"/>
      <c r="E5" s="2108"/>
      <c r="F5" s="2108"/>
      <c r="G5" s="2108"/>
    </row>
    <row r="6" spans="1:25" s="2183" customFormat="1" ht="13.5" customHeight="1">
      <c r="A6" s="742"/>
      <c r="B6" s="743" t="s">
        <v>603</v>
      </c>
      <c r="C6" s="744" t="s">
        <v>604</v>
      </c>
      <c r="D6" s="744" t="s">
        <v>605</v>
      </c>
      <c r="E6" s="745" t="s">
        <v>606</v>
      </c>
      <c r="F6" s="745" t="s">
        <v>607</v>
      </c>
      <c r="G6" s="746"/>
    </row>
    <row r="7" spans="1:25" s="2183" customFormat="1" ht="13.5" customHeight="1">
      <c r="A7" s="2469">
        <v>1</v>
      </c>
      <c r="B7" s="747" t="s">
        <v>608</v>
      </c>
      <c r="C7" s="748">
        <f>C8+C9</f>
        <v>0</v>
      </c>
      <c r="D7" s="748"/>
      <c r="E7" s="749"/>
      <c r="F7" s="749"/>
      <c r="G7" s="2479"/>
    </row>
    <row r="8" spans="1:25" s="2183" customFormat="1" ht="13.5" customHeight="1">
      <c r="A8" s="2469" t="s">
        <v>2438</v>
      </c>
      <c r="B8" s="2472" t="s">
        <v>2440</v>
      </c>
      <c r="C8" s="2473"/>
      <c r="D8" s="748"/>
      <c r="E8" s="749"/>
      <c r="F8" s="749"/>
      <c r="G8" s="750"/>
    </row>
    <row r="9" spans="1:25" s="2183" customFormat="1" ht="13.5" customHeight="1">
      <c r="A9" s="2469" t="s">
        <v>2439</v>
      </c>
      <c r="B9" s="2472" t="s">
        <v>2441</v>
      </c>
      <c r="C9" s="2473"/>
      <c r="D9" s="748"/>
      <c r="E9" s="749"/>
      <c r="F9" s="749"/>
      <c r="G9" s="750"/>
    </row>
    <row r="10" spans="1:25" s="2183" customFormat="1" ht="36">
      <c r="A10" s="2469">
        <v>2</v>
      </c>
      <c r="B10" s="747" t="s">
        <v>612</v>
      </c>
      <c r="C10" s="748">
        <f>C11+C14+C15</f>
        <v>0</v>
      </c>
      <c r="D10" s="759">
        <f>'数据-汇总表'!E3</f>
        <v>412380.85000000003</v>
      </c>
      <c r="E10" s="748">
        <f>'数据-取费表'!B31</f>
        <v>200</v>
      </c>
      <c r="F10" s="760"/>
      <c r="G10" s="758" t="s">
        <v>613</v>
      </c>
    </row>
    <row r="11" spans="1:25" s="2183" customFormat="1" ht="13.5" customHeight="1">
      <c r="A11" s="2469" t="s">
        <v>2438</v>
      </c>
      <c r="B11" s="751" t="s">
        <v>609</v>
      </c>
      <c r="C11" s="752">
        <f>'数据-取费表'!B29</f>
        <v>0</v>
      </c>
      <c r="D11" s="753"/>
      <c r="E11" s="752"/>
      <c r="F11" s="754"/>
      <c r="G11" s="2478" t="s">
        <v>2449</v>
      </c>
    </row>
    <row r="12" spans="1:25" s="2183" customFormat="1" ht="13.5" customHeight="1">
      <c r="A12" s="2476" t="s">
        <v>2446</v>
      </c>
      <c r="B12" s="755" t="s">
        <v>610</v>
      </c>
      <c r="C12" s="756">
        <f>ROUND(D12*E12/10000,0)</f>
        <v>1732</v>
      </c>
      <c r="D12" s="757">
        <f>'数据-汇总表'!E5</f>
        <v>164952.34</v>
      </c>
      <c r="E12" s="756">
        <f>'数据-取费表'!B27</f>
        <v>105</v>
      </c>
      <c r="F12" s="754"/>
      <c r="G12" s="758"/>
    </row>
    <row r="13" spans="1:25" s="2183" customFormat="1" ht="13.5" customHeight="1">
      <c r="A13" s="2476" t="s">
        <v>2445</v>
      </c>
      <c r="B13" s="755" t="s">
        <v>611</v>
      </c>
      <c r="C13" s="756">
        <f>ROUND(D13*E13/10000,0)</f>
        <v>2598</v>
      </c>
      <c r="D13" s="757">
        <f>'数据-汇总表'!E6</f>
        <v>247428.51000000004</v>
      </c>
      <c r="E13" s="756">
        <f>'数据-取费表'!B28</f>
        <v>105</v>
      </c>
      <c r="F13" s="754"/>
      <c r="G13" s="758"/>
    </row>
    <row r="14" spans="1:25" s="2183" customFormat="1" ht="13.5" customHeight="1">
      <c r="A14" s="2469" t="s">
        <v>2439</v>
      </c>
      <c r="B14" s="2475" t="s">
        <v>2442</v>
      </c>
      <c r="C14" s="2473"/>
      <c r="D14" s="757"/>
      <c r="E14" s="756"/>
      <c r="F14" s="2474"/>
      <c r="G14" s="2477" t="s">
        <v>2447</v>
      </c>
    </row>
    <row r="15" spans="1:25" s="2183" customFormat="1" ht="13.5" customHeight="1">
      <c r="A15" s="2469" t="s">
        <v>2444</v>
      </c>
      <c r="B15" s="2475" t="s">
        <v>2443</v>
      </c>
      <c r="C15" s="2473"/>
      <c r="D15" s="757"/>
      <c r="E15" s="756"/>
      <c r="F15" s="2474"/>
      <c r="G15" s="2477" t="s">
        <v>2448</v>
      </c>
    </row>
    <row r="16" spans="1:25" s="2184" customFormat="1" ht="48">
      <c r="A16" s="2469">
        <v>3</v>
      </c>
      <c r="B16" s="747" t="s">
        <v>614</v>
      </c>
      <c r="C16" s="2473"/>
      <c r="D16" s="759"/>
      <c r="E16" s="748"/>
      <c r="F16" s="760"/>
      <c r="G16" s="758" t="s">
        <v>2450</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7" t="s">
        <v>615</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616</v>
      </c>
      <c r="C18" s="748">
        <f>ROUND((C7+C10+C16)*F18,0)</f>
        <v>0</v>
      </c>
      <c r="D18" s="761"/>
      <c r="E18" s="762"/>
      <c r="F18" s="760">
        <f>'数据-取费表'!Q16</f>
        <v>0.12</v>
      </c>
      <c r="G18" s="764"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618</v>
      </c>
      <c r="C19" s="748">
        <f ca="1">C7+C10+C16+C17+C18</f>
        <v>0</v>
      </c>
      <c r="D19" s="759"/>
      <c r="E19" s="748"/>
      <c r="F19" s="760"/>
      <c r="G19" s="764"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7" t="s">
        <v>620</v>
      </c>
      <c r="C20" s="748">
        <f ca="1">ROUND(C19*F20,0)</f>
        <v>0</v>
      </c>
      <c r="D20" s="759"/>
      <c r="E20" s="748"/>
      <c r="F20" s="1347"/>
      <c r="G20" s="764"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622</v>
      </c>
      <c r="C21" s="748">
        <f ca="1">C19+C20</f>
        <v>0</v>
      </c>
      <c r="D21" s="759"/>
      <c r="E21" s="748"/>
      <c r="F21" s="760"/>
      <c r="G21" s="764"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624</v>
      </c>
      <c r="C22" s="748">
        <f ca="1">ROUND(C21*F22,0)</f>
        <v>0</v>
      </c>
      <c r="D22" s="759"/>
      <c r="E22" s="748"/>
      <c r="F22" s="765">
        <f>'数据-取费表'!AP16</f>
        <v>0.86499999999999999</v>
      </c>
      <c r="G22" s="764"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626</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756</v>
      </c>
      <c r="C1" s="503" t="s">
        <v>719</v>
      </c>
      <c r="D1" s="2370"/>
      <c r="E1" s="505"/>
      <c r="F1" s="2807"/>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466</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518</v>
      </c>
      <c r="B3" s="509" t="e">
        <f>C49</f>
        <v>#DIV/0!</v>
      </c>
      <c r="C3" s="851" t="s">
        <v>721</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520</v>
      </c>
      <c r="B4" s="512"/>
      <c r="C4" s="3396" t="s">
        <v>521</v>
      </c>
      <c r="D4" s="3397"/>
      <c r="E4" s="3430" t="s">
        <v>522</v>
      </c>
      <c r="F4" s="3431"/>
      <c r="G4" s="3396" t="s">
        <v>523</v>
      </c>
      <c r="H4" s="3397"/>
      <c r="I4" s="3396" t="s">
        <v>524</v>
      </c>
      <c r="J4" s="3397"/>
      <c r="K4" s="513" t="s">
        <v>525</v>
      </c>
      <c r="L4" s="2133"/>
      <c r="M4" s="2134"/>
      <c r="N4" s="2134"/>
      <c r="O4" s="2134"/>
      <c r="P4" s="3398" t="s">
        <v>526</v>
      </c>
      <c r="Q4" s="3399"/>
      <c r="R4" s="3404" t="s">
        <v>522</v>
      </c>
      <c r="S4" s="3405"/>
      <c r="T4" s="3404" t="s">
        <v>523</v>
      </c>
      <c r="U4" s="3405"/>
      <c r="V4" s="3391" t="s">
        <v>524</v>
      </c>
      <c r="W4" s="3391"/>
      <c r="X4" s="1566"/>
      <c r="Y4" s="3404" t="s">
        <v>526</v>
      </c>
      <c r="Z4" s="3405"/>
      <c r="AA4" s="3393" t="s">
        <v>522</v>
      </c>
      <c r="AB4" s="3391" t="s">
        <v>523</v>
      </c>
      <c r="AC4" s="3393" t="s">
        <v>524</v>
      </c>
    </row>
    <row r="5" spans="1:29" ht="15">
      <c r="A5" s="514"/>
      <c r="B5" s="515"/>
      <c r="C5" s="3412" t="s">
        <v>2916</v>
      </c>
      <c r="D5" s="3413"/>
      <c r="E5" s="3432" t="s">
        <v>2917</v>
      </c>
      <c r="F5" s="3433"/>
      <c r="G5" s="3412" t="s">
        <v>2918</v>
      </c>
      <c r="H5" s="3413"/>
      <c r="I5" s="3412" t="s">
        <v>2919</v>
      </c>
      <c r="J5" s="3413"/>
      <c r="K5" s="513"/>
      <c r="L5" s="2133"/>
      <c r="M5" s="2134"/>
      <c r="N5" s="2134"/>
      <c r="O5" s="2134"/>
      <c r="P5" s="3400"/>
      <c r="Q5" s="3401"/>
      <c r="R5" s="3406"/>
      <c r="S5" s="3407"/>
      <c r="T5" s="3406"/>
      <c r="U5" s="3407"/>
      <c r="V5" s="3391"/>
      <c r="W5" s="3391"/>
      <c r="X5" s="1566"/>
      <c r="Y5" s="3406"/>
      <c r="Z5" s="3407"/>
      <c r="AA5" s="3394"/>
      <c r="AB5" s="3391"/>
      <c r="AC5" s="3394"/>
    </row>
    <row r="6" spans="1:29" ht="15.75" thickBot="1">
      <c r="A6" s="516"/>
      <c r="B6" s="517"/>
      <c r="C6" s="3410" t="s">
        <v>2920</v>
      </c>
      <c r="D6" s="3411"/>
      <c r="E6" s="3428" t="s">
        <v>2920</v>
      </c>
      <c r="F6" s="3429"/>
      <c r="G6" s="3410" t="s">
        <v>2920</v>
      </c>
      <c r="H6" s="3411"/>
      <c r="I6" s="3410" t="s">
        <v>2920</v>
      </c>
      <c r="J6" s="3411"/>
      <c r="K6" s="513" t="s">
        <v>527</v>
      </c>
      <c r="L6" s="2133"/>
      <c r="M6" s="2134"/>
      <c r="N6" s="2134"/>
      <c r="O6" s="2134"/>
      <c r="P6" s="3402"/>
      <c r="Q6" s="3403"/>
      <c r="R6" s="3406"/>
      <c r="S6" s="3407"/>
      <c r="T6" s="3408"/>
      <c r="U6" s="3409"/>
      <c r="V6" s="3391"/>
      <c r="W6" s="3391"/>
      <c r="X6" s="1566"/>
      <c r="Y6" s="3408"/>
      <c r="Z6" s="3409"/>
      <c r="AA6" s="3395"/>
      <c r="AB6" s="3391"/>
      <c r="AC6" s="3395"/>
    </row>
    <row r="7" spans="1:29" s="1218" customFormat="1" ht="15.75" thickBot="1">
      <c r="A7" s="2912"/>
      <c r="B7" s="2919" t="s">
        <v>528</v>
      </c>
      <c r="C7" s="518">
        <f>'数据-取费表'!B2</f>
        <v>43445</v>
      </c>
      <c r="D7" s="519">
        <v>100</v>
      </c>
      <c r="E7" s="520"/>
      <c r="F7" s="521">
        <f>SUMIF(58:58,YEAR(E7)&amp;"-"&amp;MONTH(E7),59:59)</f>
        <v>0</v>
      </c>
      <c r="G7" s="520"/>
      <c r="H7" s="519">
        <f>SUMIF(58:58,YEAR(G7)&amp;"-"&amp;MONTH(G7),59:59)</f>
        <v>0</v>
      </c>
      <c r="I7" s="520"/>
      <c r="J7" s="519">
        <f>SUMIF(58:58,YEAR(I7)&amp;"-"&amp;MONTH(I7),59:59)</f>
        <v>0</v>
      </c>
      <c r="K7" s="523"/>
      <c r="L7" s="2135"/>
      <c r="M7" s="2136"/>
      <c r="N7" s="2136"/>
      <c r="O7" s="2136"/>
      <c r="P7" s="3421" t="s">
        <v>529</v>
      </c>
      <c r="Q7" s="3423"/>
      <c r="R7" s="1567" t="s">
        <v>8</v>
      </c>
      <c r="S7" s="1568">
        <f t="shared" ref="S7:S15" si="0">F7</f>
        <v>0</v>
      </c>
      <c r="T7" s="1567" t="s">
        <v>8</v>
      </c>
      <c r="U7" s="1568">
        <f t="shared" ref="U7:U15" si="1">H7</f>
        <v>0</v>
      </c>
      <c r="V7" s="1567" t="s">
        <v>8</v>
      </c>
      <c r="W7" s="1568">
        <f t="shared" ref="W7:W15" si="2">J7</f>
        <v>0</v>
      </c>
      <c r="X7" s="1569"/>
      <c r="Y7" s="3421" t="s">
        <v>529</v>
      </c>
      <c r="Z7" s="3422"/>
      <c r="AA7" s="1570" t="e">
        <f>D7/F7</f>
        <v>#DIV/0!</v>
      </c>
      <c r="AB7" s="1570" t="e">
        <f>D7/H7</f>
        <v>#DIV/0!</v>
      </c>
      <c r="AC7" s="1570" t="e">
        <f>D7/J7</f>
        <v>#DIV/0!</v>
      </c>
    </row>
    <row r="8" spans="1:29" s="1218" customFormat="1" ht="15.75" thickBot="1">
      <c r="A8" s="2913"/>
      <c r="B8" s="2920" t="s">
        <v>530</v>
      </c>
      <c r="C8" s="524" t="s">
        <v>575</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421" t="s">
        <v>532</v>
      </c>
      <c r="Q8" s="3422"/>
      <c r="R8" s="1567" t="s">
        <v>8</v>
      </c>
      <c r="S8" s="1568">
        <f t="shared" si="0"/>
        <v>0</v>
      </c>
      <c r="T8" s="1567" t="s">
        <v>8</v>
      </c>
      <c r="U8" s="1568">
        <f t="shared" si="1"/>
        <v>0</v>
      </c>
      <c r="V8" s="1567" t="s">
        <v>8</v>
      </c>
      <c r="W8" s="1568">
        <f t="shared" si="2"/>
        <v>0</v>
      </c>
      <c r="X8" s="1569"/>
      <c r="Y8" s="3421" t="s">
        <v>532</v>
      </c>
      <c r="Z8" s="3422"/>
      <c r="AA8" s="1570" t="e">
        <f t="shared" ref="AA8:AA46" si="3">D8/F8</f>
        <v>#DIV/0!</v>
      </c>
      <c r="AB8" s="1570" t="e">
        <f t="shared" ref="AB8:AB46" si="4">D8/H8</f>
        <v>#DIV/0!</v>
      </c>
      <c r="AC8" s="1570" t="e">
        <f t="shared" ref="AC8:AC46" si="5">D8/J8</f>
        <v>#DIV/0!</v>
      </c>
    </row>
    <row r="9" spans="1:29" s="1218" customFormat="1" ht="15">
      <c r="A9" s="2914"/>
      <c r="B9" s="2921" t="s">
        <v>2752</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90" t="s">
        <v>534</v>
      </c>
      <c r="Q9" s="1149" t="str">
        <f t="shared" ref="Q9:Q15" si="6">B9</f>
        <v>用途</v>
      </c>
      <c r="R9" s="1567" t="s">
        <v>8</v>
      </c>
      <c r="S9" s="1568">
        <f t="shared" si="0"/>
        <v>100</v>
      </c>
      <c r="T9" s="1567" t="s">
        <v>8</v>
      </c>
      <c r="U9" s="1568">
        <f t="shared" si="1"/>
        <v>100</v>
      </c>
      <c r="V9" s="1567" t="s">
        <v>8</v>
      </c>
      <c r="W9" s="1568">
        <f t="shared" si="2"/>
        <v>100</v>
      </c>
      <c r="X9" s="1569"/>
      <c r="Y9" s="3336" t="s">
        <v>535</v>
      </c>
      <c r="Z9" s="1148" t="str">
        <f t="shared" ref="Z9:Z15" si="7">Q9</f>
        <v>用途</v>
      </c>
      <c r="AA9" s="1570">
        <f t="shared" si="3"/>
        <v>1</v>
      </c>
      <c r="AB9" s="1570">
        <f t="shared" si="4"/>
        <v>1</v>
      </c>
      <c r="AC9" s="1570">
        <f t="shared" si="5"/>
        <v>1</v>
      </c>
    </row>
    <row r="10" spans="1:29" s="1336" customFormat="1" ht="27">
      <c r="A10" s="2915"/>
      <c r="B10" s="2920" t="s">
        <v>2753</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90"/>
      <c r="Q10" s="1149" t="str">
        <f t="shared" si="6"/>
        <v>土地使用年限（年）</v>
      </c>
      <c r="R10" s="1567" t="s">
        <v>8</v>
      </c>
      <c r="S10" s="1568">
        <f t="shared" si="0"/>
        <v>100</v>
      </c>
      <c r="T10" s="1567" t="s">
        <v>8</v>
      </c>
      <c r="U10" s="1568">
        <f t="shared" si="1"/>
        <v>100</v>
      </c>
      <c r="V10" s="1567" t="s">
        <v>8</v>
      </c>
      <c r="W10" s="1568">
        <f t="shared" si="2"/>
        <v>100</v>
      </c>
      <c r="X10" s="1569"/>
      <c r="Y10" s="3336"/>
      <c r="Z10" s="1148" t="str">
        <f t="shared" si="7"/>
        <v>土地使用年限（年）</v>
      </c>
      <c r="AA10" s="1570">
        <f t="shared" si="3"/>
        <v>1</v>
      </c>
      <c r="AB10" s="1570">
        <f t="shared" si="4"/>
        <v>1</v>
      </c>
      <c r="AC10" s="1570">
        <f t="shared" si="5"/>
        <v>1</v>
      </c>
    </row>
    <row r="11" spans="1:29" ht="15">
      <c r="A11" s="2916"/>
      <c r="B11" s="2920"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90"/>
      <c r="Q11" s="1149" t="str">
        <f t="shared" si="6"/>
        <v>容积率</v>
      </c>
      <c r="R11" s="1567" t="s">
        <v>8</v>
      </c>
      <c r="S11" s="1568" t="e">
        <f t="shared" si="0"/>
        <v>#N/A</v>
      </c>
      <c r="T11" s="1567" t="s">
        <v>8</v>
      </c>
      <c r="U11" s="1568" t="e">
        <f t="shared" si="1"/>
        <v>#N/A</v>
      </c>
      <c r="V11" s="1567" t="s">
        <v>8</v>
      </c>
      <c r="W11" s="1568" t="e">
        <f t="shared" si="2"/>
        <v>#N/A</v>
      </c>
      <c r="X11" s="1569"/>
      <c r="Y11" s="3336"/>
      <c r="Z11" s="1148" t="str">
        <f t="shared" si="7"/>
        <v>容积率</v>
      </c>
      <c r="AA11" s="1570" t="e">
        <f t="shared" si="3"/>
        <v>#N/A</v>
      </c>
      <c r="AB11" s="1570" t="e">
        <f t="shared" si="4"/>
        <v>#N/A</v>
      </c>
      <c r="AC11" s="1570" t="e">
        <f t="shared" si="5"/>
        <v>#N/A</v>
      </c>
    </row>
    <row r="12" spans="1:29" s="1218" customFormat="1" ht="15">
      <c r="A12" s="2917"/>
      <c r="B12" s="2923">
        <v>111</v>
      </c>
      <c r="C12" s="527"/>
      <c r="D12" s="537">
        <v>100</v>
      </c>
      <c r="E12" s="538"/>
      <c r="F12" s="254">
        <f>SUMIF(70:70,E12,71:71)-SUMIF(70:70,C12,71:71)+100</f>
        <v>100</v>
      </c>
      <c r="G12" s="910"/>
      <c r="H12" s="254">
        <f>SUMIF(70:70,G12,71:71)-SUMIF(70:70,C12,71:71)+100</f>
        <v>100</v>
      </c>
      <c r="I12" s="538"/>
      <c r="J12" s="254">
        <f>SUMIF(70:70,I12,71:71)-SUMIF(70:70,C12,71:71)+100</f>
        <v>100</v>
      </c>
      <c r="K12" s="580"/>
      <c r="L12" s="2135"/>
      <c r="M12" s="2136"/>
      <c r="N12" s="2136"/>
      <c r="O12" s="2137"/>
      <c r="P12" s="3390"/>
      <c r="Q12" s="1149">
        <f t="shared" si="6"/>
        <v>111</v>
      </c>
      <c r="R12" s="1567" t="s">
        <v>8</v>
      </c>
      <c r="S12" s="1568">
        <f t="shared" si="0"/>
        <v>100</v>
      </c>
      <c r="T12" s="1567" t="s">
        <v>8</v>
      </c>
      <c r="U12" s="1568">
        <f t="shared" si="1"/>
        <v>100</v>
      </c>
      <c r="V12" s="1567" t="s">
        <v>8</v>
      </c>
      <c r="W12" s="1568">
        <f t="shared" si="2"/>
        <v>100</v>
      </c>
      <c r="X12" s="1569"/>
      <c r="Y12" s="3336"/>
      <c r="Z12" s="1148">
        <f t="shared" si="7"/>
        <v>111</v>
      </c>
      <c r="AA12" s="1570">
        <f>D12/F12</f>
        <v>1</v>
      </c>
      <c r="AB12" s="1570">
        <f>D12/H12</f>
        <v>1</v>
      </c>
      <c r="AC12" s="1570">
        <f>D12/J12</f>
        <v>1</v>
      </c>
    </row>
    <row r="13" spans="1:29" ht="15">
      <c r="A13" s="2917"/>
      <c r="B13" s="2923">
        <v>111</v>
      </c>
      <c r="C13" s="538"/>
      <c r="D13" s="539">
        <v>100</v>
      </c>
      <c r="E13" s="538"/>
      <c r="F13" s="254">
        <f>SUMIF(72:72,E13,73:73)-SUMIF(72:72,C13,73:73)+100</f>
        <v>100</v>
      </c>
      <c r="G13" s="910"/>
      <c r="H13" s="539">
        <f>SUMIF(72:72,G13,73:73)-SUMIF(72:72,C13,73:73)+100</f>
        <v>100</v>
      </c>
      <c r="I13" s="538"/>
      <c r="J13" s="539">
        <f>SUMIF(72:72,I13,73:73)-SUMIF(72:72,C13,73:73)+100</f>
        <v>100</v>
      </c>
      <c r="K13" s="580"/>
      <c r="L13" s="2142"/>
      <c r="M13" s="2134"/>
      <c r="N13" s="2134"/>
      <c r="O13" s="2141"/>
      <c r="P13" s="3390"/>
      <c r="Q13" s="1149">
        <f t="shared" si="6"/>
        <v>111</v>
      </c>
      <c r="R13" s="1567" t="s">
        <v>8</v>
      </c>
      <c r="S13" s="1568">
        <f t="shared" si="0"/>
        <v>100</v>
      </c>
      <c r="T13" s="1567" t="s">
        <v>8</v>
      </c>
      <c r="U13" s="1568">
        <f t="shared" si="1"/>
        <v>100</v>
      </c>
      <c r="V13" s="1567" t="s">
        <v>8</v>
      </c>
      <c r="W13" s="1568">
        <f t="shared" si="2"/>
        <v>100</v>
      </c>
      <c r="X13" s="1569"/>
      <c r="Y13" s="3336"/>
      <c r="Z13" s="1148">
        <f t="shared" si="7"/>
        <v>111</v>
      </c>
      <c r="AA13" s="1570">
        <f t="shared" si="3"/>
        <v>1</v>
      </c>
      <c r="AB13" s="1570">
        <f t="shared" si="4"/>
        <v>1</v>
      </c>
      <c r="AC13" s="1570">
        <f t="shared" si="5"/>
        <v>1</v>
      </c>
    </row>
    <row r="14" spans="1:29" ht="15.75" thickBot="1">
      <c r="A14" s="2918"/>
      <c r="B14" s="2924">
        <v>111</v>
      </c>
      <c r="C14" s="544"/>
      <c r="D14" s="545">
        <v>100</v>
      </c>
      <c r="E14" s="544"/>
      <c r="F14" s="545">
        <f>SUMIF(74:74,E14,75:75)-SUMIF(74:74,C14,75:75)+100</f>
        <v>100</v>
      </c>
      <c r="G14" s="910"/>
      <c r="H14" s="545">
        <f>SUMIF(74:74,G14,75:75)-SUMIF(74:74,C14,75:75)+100</f>
        <v>100</v>
      </c>
      <c r="I14" s="538"/>
      <c r="J14" s="545">
        <f>SUMIF(74:74,I14,75:75)-SUMIF(74:74,C14,75:75)+100</f>
        <v>100</v>
      </c>
      <c r="K14" s="580"/>
      <c r="L14" s="2142"/>
      <c r="M14" s="2134"/>
      <c r="N14" s="2134"/>
      <c r="O14" s="2141"/>
      <c r="P14" s="3390"/>
      <c r="Q14" s="1149">
        <f t="shared" si="6"/>
        <v>111</v>
      </c>
      <c r="R14" s="1567" t="s">
        <v>8</v>
      </c>
      <c r="S14" s="1568">
        <f t="shared" si="0"/>
        <v>100</v>
      </c>
      <c r="T14" s="1567" t="s">
        <v>8</v>
      </c>
      <c r="U14" s="1568">
        <f t="shared" si="1"/>
        <v>100</v>
      </c>
      <c r="V14" s="1567" t="s">
        <v>8</v>
      </c>
      <c r="W14" s="1568">
        <f t="shared" si="2"/>
        <v>100</v>
      </c>
      <c r="X14" s="1569"/>
      <c r="Y14" s="3336"/>
      <c r="Z14" s="1148">
        <f t="shared" si="7"/>
        <v>111</v>
      </c>
      <c r="AA14" s="1570">
        <f t="shared" si="3"/>
        <v>1</v>
      </c>
      <c r="AB14" s="1570">
        <f t="shared" si="4"/>
        <v>1</v>
      </c>
      <c r="AC14" s="1570">
        <f t="shared" si="5"/>
        <v>1</v>
      </c>
    </row>
    <row r="15" spans="1:29" ht="71.25">
      <c r="A15" s="2910" t="s">
        <v>2750</v>
      </c>
      <c r="B15" s="166" t="s">
        <v>540</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2"/>
      <c r="M15" s="2134"/>
      <c r="N15" s="2134"/>
      <c r="O15" s="2141"/>
      <c r="P15" s="3424" t="s">
        <v>539</v>
      </c>
      <c r="Q15" s="1571" t="str">
        <f t="shared" si="6"/>
        <v>商业繁华度</v>
      </c>
      <c r="R15" s="1572" t="s">
        <v>8</v>
      </c>
      <c r="S15" s="1573">
        <f t="shared" si="0"/>
        <v>100</v>
      </c>
      <c r="T15" s="1572" t="s">
        <v>8</v>
      </c>
      <c r="U15" s="1573">
        <f t="shared" si="1"/>
        <v>100</v>
      </c>
      <c r="V15" s="1572" t="s">
        <v>8</v>
      </c>
      <c r="W15" s="1573">
        <f t="shared" si="2"/>
        <v>100</v>
      </c>
      <c r="X15" s="1566"/>
      <c r="Y15" s="3424" t="s">
        <v>539</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7"/>
      <c r="L16" s="2142"/>
      <c r="M16" s="2134"/>
      <c r="N16" s="2134"/>
      <c r="O16" s="2141"/>
      <c r="P16" s="3425"/>
      <c r="Q16" s="1571"/>
      <c r="R16" s="1572"/>
      <c r="S16" s="1573"/>
      <c r="T16" s="1572"/>
      <c r="U16" s="1573"/>
      <c r="V16" s="1572"/>
      <c r="W16" s="1573"/>
      <c r="X16" s="1566"/>
      <c r="Y16" s="3425"/>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2"/>
      <c r="M17" s="2134"/>
      <c r="N17" s="2134"/>
      <c r="O17" s="2141"/>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2"/>
      <c r="M18" s="2134"/>
      <c r="N18" s="2134"/>
      <c r="O18" s="2141"/>
      <c r="P18" s="3425"/>
      <c r="Q18" s="1571"/>
      <c r="R18" s="1572"/>
      <c r="S18" s="1573"/>
      <c r="T18" s="1572"/>
      <c r="U18" s="1573"/>
      <c r="V18" s="1572"/>
      <c r="W18" s="1573"/>
      <c r="X18" s="1566"/>
      <c r="Y18" s="3425"/>
      <c r="Z18" s="1574"/>
      <c r="AA18" s="1575">
        <v>1</v>
      </c>
      <c r="AB18" s="1575">
        <v>1</v>
      </c>
      <c r="AC18" s="1575">
        <v>1</v>
      </c>
    </row>
    <row r="19" spans="1:29" ht="15">
      <c r="A19" s="531"/>
      <c r="B19" s="2600" t="s">
        <v>2543</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6"/>
      <c r="L19" s="2142"/>
      <c r="M19" s="2134"/>
      <c r="N19" s="2134"/>
      <c r="O19" s="2141"/>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7"/>
      <c r="L20" s="2142"/>
      <c r="M20" s="2134"/>
      <c r="N20" s="2134"/>
      <c r="O20" s="2141"/>
      <c r="P20" s="3425"/>
      <c r="Q20" s="1571"/>
      <c r="R20" s="1572"/>
      <c r="S20" s="1573"/>
      <c r="T20" s="1572"/>
      <c r="U20" s="1573"/>
      <c r="V20" s="1572"/>
      <c r="W20" s="1573"/>
      <c r="X20" s="1566"/>
      <c r="Y20" s="3425"/>
      <c r="Z20" s="1574"/>
      <c r="AA20" s="1575">
        <v>1</v>
      </c>
      <c r="AB20" s="1575">
        <v>1</v>
      </c>
      <c r="AC20" s="1575">
        <v>1</v>
      </c>
    </row>
    <row r="21" spans="1:29" ht="15">
      <c r="A21" s="531"/>
      <c r="B21" s="2593" t="s">
        <v>2555</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6"/>
      <c r="L21" s="2142"/>
      <c r="M21" s="2134"/>
      <c r="N21" s="2134"/>
      <c r="O21" s="2141"/>
      <c r="P21" s="3425"/>
      <c r="Q21" s="2579" t="str">
        <f>B21</f>
        <v>基础设施水平</v>
      </c>
      <c r="R21" s="1572" t="s">
        <v>8</v>
      </c>
      <c r="S21" s="1573">
        <f>F21</f>
        <v>100</v>
      </c>
      <c r="T21" s="1572" t="s">
        <v>8</v>
      </c>
      <c r="U21" s="1573">
        <f>H21</f>
        <v>100</v>
      </c>
      <c r="V21" s="1572" t="s">
        <v>8</v>
      </c>
      <c r="W21" s="1573">
        <f>J21</f>
        <v>100</v>
      </c>
      <c r="X21" s="2581"/>
      <c r="Y21" s="3425"/>
      <c r="Z21" s="2580" t="str">
        <f>Q21</f>
        <v>基础设施水平</v>
      </c>
      <c r="AA21" s="1575">
        <f t="shared" ref="AA21" si="8">D21/F21</f>
        <v>1</v>
      </c>
      <c r="AB21" s="1575">
        <f t="shared" ref="AB21" si="9">D21/H21</f>
        <v>1</v>
      </c>
      <c r="AC21" s="1575">
        <f t="shared" ref="AC21" si="10">D21/J21</f>
        <v>1</v>
      </c>
    </row>
    <row r="22" spans="1:29" ht="15">
      <c r="A22" s="531"/>
      <c r="B22" s="920"/>
      <c r="C22" s="872"/>
      <c r="D22" s="554"/>
      <c r="E22" s="575"/>
      <c r="F22" s="556"/>
      <c r="G22" s="575"/>
      <c r="H22" s="554"/>
      <c r="I22" s="575"/>
      <c r="J22" s="554"/>
      <c r="K22" s="2602"/>
      <c r="L22" s="2142"/>
      <c r="M22" s="2134"/>
      <c r="N22" s="2134"/>
      <c r="O22" s="2141"/>
      <c r="P22" s="3425"/>
      <c r="Q22" s="2579"/>
      <c r="R22" s="1572"/>
      <c r="S22" s="1573"/>
      <c r="T22" s="1572"/>
      <c r="U22" s="1573"/>
      <c r="V22" s="1572"/>
      <c r="W22" s="1573"/>
      <c r="X22" s="2581"/>
      <c r="Y22" s="3425"/>
      <c r="Z22" s="2580"/>
      <c r="AA22" s="1575">
        <v>1</v>
      </c>
      <c r="AB22" s="1575">
        <v>1</v>
      </c>
      <c r="AC22" s="1575">
        <v>1</v>
      </c>
    </row>
    <row r="23" spans="1:29" ht="15">
      <c r="A23" s="531"/>
      <c r="B23" s="870" t="s">
        <v>297</v>
      </c>
      <c r="C23" s="898">
        <f>估价对象房地状况!C9</f>
        <v>0</v>
      </c>
      <c r="D23" s="558">
        <v>100</v>
      </c>
      <c r="E23" s="561"/>
      <c r="F23" s="562">
        <f>SUMIF(84:84,E24,85:85)-SUMIF(84:84,C24,85:85)+100</f>
        <v>100</v>
      </c>
      <c r="G23" s="563"/>
      <c r="H23" s="558">
        <f>SUMIF(84:84,G24,85:85)-SUMIF(84:84,C24,85:85)+100</f>
        <v>100</v>
      </c>
      <c r="I23" s="561"/>
      <c r="J23" s="558">
        <f>SUMIF(84:84,I24,85:85)-SUMIF(84:84,C24,85:85)+100</f>
        <v>100</v>
      </c>
      <c r="K23" s="896"/>
      <c r="L23" s="2142"/>
      <c r="M23" s="2134"/>
      <c r="N23" s="2134"/>
      <c r="O23" s="2141"/>
      <c r="P23" s="3425"/>
      <c r="Q23" s="1571" t="str">
        <f>B23</f>
        <v>自然及人文环境</v>
      </c>
      <c r="R23" s="1572" t="s">
        <v>8</v>
      </c>
      <c r="S23" s="1573">
        <f>F23</f>
        <v>100</v>
      </c>
      <c r="T23" s="1572" t="s">
        <v>8</v>
      </c>
      <c r="U23" s="1573">
        <f>H23</f>
        <v>100</v>
      </c>
      <c r="V23" s="1572" t="s">
        <v>8</v>
      </c>
      <c r="W23" s="1573">
        <f>J23</f>
        <v>100</v>
      </c>
      <c r="X23" s="1566"/>
      <c r="Y23" s="3425"/>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7"/>
      <c r="L24" s="2142"/>
      <c r="M24" s="2134"/>
      <c r="N24" s="2134"/>
      <c r="O24" s="2141"/>
      <c r="P24" s="3425"/>
      <c r="Q24" s="1571"/>
      <c r="R24" s="1572"/>
      <c r="S24" s="1573"/>
      <c r="T24" s="1572"/>
      <c r="U24" s="1573"/>
      <c r="V24" s="1572"/>
      <c r="W24" s="1573"/>
      <c r="X24" s="1566"/>
      <c r="Y24" s="3425"/>
      <c r="Z24" s="1574"/>
      <c r="AA24" s="1575">
        <v>1</v>
      </c>
      <c r="AB24" s="1575">
        <v>1</v>
      </c>
      <c r="AC24" s="1575">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25"/>
      <c r="Q25" s="1571" t="str">
        <f t="shared" ref="Q25:Q46" si="11">B25</f>
        <v>临街状况</v>
      </c>
      <c r="R25" s="1572" t="s">
        <v>8</v>
      </c>
      <c r="S25" s="1573">
        <f>F25</f>
        <v>100</v>
      </c>
      <c r="T25" s="1572" t="s">
        <v>8</v>
      </c>
      <c r="U25" s="1573">
        <f>H25</f>
        <v>100</v>
      </c>
      <c r="V25" s="1572" t="s">
        <v>8</v>
      </c>
      <c r="W25" s="1573">
        <f>J25</f>
        <v>100</v>
      </c>
      <c r="X25" s="1566"/>
      <c r="Y25" s="3425"/>
      <c r="Z25" s="1574" t="str">
        <f>Q25</f>
        <v>临街状况</v>
      </c>
      <c r="AA25" s="1575">
        <f t="shared" si="3"/>
        <v>1</v>
      </c>
      <c r="AB25" s="1575">
        <f t="shared" si="4"/>
        <v>1</v>
      </c>
      <c r="AC25" s="1575">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25"/>
      <c r="Q26" s="1571" t="str">
        <f t="shared" si="11"/>
        <v>平面位置/可视性</v>
      </c>
      <c r="R26" s="1572" t="s">
        <v>8</v>
      </c>
      <c r="S26" s="1573">
        <f>F26</f>
        <v>100</v>
      </c>
      <c r="T26" s="1572" t="s">
        <v>8</v>
      </c>
      <c r="U26" s="1573">
        <f>H26</f>
        <v>100</v>
      </c>
      <c r="V26" s="1572" t="s">
        <v>8</v>
      </c>
      <c r="W26" s="1573">
        <f>J26</f>
        <v>100</v>
      </c>
      <c r="X26" s="1566"/>
      <c r="Y26" s="3425"/>
      <c r="Z26" s="1574" t="str">
        <f>Q26</f>
        <v>平面位置/可视性</v>
      </c>
      <c r="AA26" s="1575">
        <f t="shared" si="3"/>
        <v>1</v>
      </c>
      <c r="AB26" s="1575">
        <f t="shared" si="4"/>
        <v>1</v>
      </c>
      <c r="AC26" s="1575">
        <f t="shared" si="5"/>
        <v>1</v>
      </c>
    </row>
    <row r="27" spans="1:29" s="1218" customFormat="1" ht="15">
      <c r="A27" s="535"/>
      <c r="B27" s="870" t="s">
        <v>758</v>
      </c>
      <c r="C27" s="899"/>
      <c r="D27" s="874">
        <v>100</v>
      </c>
      <c r="E27" s="899"/>
      <c r="F27" s="875">
        <f>SUMIF(90:90,E27,91:91)-SUMIF(90:90,C27,91:91)+100</f>
        <v>100</v>
      </c>
      <c r="G27" s="899"/>
      <c r="H27" s="874">
        <f>SUMIF(90:90,G27,91:91)-SUMIF(90:90,C27,91:91)+100</f>
        <v>100</v>
      </c>
      <c r="I27" s="899"/>
      <c r="J27" s="874">
        <f>SUMIF(90:90,I27,91:91)-SUMIF(90:90,C27,91:91)+100</f>
        <v>100</v>
      </c>
      <c r="K27" s="583"/>
      <c r="L27" s="2135"/>
      <c r="M27" s="2136"/>
      <c r="N27" s="2136"/>
      <c r="O27" s="2137"/>
      <c r="P27" s="3425"/>
      <c r="Q27" s="1149" t="str">
        <f t="shared" si="11"/>
        <v>人流量</v>
      </c>
      <c r="R27" s="1567" t="s">
        <v>8</v>
      </c>
      <c r="S27" s="1568">
        <f>F27</f>
        <v>100</v>
      </c>
      <c r="T27" s="1567" t="s">
        <v>8</v>
      </c>
      <c r="U27" s="1568">
        <f>H27</f>
        <v>100</v>
      </c>
      <c r="V27" s="1567" t="s">
        <v>8</v>
      </c>
      <c r="W27" s="1568">
        <f>J27</f>
        <v>100</v>
      </c>
      <c r="X27" s="1569"/>
      <c r="Y27" s="3425"/>
      <c r="Z27" s="1148" t="str">
        <f>Q27</f>
        <v>人流量</v>
      </c>
      <c r="AA27" s="1575">
        <f>D27/F27</f>
        <v>1</v>
      </c>
      <c r="AB27" s="1575">
        <f>D27/H27</f>
        <v>1</v>
      </c>
      <c r="AC27" s="1575">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2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5"/>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25"/>
      <c r="Q29" s="1571">
        <f t="shared" si="11"/>
        <v>111</v>
      </c>
      <c r="R29" s="1572" t="s">
        <v>8</v>
      </c>
      <c r="S29" s="1573">
        <f t="shared" si="12"/>
        <v>100</v>
      </c>
      <c r="T29" s="1572" t="s">
        <v>8</v>
      </c>
      <c r="U29" s="1573">
        <f t="shared" si="13"/>
        <v>100</v>
      </c>
      <c r="V29" s="1572" t="s">
        <v>8</v>
      </c>
      <c r="W29" s="1573">
        <f t="shared" si="14"/>
        <v>100</v>
      </c>
      <c r="X29" s="1566"/>
      <c r="Y29" s="3425"/>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
      <c r="A32" s="2907" t="s">
        <v>2751</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26" t="s">
        <v>549</v>
      </c>
      <c r="Q32" s="1571" t="str">
        <f t="shared" si="11"/>
        <v>商业类型</v>
      </c>
      <c r="R32" s="1572" t="s">
        <v>8</v>
      </c>
      <c r="S32" s="1573">
        <f t="shared" si="12"/>
        <v>100</v>
      </c>
      <c r="T32" s="1572" t="s">
        <v>8</v>
      </c>
      <c r="U32" s="1573">
        <f t="shared" si="13"/>
        <v>100</v>
      </c>
      <c r="V32" s="1572" t="s">
        <v>8</v>
      </c>
      <c r="W32" s="1573">
        <f t="shared" si="14"/>
        <v>100</v>
      </c>
      <c r="X32" s="1566"/>
      <c r="Y32" s="3427" t="s">
        <v>549</v>
      </c>
      <c r="Z32" s="1574" t="str">
        <f t="shared" si="15"/>
        <v>商业类型</v>
      </c>
      <c r="AA32" s="1575">
        <f t="shared" si="3"/>
        <v>1</v>
      </c>
      <c r="AB32" s="1575">
        <f t="shared" si="4"/>
        <v>1</v>
      </c>
      <c r="AC32" s="1575">
        <f t="shared" si="5"/>
        <v>1</v>
      </c>
    </row>
    <row r="33" spans="1:29" s="1337" customFormat="1" ht="15">
      <c r="A33" s="602"/>
      <c r="B33" s="526" t="s">
        <v>725</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27"/>
      <c r="Q33" s="1604" t="str">
        <f t="shared" si="11"/>
        <v>项目建筑规模</v>
      </c>
      <c r="R33" s="1576" t="s">
        <v>8</v>
      </c>
      <c r="S33" s="1577" t="e">
        <f t="shared" si="12"/>
        <v>#N/A</v>
      </c>
      <c r="T33" s="1576" t="s">
        <v>8</v>
      </c>
      <c r="U33" s="1577" t="e">
        <f t="shared" si="13"/>
        <v>#N/A</v>
      </c>
      <c r="V33" s="1576" t="s">
        <v>8</v>
      </c>
      <c r="W33" s="1577" t="e">
        <f t="shared" si="14"/>
        <v>#N/A</v>
      </c>
      <c r="X33" s="1578"/>
      <c r="Y33" s="3427"/>
      <c r="Z33" s="1579" t="str">
        <f t="shared" si="15"/>
        <v>项目建筑规模</v>
      </c>
      <c r="AA33" s="1575" t="e">
        <f t="shared" si="3"/>
        <v>#N/A</v>
      </c>
      <c r="AB33" s="1575" t="e">
        <f t="shared" si="4"/>
        <v>#N/A</v>
      </c>
      <c r="AC33" s="1575" t="e">
        <f t="shared" si="5"/>
        <v>#N/A</v>
      </c>
    </row>
    <row r="34" spans="1:29" ht="15">
      <c r="A34" s="593"/>
      <c r="B34" s="526" t="s">
        <v>726</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2"/>
      <c r="M34" s="2134"/>
      <c r="N34" s="2134"/>
      <c r="O34" s="2141"/>
      <c r="P34" s="3427"/>
      <c r="Q34" s="1571" t="str">
        <f t="shared" si="11"/>
        <v>建筑结构</v>
      </c>
      <c r="R34" s="1572" t="s">
        <v>8</v>
      </c>
      <c r="S34" s="1573">
        <f t="shared" si="12"/>
        <v>100</v>
      </c>
      <c r="T34" s="1572" t="s">
        <v>8</v>
      </c>
      <c r="U34" s="1573">
        <f t="shared" si="13"/>
        <v>100</v>
      </c>
      <c r="V34" s="1572" t="s">
        <v>8</v>
      </c>
      <c r="W34" s="1573">
        <f t="shared" si="14"/>
        <v>100</v>
      </c>
      <c r="X34" s="1566"/>
      <c r="Y34" s="3427"/>
      <c r="Z34" s="1574" t="str">
        <f t="shared" si="15"/>
        <v>建筑结构</v>
      </c>
      <c r="AA34" s="1575">
        <f t="shared" si="3"/>
        <v>1</v>
      </c>
      <c r="AB34" s="1575">
        <f t="shared" si="4"/>
        <v>1</v>
      </c>
      <c r="AC34" s="1575">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27"/>
      <c r="Q35" s="1571" t="str">
        <f t="shared" si="11"/>
        <v>公共部分装修</v>
      </c>
      <c r="R35" s="1572" t="s">
        <v>8</v>
      </c>
      <c r="S35" s="1573">
        <f t="shared" si="12"/>
        <v>100</v>
      </c>
      <c r="T35" s="1572" t="s">
        <v>8</v>
      </c>
      <c r="U35" s="1573">
        <f t="shared" si="13"/>
        <v>100</v>
      </c>
      <c r="V35" s="1572" t="s">
        <v>8</v>
      </c>
      <c r="W35" s="1573">
        <f t="shared" si="14"/>
        <v>100</v>
      </c>
      <c r="X35" s="1566"/>
      <c r="Y35" s="3427"/>
      <c r="Z35" s="1574" t="str">
        <f t="shared" si="15"/>
        <v>公共部分装修</v>
      </c>
      <c r="AA35" s="1575">
        <f t="shared" si="3"/>
        <v>1</v>
      </c>
      <c r="AB35" s="1575">
        <f t="shared" si="4"/>
        <v>1</v>
      </c>
      <c r="AC35" s="1575">
        <f t="shared" si="5"/>
        <v>1</v>
      </c>
    </row>
    <row r="36" spans="1:29" ht="15">
      <c r="A36" s="593"/>
      <c r="B36" s="526" t="s">
        <v>763</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2"/>
      <c r="M36" s="2134"/>
      <c r="N36" s="2134"/>
      <c r="O36" s="2141"/>
      <c r="P36" s="3427"/>
      <c r="Q36" s="1571" t="str">
        <f t="shared" si="11"/>
        <v>成新度</v>
      </c>
      <c r="R36" s="1572" t="s">
        <v>8</v>
      </c>
      <c r="S36" s="1573" t="e">
        <f t="shared" si="12"/>
        <v>#N/A</v>
      </c>
      <c r="T36" s="1572" t="s">
        <v>8</v>
      </c>
      <c r="U36" s="1573" t="e">
        <f t="shared" si="13"/>
        <v>#N/A</v>
      </c>
      <c r="V36" s="1572" t="s">
        <v>8</v>
      </c>
      <c r="W36" s="1573" t="e">
        <f t="shared" si="14"/>
        <v>#N/A</v>
      </c>
      <c r="X36" s="1566"/>
      <c r="Y36" s="3427"/>
      <c r="Z36" s="1574" t="str">
        <f t="shared" si="15"/>
        <v>成新度</v>
      </c>
      <c r="AA36" s="1575" t="e">
        <f t="shared" si="3"/>
        <v>#N/A</v>
      </c>
      <c r="AB36" s="1575" t="e">
        <f t="shared" si="4"/>
        <v>#N/A</v>
      </c>
      <c r="AC36" s="1575" t="e">
        <f t="shared" si="5"/>
        <v>#N/A</v>
      </c>
    </row>
    <row r="37" spans="1:29" s="1218" customFormat="1" ht="15">
      <c r="A37" s="599"/>
      <c r="B37" s="1895"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27"/>
      <c r="Q37" s="1149" t="str">
        <f t="shared" si="11"/>
        <v>市政基础设施</v>
      </c>
      <c r="R37" s="1567" t="s">
        <v>8</v>
      </c>
      <c r="S37" s="1568">
        <f t="shared" si="12"/>
        <v>100</v>
      </c>
      <c r="T37" s="1567" t="s">
        <v>8</v>
      </c>
      <c r="U37" s="1568">
        <f t="shared" si="13"/>
        <v>100</v>
      </c>
      <c r="V37" s="1567" t="s">
        <v>8</v>
      </c>
      <c r="W37" s="1568">
        <f t="shared" si="14"/>
        <v>100</v>
      </c>
      <c r="X37" s="1569"/>
      <c r="Y37" s="3427"/>
      <c r="Z37" s="1148" t="str">
        <f t="shared" si="15"/>
        <v>市政基础设施</v>
      </c>
      <c r="AA37" s="1570">
        <f t="shared" si="3"/>
        <v>1</v>
      </c>
      <c r="AB37" s="1570">
        <f t="shared" si="4"/>
        <v>1</v>
      </c>
      <c r="AC37" s="1570">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27" t="s">
        <v>765</v>
      </c>
      <c r="Q38" s="1571" t="str">
        <f t="shared" si="11"/>
        <v>业态</v>
      </c>
      <c r="R38" s="1572" t="s">
        <v>8</v>
      </c>
      <c r="S38" s="1573">
        <f t="shared" si="12"/>
        <v>100</v>
      </c>
      <c r="T38" s="1572" t="s">
        <v>8</v>
      </c>
      <c r="U38" s="1573">
        <f t="shared" si="13"/>
        <v>100</v>
      </c>
      <c r="V38" s="1572" t="s">
        <v>8</v>
      </c>
      <c r="W38" s="1573">
        <f t="shared" si="14"/>
        <v>100</v>
      </c>
      <c r="X38" s="1566"/>
      <c r="Y38" s="3427" t="s">
        <v>765</v>
      </c>
      <c r="Z38" s="1574" t="str">
        <f t="shared" si="15"/>
        <v>业态</v>
      </c>
      <c r="AA38" s="1575">
        <f t="shared" si="3"/>
        <v>1</v>
      </c>
      <c r="AB38" s="1575">
        <f t="shared" si="4"/>
        <v>1</v>
      </c>
      <c r="AC38" s="1575">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27"/>
      <c r="Q39" s="1571" t="str">
        <f t="shared" si="11"/>
        <v>层高</v>
      </c>
      <c r="R39" s="1572" t="s">
        <v>8</v>
      </c>
      <c r="S39" s="1573">
        <f t="shared" si="12"/>
        <v>100</v>
      </c>
      <c r="T39" s="1572" t="s">
        <v>8</v>
      </c>
      <c r="U39" s="1573">
        <f t="shared" si="13"/>
        <v>100</v>
      </c>
      <c r="V39" s="1572" t="s">
        <v>8</v>
      </c>
      <c r="W39" s="1573">
        <f t="shared" si="14"/>
        <v>100</v>
      </c>
      <c r="X39" s="1566"/>
      <c r="Y39" s="3427"/>
      <c r="Z39" s="1574" t="str">
        <f t="shared" si="15"/>
        <v>层高</v>
      </c>
      <c r="AA39" s="1575">
        <f t="shared" si="3"/>
        <v>1</v>
      </c>
      <c r="AB39" s="1575">
        <f t="shared" si="4"/>
        <v>1</v>
      </c>
      <c r="AC39" s="1575">
        <f t="shared" si="5"/>
        <v>1</v>
      </c>
    </row>
    <row r="40" spans="1:29" ht="15">
      <c r="A40" s="593"/>
      <c r="B40" s="526" t="s">
        <v>767</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2"/>
      <c r="M40" s="2134"/>
      <c r="N40" s="2134"/>
      <c r="O40" s="2141"/>
      <c r="P40" s="3427"/>
      <c r="Q40" s="1571" t="str">
        <f t="shared" si="11"/>
        <v>单套建筑面积</v>
      </c>
      <c r="R40" s="1572" t="s">
        <v>8</v>
      </c>
      <c r="S40" s="1573">
        <f t="shared" si="12"/>
        <v>100</v>
      </c>
      <c r="T40" s="1572" t="s">
        <v>8</v>
      </c>
      <c r="U40" s="1573">
        <f t="shared" si="13"/>
        <v>100</v>
      </c>
      <c r="V40" s="1572" t="s">
        <v>8</v>
      </c>
      <c r="W40" s="1573">
        <f t="shared" si="14"/>
        <v>100</v>
      </c>
      <c r="X40" s="1566"/>
      <c r="Y40" s="3427"/>
      <c r="Z40" s="1574" t="str">
        <f t="shared" si="15"/>
        <v>单套建筑面积</v>
      </c>
      <c r="AA40" s="1575">
        <f t="shared" si="3"/>
        <v>1</v>
      </c>
      <c r="AB40" s="1575">
        <f t="shared" si="4"/>
        <v>1</v>
      </c>
      <c r="AC40" s="1575">
        <f t="shared" si="5"/>
        <v>1</v>
      </c>
    </row>
    <row r="41" spans="1:29" s="1337" customFormat="1" ht="15">
      <c r="A41" s="602"/>
      <c r="B41" s="902"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27"/>
      <c r="Q41" s="1604" t="str">
        <f t="shared" si="11"/>
        <v>进深比</v>
      </c>
      <c r="R41" s="1576" t="s">
        <v>8</v>
      </c>
      <c r="S41" s="1577">
        <f t="shared" si="12"/>
        <v>100</v>
      </c>
      <c r="T41" s="1576" t="s">
        <v>8</v>
      </c>
      <c r="U41" s="1577">
        <f t="shared" si="13"/>
        <v>100</v>
      </c>
      <c r="V41" s="1576" t="s">
        <v>8</v>
      </c>
      <c r="W41" s="1577">
        <f t="shared" si="14"/>
        <v>100</v>
      </c>
      <c r="X41" s="1578"/>
      <c r="Y41" s="3427"/>
      <c r="Z41" s="1579" t="str">
        <f t="shared" si="15"/>
        <v>进深比</v>
      </c>
      <c r="AA41" s="1575">
        <f t="shared" si="3"/>
        <v>1</v>
      </c>
      <c r="AB41" s="1575">
        <f t="shared" si="4"/>
        <v>1</v>
      </c>
      <c r="AC41" s="1575">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27"/>
      <c r="Q42" s="1571" t="str">
        <f t="shared" si="11"/>
        <v>内部装修</v>
      </c>
      <c r="R42" s="1572" t="s">
        <v>8</v>
      </c>
      <c r="S42" s="1573">
        <f t="shared" si="12"/>
        <v>100</v>
      </c>
      <c r="T42" s="1572" t="s">
        <v>8</v>
      </c>
      <c r="U42" s="1573">
        <f t="shared" si="13"/>
        <v>100</v>
      </c>
      <c r="V42" s="1572" t="s">
        <v>8</v>
      </c>
      <c r="W42" s="1573">
        <f t="shared" si="14"/>
        <v>100</v>
      </c>
      <c r="X42" s="1566"/>
      <c r="Y42" s="3427"/>
      <c r="Z42" s="1574" t="str">
        <f t="shared" si="15"/>
        <v>内部装修</v>
      </c>
      <c r="AA42" s="1575">
        <f t="shared" si="3"/>
        <v>1</v>
      </c>
      <c r="AB42" s="1575">
        <f t="shared" si="4"/>
        <v>1</v>
      </c>
      <c r="AC42" s="1575">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27"/>
      <c r="Q43" s="1571" t="str">
        <f t="shared" si="11"/>
        <v>内部装修维护情况</v>
      </c>
      <c r="R43" s="1572" t="s">
        <v>8</v>
      </c>
      <c r="S43" s="1573">
        <f t="shared" si="12"/>
        <v>100</v>
      </c>
      <c r="T43" s="1572" t="s">
        <v>8</v>
      </c>
      <c r="U43" s="1573">
        <f t="shared" si="13"/>
        <v>100</v>
      </c>
      <c r="V43" s="1572" t="s">
        <v>8</v>
      </c>
      <c r="W43" s="1573">
        <f t="shared" si="14"/>
        <v>100</v>
      </c>
      <c r="X43" s="1566"/>
      <c r="Y43" s="3427"/>
      <c r="Z43" s="1574" t="str">
        <f t="shared" si="15"/>
        <v>内部装修维护情况</v>
      </c>
      <c r="AA43" s="1575">
        <f t="shared" si="3"/>
        <v>1</v>
      </c>
      <c r="AB43" s="1575">
        <f t="shared" si="4"/>
        <v>1</v>
      </c>
      <c r="AC43" s="1575">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27"/>
      <c r="Q44" s="1149">
        <f t="shared" si="11"/>
        <v>111</v>
      </c>
      <c r="R44" s="1567" t="s">
        <v>8</v>
      </c>
      <c r="S44" s="1568">
        <f t="shared" si="12"/>
        <v>100</v>
      </c>
      <c r="T44" s="1567" t="s">
        <v>8</v>
      </c>
      <c r="U44" s="1568">
        <f t="shared" si="13"/>
        <v>100</v>
      </c>
      <c r="V44" s="1567" t="s">
        <v>8</v>
      </c>
      <c r="W44" s="1568">
        <f t="shared" si="14"/>
        <v>100</v>
      </c>
      <c r="X44" s="1569"/>
      <c r="Y44" s="3427"/>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27"/>
      <c r="Q45" s="1571">
        <f t="shared" si="11"/>
        <v>111</v>
      </c>
      <c r="R45" s="1572" t="s">
        <v>8</v>
      </c>
      <c r="S45" s="1573">
        <f t="shared" si="12"/>
        <v>100</v>
      </c>
      <c r="T45" s="1572" t="s">
        <v>8</v>
      </c>
      <c r="U45" s="1573">
        <f t="shared" si="13"/>
        <v>100</v>
      </c>
      <c r="V45" s="1572" t="s">
        <v>8</v>
      </c>
      <c r="W45" s="1573">
        <f t="shared" si="14"/>
        <v>100</v>
      </c>
      <c r="X45" s="1566"/>
      <c r="Y45" s="3427"/>
      <c r="Z45" s="1574">
        <f t="shared" si="15"/>
        <v>111</v>
      </c>
      <c r="AA45" s="1575">
        <f t="shared" si="3"/>
        <v>1</v>
      </c>
      <c r="AB45" s="1575">
        <f t="shared" si="4"/>
        <v>1</v>
      </c>
      <c r="AC45" s="1575">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81"/>
      <c r="Q46" s="1571">
        <f t="shared" si="11"/>
        <v>111</v>
      </c>
      <c r="R46" s="1572" t="s">
        <v>8</v>
      </c>
      <c r="S46" s="1573">
        <f t="shared" si="12"/>
        <v>100</v>
      </c>
      <c r="T46" s="1572" t="s">
        <v>8</v>
      </c>
      <c r="U46" s="1573">
        <f t="shared" si="13"/>
        <v>100</v>
      </c>
      <c r="V46" s="1572" t="s">
        <v>8</v>
      </c>
      <c r="W46" s="1573">
        <f t="shared" si="14"/>
        <v>100</v>
      </c>
      <c r="X46" s="1566"/>
      <c r="Y46" s="3481"/>
      <c r="Z46" s="1574">
        <f t="shared" si="15"/>
        <v>111</v>
      </c>
      <c r="AA46" s="1575">
        <f t="shared" si="3"/>
        <v>1</v>
      </c>
      <c r="AB46" s="1575">
        <f t="shared" si="4"/>
        <v>1</v>
      </c>
      <c r="AC46" s="1575">
        <f t="shared" si="5"/>
        <v>1</v>
      </c>
    </row>
    <row r="47" spans="1:29" ht="15">
      <c r="A47" s="606" t="s">
        <v>735</v>
      </c>
      <c r="B47" s="885"/>
      <c r="C47" s="2627" t="s">
        <v>1</v>
      </c>
      <c r="D47" s="2628"/>
      <c r="E47" s="2629"/>
      <c r="F47" s="2630"/>
      <c r="G47" s="2631"/>
      <c r="H47" s="2632"/>
      <c r="I47" s="2629"/>
      <c r="J47" s="2632"/>
      <c r="K47" s="1610"/>
      <c r="L47" s="2144"/>
      <c r="M47" s="2145"/>
      <c r="N47" s="2134"/>
      <c r="O47" s="2145"/>
      <c r="P47" s="3390" t="str">
        <f>A47</f>
        <v>成交单价（元/平方米）</v>
      </c>
      <c r="Q47" s="3390"/>
      <c r="R47" s="3480">
        <f>E47</f>
        <v>0</v>
      </c>
      <c r="S47" s="3480"/>
      <c r="T47" s="3480">
        <f>G47</f>
        <v>0</v>
      </c>
      <c r="U47" s="3480"/>
      <c r="V47" s="3480">
        <f>I47</f>
        <v>0</v>
      </c>
      <c r="W47" s="3480"/>
      <c r="X47" s="1558"/>
      <c r="Y47" s="1580"/>
      <c r="Z47" s="1558"/>
      <c r="AA47" s="1558"/>
      <c r="AB47" s="1558"/>
      <c r="AC47" s="1558"/>
    </row>
    <row r="48" spans="1:29" ht="15.75" thickBot="1">
      <c r="A48" s="614" t="s">
        <v>2756</v>
      </c>
      <c r="B48" s="886"/>
      <c r="C48" s="2633" t="e">
        <f>R49</f>
        <v>#DIV/0!</v>
      </c>
      <c r="D48" s="2634"/>
      <c r="E48" s="2635" t="e">
        <f>R48</f>
        <v>#DIV/0!</v>
      </c>
      <c r="F48" s="2635"/>
      <c r="G48" s="2633" t="e">
        <f>T48</f>
        <v>#DIV/0!</v>
      </c>
      <c r="H48" s="2634"/>
      <c r="I48" s="2635" t="e">
        <f>V48</f>
        <v>#DIV/0!</v>
      </c>
      <c r="J48" s="2634"/>
      <c r="K48" s="1611"/>
      <c r="L48" s="2144"/>
      <c r="M48" s="2145"/>
      <c r="N48" s="2134"/>
      <c r="O48" s="2145"/>
      <c r="P48" s="3390" t="str">
        <f>A48</f>
        <v>比较价格（元/平方米）</v>
      </c>
      <c r="Q48" s="3390"/>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58"/>
      <c r="Y48" s="1558"/>
      <c r="Z48" s="1558"/>
      <c r="AA48" s="1558"/>
      <c r="AB48" s="1558"/>
      <c r="AC48" s="1558"/>
    </row>
    <row r="49" spans="1:29" ht="15.75" thickBot="1">
      <c r="A49" s="620" t="s">
        <v>2922</v>
      </c>
      <c r="B49" s="621"/>
      <c r="C49" s="2636" t="e">
        <f>R49</f>
        <v>#DIV/0!</v>
      </c>
      <c r="D49" s="2636"/>
      <c r="E49" s="2636"/>
      <c r="F49" s="2636"/>
      <c r="G49" s="2636"/>
      <c r="H49" s="2636"/>
      <c r="I49" s="2636"/>
      <c r="J49" s="2636"/>
      <c r="K49" s="1612"/>
      <c r="L49" s="2144"/>
      <c r="M49" s="2145"/>
      <c r="N49" s="2134"/>
      <c r="O49" s="2145"/>
      <c r="P49" s="3387" t="str">
        <f>A49</f>
        <v>估价对象XX用房的比较价格（楼面单价，元/平方米）</v>
      </c>
      <c r="Q49" s="3388"/>
      <c r="R49" s="3479" t="e">
        <f>IF(F1="售价",ROUND(AVERAGE(R48:V48),0),ROUND(AVERAGE(R48:V48),1))</f>
        <v>#DIV/0!</v>
      </c>
      <c r="S49" s="3479"/>
      <c r="T49" s="3479"/>
      <c r="U49" s="3479"/>
      <c r="V49" s="3479"/>
      <c r="W49" s="347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528</v>
      </c>
      <c r="B58" s="645"/>
      <c r="C58" s="2802" t="str">
        <f>YEAR(C7)&amp;"-"&amp;MONTH(C7)</f>
        <v>2018-12</v>
      </c>
      <c r="D58" s="2804">
        <f>EDATE(C58,-1)</f>
        <v>43405</v>
      </c>
      <c r="E58" s="2804">
        <f t="shared" ref="E58:O58" si="16">EDATE(D58,-1)</f>
        <v>43374</v>
      </c>
      <c r="F58" s="2804">
        <f t="shared" si="16"/>
        <v>43344</v>
      </c>
      <c r="G58" s="2804">
        <f t="shared" si="16"/>
        <v>43313</v>
      </c>
      <c r="H58" s="2804">
        <f t="shared" si="16"/>
        <v>43282</v>
      </c>
      <c r="I58" s="2804">
        <f t="shared" si="16"/>
        <v>43252</v>
      </c>
      <c r="J58" s="2804">
        <f t="shared" si="16"/>
        <v>43221</v>
      </c>
      <c r="K58" s="2804">
        <f t="shared" si="16"/>
        <v>43191</v>
      </c>
      <c r="L58" s="2804">
        <f t="shared" si="16"/>
        <v>43160</v>
      </c>
      <c r="M58" s="2804">
        <f t="shared" si="16"/>
        <v>43132</v>
      </c>
      <c r="N58" s="2804">
        <f t="shared" si="16"/>
        <v>43101</v>
      </c>
      <c r="O58" s="2804">
        <f t="shared" si="16"/>
        <v>43070</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8" customFormat="1" ht="15.75" thickBot="1">
      <c r="A60" s="652" t="s">
        <v>574</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530</v>
      </c>
      <c r="B61" s="647"/>
      <c r="C61" s="659" t="s">
        <v>575</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7">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3"/>
    </row>
    <row r="63" spans="1:29">
      <c r="A63" s="663" t="s">
        <v>576</v>
      </c>
      <c r="B63" s="664" t="s">
        <v>533</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538</v>
      </c>
      <c r="B76" s="664" t="s">
        <v>577</v>
      </c>
      <c r="C76" s="702" t="s">
        <v>578</v>
      </c>
      <c r="D76" s="702" t="s">
        <v>579</v>
      </c>
      <c r="E76" s="702" t="s">
        <v>580</v>
      </c>
      <c r="F76" s="702" t="s">
        <v>581</v>
      </c>
      <c r="G76" s="702" t="s">
        <v>582</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585</v>
      </c>
      <c r="C78" s="707" t="s">
        <v>578</v>
      </c>
      <c r="D78" s="707" t="s">
        <v>579</v>
      </c>
      <c r="E78" s="707" t="s">
        <v>580</v>
      </c>
      <c r="F78" s="707" t="s">
        <v>581</v>
      </c>
      <c r="G78" s="707" t="s">
        <v>582</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2554</v>
      </c>
      <c r="C80" s="707" t="s">
        <v>578</v>
      </c>
      <c r="D80" s="707" t="s">
        <v>579</v>
      </c>
      <c r="E80" s="707" t="s">
        <v>580</v>
      </c>
      <c r="F80" s="707" t="s">
        <v>581</v>
      </c>
      <c r="G80" s="707" t="s">
        <v>582</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2555</v>
      </c>
      <c r="C82" s="2598" t="s">
        <v>2556</v>
      </c>
      <c r="D82" s="2598" t="s">
        <v>2557</v>
      </c>
      <c r="E82" s="2598" t="s">
        <v>2558</v>
      </c>
      <c r="F82" s="2598" t="s">
        <v>2559</v>
      </c>
      <c r="G82" s="2598" t="s">
        <v>2560</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743</v>
      </c>
      <c r="C84" s="707" t="s">
        <v>578</v>
      </c>
      <c r="D84" s="707" t="s">
        <v>579</v>
      </c>
      <c r="E84" s="707" t="s">
        <v>580</v>
      </c>
      <c r="F84" s="707" t="s">
        <v>581</v>
      </c>
      <c r="G84" s="707" t="s">
        <v>582</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8"/>
      <c r="B86" s="672" t="s">
        <v>770</v>
      </c>
      <c r="C86" s="687"/>
      <c r="D86" s="687"/>
      <c r="E86" s="687"/>
      <c r="F86" s="687"/>
      <c r="G86" s="687"/>
      <c r="H86" s="687"/>
      <c r="I86" s="687"/>
      <c r="J86" s="687"/>
      <c r="K86" s="687"/>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8"/>
      <c r="B88" s="672" t="str">
        <f>B26</f>
        <v>平面位置/可视性</v>
      </c>
      <c r="C88" s="687"/>
      <c r="D88" s="687"/>
      <c r="E88" s="687"/>
      <c r="F88" s="890"/>
      <c r="G88" s="687"/>
      <c r="H88" s="687"/>
      <c r="I88" s="687"/>
      <c r="J88" s="687"/>
      <c r="K88" s="687"/>
      <c r="L88" s="687"/>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8"/>
      <c r="M92" s="889"/>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1"/>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550</v>
      </c>
      <c r="B100" s="664" t="s">
        <v>771</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748</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7"/>
      <c r="B112" s="1896" t="s">
        <v>2553</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772</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773</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774</v>
      </c>
      <c r="C118" s="907"/>
      <c r="D118" s="907"/>
      <c r="E118" s="907"/>
      <c r="F118" s="907"/>
      <c r="G118" s="907"/>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7"/>
      <c r="B120" s="672" t="s">
        <v>775</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754</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776</v>
      </c>
      <c r="C1" s="503" t="s">
        <v>719</v>
      </c>
      <c r="D1" s="848"/>
      <c r="E1" s="505"/>
      <c r="F1" s="2807"/>
      <c r="G1" s="1600" t="s">
        <v>720</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2" t="s">
        <v>466</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8" t="s">
        <v>518</v>
      </c>
      <c r="B3" s="509" t="e">
        <f>C50</f>
        <v>#DIV/0!</v>
      </c>
      <c r="C3" s="851" t="s">
        <v>721</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520</v>
      </c>
      <c r="B4" s="512"/>
      <c r="C4" s="3396" t="s">
        <v>521</v>
      </c>
      <c r="D4" s="3397"/>
      <c r="E4" s="3430" t="s">
        <v>522</v>
      </c>
      <c r="F4" s="3431"/>
      <c r="G4" s="3396" t="s">
        <v>523</v>
      </c>
      <c r="H4" s="3397"/>
      <c r="I4" s="3396" t="s">
        <v>524</v>
      </c>
      <c r="J4" s="3397"/>
      <c r="K4" s="513" t="s">
        <v>525</v>
      </c>
      <c r="L4" s="2133"/>
      <c r="M4" s="2134"/>
      <c r="N4" s="2134"/>
      <c r="O4" s="2134"/>
      <c r="P4" s="3510" t="s">
        <v>526</v>
      </c>
      <c r="Q4" s="3399"/>
      <c r="R4" s="3404" t="s">
        <v>522</v>
      </c>
      <c r="S4" s="3405"/>
      <c r="T4" s="3404" t="s">
        <v>523</v>
      </c>
      <c r="U4" s="3405"/>
      <c r="V4" s="3391" t="s">
        <v>524</v>
      </c>
      <c r="W4" s="3391"/>
      <c r="X4" s="1566"/>
      <c r="Y4" s="3404" t="s">
        <v>526</v>
      </c>
      <c r="Z4" s="3405"/>
      <c r="AA4" s="3393" t="s">
        <v>522</v>
      </c>
      <c r="AB4" s="3393" t="s">
        <v>523</v>
      </c>
      <c r="AC4" s="3393" t="s">
        <v>524</v>
      </c>
    </row>
    <row r="5" spans="1:29" ht="15">
      <c r="A5" s="514"/>
      <c r="B5" s="515"/>
      <c r="C5" s="3412" t="s">
        <v>2916</v>
      </c>
      <c r="D5" s="3413"/>
      <c r="E5" s="3432" t="s">
        <v>2917</v>
      </c>
      <c r="F5" s="3433"/>
      <c r="G5" s="3412" t="s">
        <v>2918</v>
      </c>
      <c r="H5" s="3413"/>
      <c r="I5" s="3412" t="s">
        <v>2919</v>
      </c>
      <c r="J5" s="3413"/>
      <c r="K5" s="513"/>
      <c r="L5" s="2133"/>
      <c r="M5" s="2134"/>
      <c r="N5" s="2134"/>
      <c r="O5" s="2134"/>
      <c r="P5" s="3511"/>
      <c r="Q5" s="3401"/>
      <c r="R5" s="3406"/>
      <c r="S5" s="3407"/>
      <c r="T5" s="3406"/>
      <c r="U5" s="3407"/>
      <c r="V5" s="3391"/>
      <c r="W5" s="3391"/>
      <c r="X5" s="1566"/>
      <c r="Y5" s="3406"/>
      <c r="Z5" s="3407"/>
      <c r="AA5" s="3394"/>
      <c r="AB5" s="3394"/>
      <c r="AC5" s="3394"/>
    </row>
    <row r="6" spans="1:29" ht="15.75" thickBot="1">
      <c r="A6" s="516"/>
      <c r="B6" s="517"/>
      <c r="C6" s="3410" t="s">
        <v>2920</v>
      </c>
      <c r="D6" s="3411"/>
      <c r="E6" s="3428" t="s">
        <v>2920</v>
      </c>
      <c r="F6" s="3429"/>
      <c r="G6" s="3410" t="s">
        <v>2920</v>
      </c>
      <c r="H6" s="3411"/>
      <c r="I6" s="3410" t="s">
        <v>2920</v>
      </c>
      <c r="J6" s="3411"/>
      <c r="K6" s="513" t="s">
        <v>527</v>
      </c>
      <c r="L6" s="2133"/>
      <c r="M6" s="2134"/>
      <c r="N6" s="2134"/>
      <c r="O6" s="2134"/>
      <c r="P6" s="3512"/>
      <c r="Q6" s="3403"/>
      <c r="R6" s="3406"/>
      <c r="S6" s="3407"/>
      <c r="T6" s="3408"/>
      <c r="U6" s="3409"/>
      <c r="V6" s="3391"/>
      <c r="W6" s="3391"/>
      <c r="X6" s="1566"/>
      <c r="Y6" s="3408"/>
      <c r="Z6" s="3409"/>
      <c r="AA6" s="3395"/>
      <c r="AB6" s="3395"/>
      <c r="AC6" s="3395"/>
    </row>
    <row r="7" spans="1:29" s="1218" customFormat="1" ht="15.75" thickBot="1">
      <c r="A7" s="2912"/>
      <c r="B7" s="2919" t="s">
        <v>528</v>
      </c>
      <c r="C7" s="518">
        <f>'数据-取费表'!B2</f>
        <v>43445</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23" t="s">
        <v>529</v>
      </c>
      <c r="Q7" s="3423"/>
      <c r="R7" s="1567" t="s">
        <v>8</v>
      </c>
      <c r="S7" s="1568">
        <f t="shared" ref="S7:S15" si="0">F7</f>
        <v>0</v>
      </c>
      <c r="T7" s="1567" t="s">
        <v>8</v>
      </c>
      <c r="U7" s="1568">
        <f t="shared" ref="U7:U15" si="1">H7</f>
        <v>0</v>
      </c>
      <c r="V7" s="1567" t="s">
        <v>8</v>
      </c>
      <c r="W7" s="1568">
        <f t="shared" ref="W7:W15" si="2">J7</f>
        <v>0</v>
      </c>
      <c r="X7" s="1569"/>
      <c r="Y7" s="3421" t="s">
        <v>529</v>
      </c>
      <c r="Z7" s="3422"/>
      <c r="AA7" s="1570" t="e">
        <f>D7/F7</f>
        <v>#DIV/0!</v>
      </c>
      <c r="AB7" s="1570" t="e">
        <f>D7/H7</f>
        <v>#DIV/0!</v>
      </c>
      <c r="AC7" s="1570" t="e">
        <f>D7/J7</f>
        <v>#DIV/0!</v>
      </c>
    </row>
    <row r="8" spans="1:29" s="1218" customFormat="1" ht="15.75" thickBot="1">
      <c r="A8" s="2913"/>
      <c r="B8" s="2920" t="s">
        <v>530</v>
      </c>
      <c r="C8" s="524" t="s">
        <v>575</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23" t="s">
        <v>532</v>
      </c>
      <c r="Q8" s="3422"/>
      <c r="R8" s="1567" t="s">
        <v>8</v>
      </c>
      <c r="S8" s="1568">
        <f t="shared" si="0"/>
        <v>0</v>
      </c>
      <c r="T8" s="1567" t="s">
        <v>8</v>
      </c>
      <c r="U8" s="1568">
        <f t="shared" si="1"/>
        <v>0</v>
      </c>
      <c r="V8" s="1567" t="s">
        <v>8</v>
      </c>
      <c r="W8" s="1568">
        <f t="shared" si="2"/>
        <v>0</v>
      </c>
      <c r="X8" s="1569"/>
      <c r="Y8" s="3421" t="s">
        <v>532</v>
      </c>
      <c r="Z8" s="3422"/>
      <c r="AA8" s="1570" t="e">
        <f t="shared" ref="AA8:AA47" si="3">D8/F8</f>
        <v>#DIV/0!</v>
      </c>
      <c r="AB8" s="1570" t="e">
        <f t="shared" ref="AB8:AB47" si="4">D8/H8</f>
        <v>#DIV/0!</v>
      </c>
      <c r="AC8" s="1570" t="e">
        <f t="shared" ref="AC8:AC47" si="5">D8/J8</f>
        <v>#DIV/0!</v>
      </c>
    </row>
    <row r="9" spans="1:29" s="1218" customFormat="1" ht="15">
      <c r="A9" s="2914"/>
      <c r="B9" s="2921" t="s">
        <v>2752</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90" t="s">
        <v>534</v>
      </c>
      <c r="Q9" s="1149" t="str">
        <f t="shared" ref="Q9:Q15" si="6">B9</f>
        <v>用途</v>
      </c>
      <c r="R9" s="1567" t="s">
        <v>8</v>
      </c>
      <c r="S9" s="1568">
        <f t="shared" si="0"/>
        <v>100</v>
      </c>
      <c r="T9" s="1567" t="s">
        <v>8</v>
      </c>
      <c r="U9" s="1568">
        <f t="shared" si="1"/>
        <v>100</v>
      </c>
      <c r="V9" s="1567" t="s">
        <v>8</v>
      </c>
      <c r="W9" s="1568">
        <f t="shared" si="2"/>
        <v>100</v>
      </c>
      <c r="X9" s="1569"/>
      <c r="Y9" s="3336" t="s">
        <v>535</v>
      </c>
      <c r="Z9" s="1148" t="str">
        <f t="shared" ref="Z9:Z15" si="7">Q9</f>
        <v>用途</v>
      </c>
      <c r="AA9" s="1570">
        <f t="shared" si="3"/>
        <v>1</v>
      </c>
      <c r="AB9" s="1570">
        <f t="shared" si="4"/>
        <v>1</v>
      </c>
      <c r="AC9" s="1570">
        <f t="shared" si="5"/>
        <v>1</v>
      </c>
    </row>
    <row r="10" spans="1:29" s="1336" customFormat="1" ht="27">
      <c r="A10" s="2915"/>
      <c r="B10" s="2920" t="s">
        <v>2753</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90"/>
      <c r="Q10" s="1149" t="str">
        <f t="shared" si="6"/>
        <v>土地使用年限（年）</v>
      </c>
      <c r="R10" s="1567" t="s">
        <v>8</v>
      </c>
      <c r="S10" s="1568">
        <f t="shared" si="0"/>
        <v>100</v>
      </c>
      <c r="T10" s="1567" t="s">
        <v>8</v>
      </c>
      <c r="U10" s="1568">
        <f t="shared" si="1"/>
        <v>100</v>
      </c>
      <c r="V10" s="1567" t="s">
        <v>8</v>
      </c>
      <c r="W10" s="1568">
        <f t="shared" si="2"/>
        <v>100</v>
      </c>
      <c r="X10" s="1569"/>
      <c r="Y10" s="3336"/>
      <c r="Z10" s="1148" t="str">
        <f t="shared" si="7"/>
        <v>土地使用年限（年）</v>
      </c>
      <c r="AA10" s="1570">
        <f t="shared" si="3"/>
        <v>1</v>
      </c>
      <c r="AB10" s="1570">
        <f t="shared" si="4"/>
        <v>1</v>
      </c>
      <c r="AC10" s="1570">
        <f t="shared" si="5"/>
        <v>1</v>
      </c>
    </row>
    <row r="11" spans="1:29" ht="15">
      <c r="A11" s="2916"/>
      <c r="B11" s="2920"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90"/>
      <c r="Q11" s="1149" t="str">
        <f t="shared" si="6"/>
        <v>容积率</v>
      </c>
      <c r="R11" s="1567" t="s">
        <v>8</v>
      </c>
      <c r="S11" s="1568" t="e">
        <f t="shared" si="0"/>
        <v>#N/A</v>
      </c>
      <c r="T11" s="1567" t="s">
        <v>8</v>
      </c>
      <c r="U11" s="1568" t="e">
        <f t="shared" si="1"/>
        <v>#N/A</v>
      </c>
      <c r="V11" s="1567" t="s">
        <v>8</v>
      </c>
      <c r="W11" s="1568" t="e">
        <f t="shared" si="2"/>
        <v>#N/A</v>
      </c>
      <c r="X11" s="1569"/>
      <c r="Y11" s="3336"/>
      <c r="Z11" s="1148" t="str">
        <f t="shared" si="7"/>
        <v>容积率</v>
      </c>
      <c r="AA11" s="1570" t="e">
        <f t="shared" si="3"/>
        <v>#N/A</v>
      </c>
      <c r="AB11" s="1570" t="e">
        <f t="shared" si="4"/>
        <v>#N/A</v>
      </c>
      <c r="AC11" s="1570" t="e">
        <f t="shared" si="5"/>
        <v>#N/A</v>
      </c>
    </row>
    <row r="12" spans="1:29" s="1218" customFormat="1" ht="15">
      <c r="A12" s="2917"/>
      <c r="B12" s="2923">
        <v>111</v>
      </c>
      <c r="C12" s="527"/>
      <c r="D12" s="537">
        <v>100</v>
      </c>
      <c r="E12" s="527"/>
      <c r="F12" s="254">
        <f>SUMIF(71:71,E12,72:72)-SUMIF(71:71,C12,72:72)+100</f>
        <v>100</v>
      </c>
      <c r="G12" s="908"/>
      <c r="H12" s="254">
        <f>SUMIF(71:71,G12,72:72)-SUMIF(71:71,C12,72:72)+100</f>
        <v>100</v>
      </c>
      <c r="I12" s="527"/>
      <c r="J12" s="254">
        <f>SUMIF(71:71,I12,72:72)-SUMIF(71:71,C12,72:72)+100</f>
        <v>100</v>
      </c>
      <c r="K12" s="580"/>
      <c r="L12" s="2135"/>
      <c r="M12" s="2136"/>
      <c r="N12" s="2136"/>
      <c r="O12" s="2136"/>
      <c r="P12" s="3390"/>
      <c r="Q12" s="1149">
        <f t="shared" si="6"/>
        <v>111</v>
      </c>
      <c r="R12" s="1567" t="s">
        <v>8</v>
      </c>
      <c r="S12" s="1568">
        <f t="shared" si="0"/>
        <v>100</v>
      </c>
      <c r="T12" s="1567" t="s">
        <v>8</v>
      </c>
      <c r="U12" s="1568">
        <f t="shared" si="1"/>
        <v>100</v>
      </c>
      <c r="V12" s="1567" t="s">
        <v>8</v>
      </c>
      <c r="W12" s="1568">
        <f t="shared" si="2"/>
        <v>100</v>
      </c>
      <c r="X12" s="1569"/>
      <c r="Y12" s="3336"/>
      <c r="Z12" s="1148">
        <f t="shared" si="7"/>
        <v>111</v>
      </c>
      <c r="AA12" s="1570">
        <f>D12/F12</f>
        <v>1</v>
      </c>
      <c r="AB12" s="1570">
        <f>D12/H12</f>
        <v>1</v>
      </c>
      <c r="AC12" s="1570">
        <f>D12/J12</f>
        <v>1</v>
      </c>
    </row>
    <row r="13" spans="1:29" ht="15">
      <c r="A13" s="2917"/>
      <c r="B13" s="2923">
        <v>111</v>
      </c>
      <c r="C13" s="538"/>
      <c r="D13" s="539">
        <v>100</v>
      </c>
      <c r="E13" s="527"/>
      <c r="F13" s="254">
        <f>SUMIF(73:73,E13,74:74)-SUMIF(73:73,C13,74:74)+100</f>
        <v>100</v>
      </c>
      <c r="G13" s="908"/>
      <c r="H13" s="539">
        <f>SUMIF(73:73,G13,74:74)-SUMIF(73:73,C13,74:74)+100</f>
        <v>100</v>
      </c>
      <c r="I13" s="527"/>
      <c r="J13" s="539">
        <f>SUMIF(73:73,I13,74:74)-SUMIF(73:73,C13,74:74)+100</f>
        <v>100</v>
      </c>
      <c r="K13" s="580"/>
      <c r="L13" s="2142"/>
      <c r="M13" s="2134"/>
      <c r="N13" s="2134"/>
      <c r="O13" s="2134"/>
      <c r="P13" s="3390"/>
      <c r="Q13" s="1149">
        <f t="shared" si="6"/>
        <v>111</v>
      </c>
      <c r="R13" s="1567" t="s">
        <v>8</v>
      </c>
      <c r="S13" s="1568">
        <f t="shared" si="0"/>
        <v>100</v>
      </c>
      <c r="T13" s="1567" t="s">
        <v>8</v>
      </c>
      <c r="U13" s="1568">
        <f t="shared" si="1"/>
        <v>100</v>
      </c>
      <c r="V13" s="1567" t="s">
        <v>8</v>
      </c>
      <c r="W13" s="1568">
        <f t="shared" si="2"/>
        <v>100</v>
      </c>
      <c r="X13" s="1569"/>
      <c r="Y13" s="3336"/>
      <c r="Z13" s="1148">
        <f t="shared" si="7"/>
        <v>111</v>
      </c>
      <c r="AA13" s="1570">
        <f t="shared" si="3"/>
        <v>1</v>
      </c>
      <c r="AB13" s="1570">
        <f t="shared" si="4"/>
        <v>1</v>
      </c>
      <c r="AC13" s="1570">
        <f t="shared" si="5"/>
        <v>1</v>
      </c>
    </row>
    <row r="14" spans="1:29" ht="15.75" thickBot="1">
      <c r="A14" s="2918"/>
      <c r="B14" s="2924">
        <v>111</v>
      </c>
      <c r="C14" s="544"/>
      <c r="D14" s="545">
        <v>100</v>
      </c>
      <c r="E14" s="909"/>
      <c r="F14" s="545">
        <f>SUMIF(75:75,E14,76:76)-SUMIF(75:75,C14,76:76)+100</f>
        <v>100</v>
      </c>
      <c r="G14" s="908"/>
      <c r="H14" s="545">
        <f>SUMIF(75:75,G14,76:76)-SUMIF(75:75,C14,76:76)+100</f>
        <v>100</v>
      </c>
      <c r="I14" s="527"/>
      <c r="J14" s="545">
        <f>SUMIF(75:75,I14,76:76)-SUMIF(75:75,C14,76:76)+100</f>
        <v>100</v>
      </c>
      <c r="K14" s="580"/>
      <c r="L14" s="2142"/>
      <c r="M14" s="2134"/>
      <c r="N14" s="2134"/>
      <c r="O14" s="2134"/>
      <c r="P14" s="3390"/>
      <c r="Q14" s="1149">
        <f t="shared" si="6"/>
        <v>111</v>
      </c>
      <c r="R14" s="1567" t="s">
        <v>8</v>
      </c>
      <c r="S14" s="1568">
        <f t="shared" si="0"/>
        <v>100</v>
      </c>
      <c r="T14" s="1567" t="s">
        <v>8</v>
      </c>
      <c r="U14" s="1568">
        <f t="shared" si="1"/>
        <v>100</v>
      </c>
      <c r="V14" s="1567" t="s">
        <v>8</v>
      </c>
      <c r="W14" s="1568">
        <f t="shared" si="2"/>
        <v>100</v>
      </c>
      <c r="X14" s="1569"/>
      <c r="Y14" s="3336"/>
      <c r="Z14" s="1148">
        <f t="shared" si="7"/>
        <v>111</v>
      </c>
      <c r="AA14" s="1570">
        <f t="shared" si="3"/>
        <v>1</v>
      </c>
      <c r="AB14" s="1570">
        <f t="shared" si="4"/>
        <v>1</v>
      </c>
      <c r="AC14" s="1570">
        <f t="shared" si="5"/>
        <v>1</v>
      </c>
    </row>
    <row r="15" spans="1:29" ht="15">
      <c r="A15" s="2910" t="s">
        <v>2750</v>
      </c>
      <c r="B15" s="546" t="s">
        <v>541</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42"/>
      <c r="M15" s="2134"/>
      <c r="N15" s="2134"/>
      <c r="O15" s="2134"/>
      <c r="P15" s="3424" t="s">
        <v>539</v>
      </c>
      <c r="Q15" s="1571" t="str">
        <f t="shared" si="6"/>
        <v>办公集聚程度</v>
      </c>
      <c r="R15" s="1572" t="s">
        <v>8</v>
      </c>
      <c r="S15" s="1573">
        <f t="shared" si="0"/>
        <v>100</v>
      </c>
      <c r="T15" s="1572" t="s">
        <v>8</v>
      </c>
      <c r="U15" s="1573">
        <f t="shared" si="1"/>
        <v>100</v>
      </c>
      <c r="V15" s="1572" t="s">
        <v>8</v>
      </c>
      <c r="W15" s="1573">
        <f t="shared" si="2"/>
        <v>100</v>
      </c>
      <c r="X15" s="1566"/>
      <c r="Y15" s="3424" t="s">
        <v>539</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7"/>
      <c r="L16" s="2142"/>
      <c r="M16" s="2134"/>
      <c r="N16" s="2134"/>
      <c r="O16" s="2134"/>
      <c r="P16" s="3425"/>
      <c r="Q16" s="1571"/>
      <c r="R16" s="1572"/>
      <c r="S16" s="1573"/>
      <c r="T16" s="1572"/>
      <c r="U16" s="1573"/>
      <c r="V16" s="1572"/>
      <c r="W16" s="1573"/>
      <c r="X16" s="1566"/>
      <c r="Y16" s="3425"/>
      <c r="Z16" s="1574"/>
      <c r="AA16" s="1575">
        <v>1</v>
      </c>
      <c r="AB16" s="1575">
        <v>1</v>
      </c>
      <c r="AC16" s="1575">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2"/>
      <c r="M17" s="2134"/>
      <c r="N17" s="2134"/>
      <c r="O17" s="2134"/>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7"/>
      <c r="L18" s="2142"/>
      <c r="M18" s="2134"/>
      <c r="N18" s="2134"/>
      <c r="O18" s="2134"/>
      <c r="P18" s="3425"/>
      <c r="Q18" s="1571"/>
      <c r="R18" s="1572"/>
      <c r="S18" s="1573"/>
      <c r="T18" s="1572"/>
      <c r="U18" s="1573"/>
      <c r="V18" s="1572"/>
      <c r="W18" s="1573"/>
      <c r="X18" s="1566"/>
      <c r="Y18" s="3425"/>
      <c r="Z18" s="1574"/>
      <c r="AA18" s="1575">
        <v>1</v>
      </c>
      <c r="AB18" s="1575">
        <v>1</v>
      </c>
      <c r="AC18" s="1575">
        <v>1</v>
      </c>
    </row>
    <row r="19" spans="1:29" ht="15">
      <c r="A19" s="531"/>
      <c r="B19" s="2603" t="s">
        <v>2543</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6"/>
      <c r="L19" s="2142"/>
      <c r="M19" s="2134"/>
      <c r="N19" s="2134"/>
      <c r="O19" s="2134"/>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7"/>
      <c r="L20" s="2142"/>
      <c r="M20" s="2134"/>
      <c r="N20" s="2134"/>
      <c r="O20" s="2134"/>
      <c r="P20" s="3425"/>
      <c r="Q20" s="1571"/>
      <c r="R20" s="1572"/>
      <c r="S20" s="1573"/>
      <c r="T20" s="1572"/>
      <c r="U20" s="1573"/>
      <c r="V20" s="1572"/>
      <c r="W20" s="1573"/>
      <c r="X20" s="1566"/>
      <c r="Y20" s="3425"/>
      <c r="Z20" s="1574"/>
      <c r="AA20" s="1575">
        <v>1</v>
      </c>
      <c r="AB20" s="1575">
        <v>1</v>
      </c>
      <c r="AC20" s="1575">
        <v>1</v>
      </c>
    </row>
    <row r="21" spans="1:29" ht="15">
      <c r="A21" s="531"/>
      <c r="B21" s="2591" t="s">
        <v>2555</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6"/>
      <c r="L21" s="2142"/>
      <c r="M21" s="2134"/>
      <c r="N21" s="2134"/>
      <c r="O21" s="2134"/>
      <c r="P21" s="3425"/>
      <c r="Q21" s="2579" t="str">
        <f>B21</f>
        <v>基础设施水平</v>
      </c>
      <c r="R21" s="1572" t="s">
        <v>8</v>
      </c>
      <c r="S21" s="1573">
        <f>F21</f>
        <v>100</v>
      </c>
      <c r="T21" s="1572" t="s">
        <v>8</v>
      </c>
      <c r="U21" s="1573">
        <f>H21</f>
        <v>100</v>
      </c>
      <c r="V21" s="1572" t="s">
        <v>8</v>
      </c>
      <c r="W21" s="1573">
        <f>J21</f>
        <v>100</v>
      </c>
      <c r="X21" s="2581"/>
      <c r="Y21" s="3425"/>
      <c r="Z21" s="2580"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2"/>
      <c r="L22" s="2142"/>
      <c r="M22" s="2134"/>
      <c r="N22" s="2134"/>
      <c r="O22" s="2134"/>
      <c r="P22" s="3425"/>
      <c r="Q22" s="2579"/>
      <c r="R22" s="1572"/>
      <c r="S22" s="1573"/>
      <c r="T22" s="1572"/>
      <c r="U22" s="1573"/>
      <c r="V22" s="1572"/>
      <c r="W22" s="1573"/>
      <c r="X22" s="2581"/>
      <c r="Y22" s="3425"/>
      <c r="Z22" s="2580"/>
      <c r="AA22" s="1575">
        <v>1</v>
      </c>
      <c r="AB22" s="1575">
        <v>1</v>
      </c>
      <c r="AC22" s="1575">
        <v>1</v>
      </c>
    </row>
    <row r="23" spans="1:29" ht="15">
      <c r="A23" s="531"/>
      <c r="B23" s="559" t="s">
        <v>777</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6"/>
      <c r="L23" s="2142"/>
      <c r="M23" s="2134"/>
      <c r="N23" s="2134"/>
      <c r="O23" s="2134"/>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7"/>
      <c r="L24" s="2142"/>
      <c r="M24" s="2134"/>
      <c r="N24" s="2134"/>
      <c r="O24" s="2134"/>
      <c r="P24" s="3425"/>
      <c r="Q24" s="1571"/>
      <c r="R24" s="1572"/>
      <c r="S24" s="1573"/>
      <c r="T24" s="1572"/>
      <c r="U24" s="1573"/>
      <c r="V24" s="1572"/>
      <c r="W24" s="1573"/>
      <c r="X24" s="1566"/>
      <c r="Y24" s="3425"/>
      <c r="Z24" s="1574"/>
      <c r="AA24" s="1575">
        <v>1</v>
      </c>
      <c r="AB24" s="1575">
        <v>1</v>
      </c>
      <c r="AC24" s="1575">
        <v>1</v>
      </c>
    </row>
    <row r="25" spans="1:29" ht="27">
      <c r="A25" s="514"/>
      <c r="B25" s="559" t="s">
        <v>547</v>
      </c>
      <c r="C25" s="910"/>
      <c r="D25" s="539">
        <v>100</v>
      </c>
      <c r="E25" s="538"/>
      <c r="F25" s="539">
        <f>SUMIF(87:87,E26,88:88)-SUMIF(87:87,C26,88:88)+100</f>
        <v>100</v>
      </c>
      <c r="G25" s="910"/>
      <c r="H25" s="539">
        <f>SUMIF(87:87,G26,88:88)-SUMIF(87:87,C26,88:88)+100</f>
        <v>100</v>
      </c>
      <c r="I25" s="538"/>
      <c r="J25" s="539">
        <f>SUMIF(87:87,I26,88:88)-SUMIF(87:87,C26,88:88)+100</f>
        <v>100</v>
      </c>
      <c r="K25" s="896"/>
      <c r="L25" s="2142"/>
      <c r="M25" s="2134"/>
      <c r="N25" s="2134"/>
      <c r="O25" s="2134"/>
      <c r="P25" s="3425"/>
      <c r="Q25" s="1571" t="str">
        <f>B25</f>
        <v>毗邻道路的类型与等级</v>
      </c>
      <c r="R25" s="1572" t="s">
        <v>8</v>
      </c>
      <c r="S25" s="1573">
        <f>F25</f>
        <v>100</v>
      </c>
      <c r="T25" s="1572" t="s">
        <v>8</v>
      </c>
      <c r="U25" s="1573">
        <f>H25</f>
        <v>100</v>
      </c>
      <c r="V25" s="1572" t="s">
        <v>8</v>
      </c>
      <c r="W25" s="1573">
        <f>J25</f>
        <v>100</v>
      </c>
      <c r="X25" s="1566"/>
      <c r="Y25" s="3425"/>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7"/>
      <c r="L26" s="2142"/>
      <c r="M26" s="2134"/>
      <c r="N26" s="2134"/>
      <c r="O26" s="2134"/>
      <c r="P26" s="3425"/>
      <c r="Q26" s="1571"/>
      <c r="R26" s="1572"/>
      <c r="S26" s="1573"/>
      <c r="T26" s="1572"/>
      <c r="U26" s="1573"/>
      <c r="V26" s="1572"/>
      <c r="W26" s="1573"/>
      <c r="X26" s="1566"/>
      <c r="Y26" s="3425"/>
      <c r="Z26" s="1574"/>
      <c r="AA26" s="1575">
        <v>1</v>
      </c>
      <c r="AB26" s="1575">
        <v>1</v>
      </c>
      <c r="AC26" s="1575">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25"/>
      <c r="Q27" s="1571" t="str">
        <f t="shared" ref="Q27:Q47" si="11">B27</f>
        <v>楼层</v>
      </c>
      <c r="R27" s="1572" t="s">
        <v>8</v>
      </c>
      <c r="S27" s="1573">
        <f>F27</f>
        <v>100</v>
      </c>
      <c r="T27" s="1572" t="s">
        <v>8</v>
      </c>
      <c r="U27" s="1573">
        <f>H27</f>
        <v>100</v>
      </c>
      <c r="V27" s="1572" t="s">
        <v>8</v>
      </c>
      <c r="W27" s="1573">
        <f>J27</f>
        <v>100</v>
      </c>
      <c r="X27" s="1566"/>
      <c r="Y27" s="3425"/>
      <c r="Z27" s="1574" t="str">
        <f>Q27</f>
        <v>楼层</v>
      </c>
      <c r="AA27" s="1575">
        <f t="shared" si="3"/>
        <v>1</v>
      </c>
      <c r="AB27" s="1575">
        <f t="shared" si="4"/>
        <v>1</v>
      </c>
      <c r="AC27" s="1575">
        <f t="shared" si="5"/>
        <v>1</v>
      </c>
    </row>
    <row r="28" spans="1:29" s="1218" customFormat="1" ht="15">
      <c r="A28" s="535"/>
      <c r="B28" s="559" t="s">
        <v>778</v>
      </c>
      <c r="C28" s="911"/>
      <c r="D28" s="874">
        <v>100</v>
      </c>
      <c r="E28" s="899"/>
      <c r="F28" s="874">
        <f>SUMIF(91:91,E28,92:92)-SUMIF(91:91,C28,92:92)+100</f>
        <v>100</v>
      </c>
      <c r="G28" s="911"/>
      <c r="H28" s="874">
        <f>SUMIF(91:91,G28,92:92)-SUMIF(91:91,C28,92:92)+100</f>
        <v>100</v>
      </c>
      <c r="I28" s="899"/>
      <c r="J28" s="874">
        <f>SUMIF(91:91,I28,92:92)-SUMIF(91:91,C28,92:92)+100</f>
        <v>100</v>
      </c>
      <c r="K28" s="583"/>
      <c r="L28" s="2135"/>
      <c r="M28" s="2136"/>
      <c r="N28" s="2136"/>
      <c r="O28" s="2136"/>
      <c r="P28" s="3425"/>
      <c r="Q28" s="1149" t="str">
        <f t="shared" si="11"/>
        <v>朝向</v>
      </c>
      <c r="R28" s="1567" t="s">
        <v>8</v>
      </c>
      <c r="S28" s="1568">
        <f>F28</f>
        <v>100</v>
      </c>
      <c r="T28" s="1567" t="s">
        <v>8</v>
      </c>
      <c r="U28" s="1568">
        <f>H28</f>
        <v>100</v>
      </c>
      <c r="V28" s="1567" t="s">
        <v>8</v>
      </c>
      <c r="W28" s="1568">
        <f>J28</f>
        <v>100</v>
      </c>
      <c r="X28" s="1569"/>
      <c r="Y28" s="3425"/>
      <c r="Z28" s="1148" t="str">
        <f>Q28</f>
        <v>朝向</v>
      </c>
      <c r="AA28" s="1575">
        <f>D28/F28</f>
        <v>1</v>
      </c>
      <c r="AB28" s="1575">
        <f>D28/H28</f>
        <v>1</v>
      </c>
      <c r="AC28" s="1575">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2"/>
      <c r="M29" s="2134"/>
      <c r="N29" s="2134"/>
      <c r="O29" s="2134"/>
      <c r="P29" s="3425"/>
      <c r="Q29" s="1571">
        <f t="shared" si="11"/>
        <v>111</v>
      </c>
      <c r="R29" s="1572" t="s">
        <v>8</v>
      </c>
      <c r="S29" s="1573">
        <f t="shared" ref="S29:S47" si="12">F29</f>
        <v>100</v>
      </c>
      <c r="T29" s="1572" t="s">
        <v>8</v>
      </c>
      <c r="U29" s="1573">
        <f t="shared" ref="U29:U47" si="13">H29</f>
        <v>100</v>
      </c>
      <c r="V29" s="1572" t="s">
        <v>8</v>
      </c>
      <c r="W29" s="1573">
        <f t="shared" ref="W29:W47" si="14">J29</f>
        <v>100</v>
      </c>
      <c r="X29" s="1566"/>
      <c r="Y29" s="3425"/>
      <c r="Z29" s="1574">
        <f t="shared" ref="Z29:Z47" si="15">Q29</f>
        <v>111</v>
      </c>
      <c r="AA29" s="1575">
        <f t="shared" si="3"/>
        <v>1</v>
      </c>
      <c r="AB29" s="1575">
        <f t="shared" si="4"/>
        <v>1</v>
      </c>
      <c r="AC29" s="1575">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2"/>
      <c r="M30" s="2134"/>
      <c r="N30" s="2134"/>
      <c r="O30" s="2134"/>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2"/>
      <c r="M31" s="2134"/>
      <c r="N31" s="2134"/>
      <c r="O31" s="2134"/>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2"/>
      <c r="M32" s="2134"/>
      <c r="N32" s="2134"/>
      <c r="O32" s="2134"/>
      <c r="P32" s="3425"/>
      <c r="Q32" s="1571">
        <f t="shared" si="11"/>
        <v>111</v>
      </c>
      <c r="R32" s="1572" t="s">
        <v>8</v>
      </c>
      <c r="S32" s="1573">
        <f t="shared" si="12"/>
        <v>100</v>
      </c>
      <c r="T32" s="1572" t="s">
        <v>8</v>
      </c>
      <c r="U32" s="1573">
        <f t="shared" si="13"/>
        <v>100</v>
      </c>
      <c r="V32" s="1572" t="s">
        <v>8</v>
      </c>
      <c r="W32" s="1573">
        <f t="shared" si="14"/>
        <v>100</v>
      </c>
      <c r="X32" s="1566"/>
      <c r="Y32" s="3425"/>
      <c r="Z32" s="1574">
        <f t="shared" si="15"/>
        <v>111</v>
      </c>
      <c r="AA32" s="1575">
        <f t="shared" si="3"/>
        <v>1</v>
      </c>
      <c r="AB32" s="1575">
        <f t="shared" si="4"/>
        <v>1</v>
      </c>
      <c r="AC32" s="1575">
        <f t="shared" si="5"/>
        <v>1</v>
      </c>
    </row>
    <row r="33" spans="1:29" ht="15">
      <c r="A33" s="2907" t="s">
        <v>2751</v>
      </c>
      <c r="B33" s="172" t="s">
        <v>779</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2"/>
      <c r="M33" s="2134"/>
      <c r="N33" s="2134"/>
      <c r="O33" s="2134"/>
      <c r="P33" s="3426" t="s">
        <v>549</v>
      </c>
      <c r="Q33" s="1571" t="str">
        <f t="shared" si="11"/>
        <v>建筑类型</v>
      </c>
      <c r="R33" s="1572" t="s">
        <v>8</v>
      </c>
      <c r="S33" s="1573">
        <f t="shared" si="12"/>
        <v>100</v>
      </c>
      <c r="T33" s="1572" t="s">
        <v>8</v>
      </c>
      <c r="U33" s="1573">
        <f t="shared" si="13"/>
        <v>100</v>
      </c>
      <c r="V33" s="1572" t="s">
        <v>8</v>
      </c>
      <c r="W33" s="1573">
        <f t="shared" si="14"/>
        <v>100</v>
      </c>
      <c r="X33" s="1566"/>
      <c r="Y33" s="3427" t="s">
        <v>549</v>
      </c>
      <c r="Z33" s="1574" t="str">
        <f t="shared" si="15"/>
        <v>建筑类型</v>
      </c>
      <c r="AA33" s="1575">
        <f t="shared" si="3"/>
        <v>1</v>
      </c>
      <c r="AB33" s="1575">
        <f t="shared" si="4"/>
        <v>1</v>
      </c>
      <c r="AC33" s="1575">
        <f t="shared" si="5"/>
        <v>1</v>
      </c>
    </row>
    <row r="34" spans="1:29" s="1337" customFormat="1" ht="15">
      <c r="A34" s="602"/>
      <c r="B34" s="526" t="s">
        <v>725</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27"/>
      <c r="Q34" s="1604" t="str">
        <f t="shared" si="11"/>
        <v>项目建筑规模</v>
      </c>
      <c r="R34" s="1576" t="s">
        <v>8</v>
      </c>
      <c r="S34" s="1577" t="e">
        <f t="shared" si="12"/>
        <v>#N/A</v>
      </c>
      <c r="T34" s="1576" t="s">
        <v>8</v>
      </c>
      <c r="U34" s="1577" t="e">
        <f t="shared" si="13"/>
        <v>#N/A</v>
      </c>
      <c r="V34" s="1576" t="s">
        <v>8</v>
      </c>
      <c r="W34" s="1577" t="e">
        <f t="shared" si="14"/>
        <v>#N/A</v>
      </c>
      <c r="X34" s="1578"/>
      <c r="Y34" s="3427"/>
      <c r="Z34" s="1579" t="str">
        <f t="shared" si="15"/>
        <v>项目建筑规模</v>
      </c>
      <c r="AA34" s="1575" t="e">
        <f t="shared" si="3"/>
        <v>#N/A</v>
      </c>
      <c r="AB34" s="1575" t="e">
        <f t="shared" si="4"/>
        <v>#N/A</v>
      </c>
      <c r="AC34" s="1575"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27"/>
      <c r="Q35" s="1571" t="str">
        <f t="shared" si="11"/>
        <v>建筑结构</v>
      </c>
      <c r="R35" s="1572" t="s">
        <v>8</v>
      </c>
      <c r="S35" s="1573">
        <f t="shared" si="12"/>
        <v>100</v>
      </c>
      <c r="T35" s="1572" t="s">
        <v>8</v>
      </c>
      <c r="U35" s="1573">
        <f t="shared" si="13"/>
        <v>100</v>
      </c>
      <c r="V35" s="1572" t="s">
        <v>8</v>
      </c>
      <c r="W35" s="1573">
        <f t="shared" si="14"/>
        <v>100</v>
      </c>
      <c r="X35" s="1566"/>
      <c r="Y35" s="3427"/>
      <c r="Z35" s="1574" t="str">
        <f t="shared" si="15"/>
        <v>建筑结构</v>
      </c>
      <c r="AA35" s="1575">
        <f t="shared" si="3"/>
        <v>1</v>
      </c>
      <c r="AB35" s="1575">
        <f t="shared" si="4"/>
        <v>1</v>
      </c>
      <c r="AC35" s="1575">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27"/>
      <c r="Q36" s="1571" t="str">
        <f t="shared" si="11"/>
        <v>公共部分装修</v>
      </c>
      <c r="R36" s="1572" t="s">
        <v>8</v>
      </c>
      <c r="S36" s="1573">
        <f t="shared" si="12"/>
        <v>100</v>
      </c>
      <c r="T36" s="1572" t="s">
        <v>8</v>
      </c>
      <c r="U36" s="1573">
        <f t="shared" si="13"/>
        <v>100</v>
      </c>
      <c r="V36" s="1572" t="s">
        <v>8</v>
      </c>
      <c r="W36" s="1573">
        <f t="shared" si="14"/>
        <v>100</v>
      </c>
      <c r="X36" s="1566"/>
      <c r="Y36" s="3427"/>
      <c r="Z36" s="1574" t="str">
        <f t="shared" si="15"/>
        <v>公共部分装修</v>
      </c>
      <c r="AA36" s="1575">
        <f t="shared" si="3"/>
        <v>1</v>
      </c>
      <c r="AB36" s="1575">
        <f t="shared" si="4"/>
        <v>1</v>
      </c>
      <c r="AC36" s="1575">
        <f t="shared" si="5"/>
        <v>1</v>
      </c>
    </row>
    <row r="37" spans="1:29" ht="15">
      <c r="A37" s="593"/>
      <c r="B37" s="526" t="s">
        <v>763</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2"/>
      <c r="M37" s="2134"/>
      <c r="N37" s="2134"/>
      <c r="O37" s="2134"/>
      <c r="P37" s="3427"/>
      <c r="Q37" s="1571" t="str">
        <f t="shared" si="11"/>
        <v>成新度</v>
      </c>
      <c r="R37" s="1572" t="s">
        <v>8</v>
      </c>
      <c r="S37" s="1573" t="e">
        <f t="shared" si="12"/>
        <v>#N/A</v>
      </c>
      <c r="T37" s="1572" t="s">
        <v>8</v>
      </c>
      <c r="U37" s="1573" t="e">
        <f t="shared" si="13"/>
        <v>#N/A</v>
      </c>
      <c r="V37" s="1572" t="s">
        <v>8</v>
      </c>
      <c r="W37" s="1573" t="e">
        <f t="shared" si="14"/>
        <v>#N/A</v>
      </c>
      <c r="X37" s="1566"/>
      <c r="Y37" s="3427"/>
      <c r="Z37" s="1574" t="str">
        <f t="shared" si="15"/>
        <v>成新度</v>
      </c>
      <c r="AA37" s="1575" t="e">
        <f t="shared" si="3"/>
        <v>#N/A</v>
      </c>
      <c r="AB37" s="1575" t="e">
        <f t="shared" si="4"/>
        <v>#N/A</v>
      </c>
      <c r="AC37" s="1575" t="e">
        <f t="shared" si="5"/>
        <v>#N/A</v>
      </c>
    </row>
    <row r="38" spans="1:29" s="1218"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27"/>
      <c r="Q38" s="1149" t="str">
        <f t="shared" si="11"/>
        <v>写字楼等级</v>
      </c>
      <c r="R38" s="1567" t="s">
        <v>8</v>
      </c>
      <c r="S38" s="1568">
        <f t="shared" si="12"/>
        <v>100</v>
      </c>
      <c r="T38" s="1567" t="s">
        <v>8</v>
      </c>
      <c r="U38" s="1568">
        <f t="shared" si="13"/>
        <v>100</v>
      </c>
      <c r="V38" s="1567" t="s">
        <v>8</v>
      </c>
      <c r="W38" s="1568">
        <f t="shared" si="14"/>
        <v>100</v>
      </c>
      <c r="X38" s="1569"/>
      <c r="Y38" s="3427"/>
      <c r="Z38" s="1148" t="str">
        <f t="shared" si="15"/>
        <v>写字楼等级</v>
      </c>
      <c r="AA38" s="1570">
        <f t="shared" si="3"/>
        <v>1</v>
      </c>
      <c r="AB38" s="1570">
        <f t="shared" si="4"/>
        <v>1</v>
      </c>
      <c r="AC38" s="1570">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27" t="s">
        <v>549</v>
      </c>
      <c r="Q39" s="1571" t="str">
        <f t="shared" si="11"/>
        <v>物业管理</v>
      </c>
      <c r="R39" s="1572" t="s">
        <v>8</v>
      </c>
      <c r="S39" s="1573">
        <f t="shared" si="12"/>
        <v>100</v>
      </c>
      <c r="T39" s="1572" t="s">
        <v>8</v>
      </c>
      <c r="U39" s="1573">
        <f t="shared" si="13"/>
        <v>100</v>
      </c>
      <c r="V39" s="1572" t="s">
        <v>8</v>
      </c>
      <c r="W39" s="1573">
        <f t="shared" si="14"/>
        <v>100</v>
      </c>
      <c r="X39" s="1566"/>
      <c r="Y39" s="3427" t="s">
        <v>549</v>
      </c>
      <c r="Z39" s="1574" t="str">
        <f t="shared" si="15"/>
        <v>物业管理</v>
      </c>
      <c r="AA39" s="1575">
        <f t="shared" si="3"/>
        <v>1</v>
      </c>
      <c r="AB39" s="1575">
        <f t="shared" si="4"/>
        <v>1</v>
      </c>
      <c r="AC39" s="1575">
        <f t="shared" si="5"/>
        <v>1</v>
      </c>
    </row>
    <row r="40" spans="1:29" ht="15">
      <c r="A40" s="593"/>
      <c r="B40" s="1895"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27"/>
      <c r="Q40" s="1571" t="str">
        <f t="shared" si="11"/>
        <v>市政基础设施</v>
      </c>
      <c r="R40" s="1572" t="s">
        <v>8</v>
      </c>
      <c r="S40" s="1573">
        <f t="shared" si="12"/>
        <v>100</v>
      </c>
      <c r="T40" s="1572" t="s">
        <v>8</v>
      </c>
      <c r="U40" s="1573">
        <f t="shared" si="13"/>
        <v>100</v>
      </c>
      <c r="V40" s="1572" t="s">
        <v>8</v>
      </c>
      <c r="W40" s="1573">
        <f t="shared" si="14"/>
        <v>100</v>
      </c>
      <c r="X40" s="1566"/>
      <c r="Y40" s="3427"/>
      <c r="Z40" s="1574" t="str">
        <f t="shared" si="15"/>
        <v>市政基础设施</v>
      </c>
      <c r="AA40" s="1575">
        <f t="shared" si="3"/>
        <v>1</v>
      </c>
      <c r="AB40" s="1575">
        <f t="shared" si="4"/>
        <v>1</v>
      </c>
      <c r="AC40" s="1575">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27"/>
      <c r="Q41" s="1571" t="str">
        <f t="shared" si="11"/>
        <v>层高</v>
      </c>
      <c r="R41" s="1572" t="s">
        <v>8</v>
      </c>
      <c r="S41" s="1573">
        <f t="shared" si="12"/>
        <v>100</v>
      </c>
      <c r="T41" s="1572" t="s">
        <v>8</v>
      </c>
      <c r="U41" s="1573">
        <f t="shared" si="13"/>
        <v>100</v>
      </c>
      <c r="V41" s="1572" t="s">
        <v>8</v>
      </c>
      <c r="W41" s="1573">
        <f t="shared" si="14"/>
        <v>100</v>
      </c>
      <c r="X41" s="1566"/>
      <c r="Y41" s="3427"/>
      <c r="Z41" s="1574" t="str">
        <f t="shared" si="15"/>
        <v>层高</v>
      </c>
      <c r="AA41" s="1575">
        <f t="shared" si="3"/>
        <v>1</v>
      </c>
      <c r="AB41" s="1575">
        <f t="shared" si="4"/>
        <v>1</v>
      </c>
      <c r="AC41" s="1575">
        <f t="shared" si="5"/>
        <v>1</v>
      </c>
    </row>
    <row r="42" spans="1:29" s="1337" customFormat="1" ht="15">
      <c r="A42" s="602"/>
      <c r="B42" s="902"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27"/>
      <c r="Q42" s="1604" t="str">
        <f t="shared" si="11"/>
        <v>单套建筑面积</v>
      </c>
      <c r="R42" s="1576" t="s">
        <v>8</v>
      </c>
      <c r="S42" s="1577">
        <f t="shared" si="12"/>
        <v>100</v>
      </c>
      <c r="T42" s="1576" t="s">
        <v>8</v>
      </c>
      <c r="U42" s="1577">
        <f t="shared" si="13"/>
        <v>100</v>
      </c>
      <c r="V42" s="1576" t="s">
        <v>8</v>
      </c>
      <c r="W42" s="1577">
        <f t="shared" si="14"/>
        <v>100</v>
      </c>
      <c r="X42" s="1578"/>
      <c r="Y42" s="3427"/>
      <c r="Z42" s="1579" t="str">
        <f t="shared" si="15"/>
        <v>单套建筑面积</v>
      </c>
      <c r="AA42" s="1575">
        <f t="shared" si="3"/>
        <v>1</v>
      </c>
      <c r="AB42" s="1575">
        <f t="shared" si="4"/>
        <v>1</v>
      </c>
      <c r="AC42" s="1575">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27"/>
      <c r="Q43" s="1571" t="str">
        <f t="shared" si="11"/>
        <v>内部装修</v>
      </c>
      <c r="R43" s="1572" t="s">
        <v>8</v>
      </c>
      <c r="S43" s="1573">
        <f t="shared" si="12"/>
        <v>100</v>
      </c>
      <c r="T43" s="1572" t="s">
        <v>8</v>
      </c>
      <c r="U43" s="1573">
        <f t="shared" si="13"/>
        <v>100</v>
      </c>
      <c r="V43" s="1572" t="s">
        <v>8</v>
      </c>
      <c r="W43" s="1573">
        <f t="shared" si="14"/>
        <v>100</v>
      </c>
      <c r="X43" s="1566"/>
      <c r="Y43" s="3427"/>
      <c r="Z43" s="1574" t="str">
        <f t="shared" si="15"/>
        <v>内部装修</v>
      </c>
      <c r="AA43" s="1575">
        <f t="shared" si="3"/>
        <v>1</v>
      </c>
      <c r="AB43" s="1575">
        <f t="shared" si="4"/>
        <v>1</v>
      </c>
      <c r="AC43" s="1575">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27"/>
      <c r="Q44" s="1571" t="str">
        <f t="shared" si="11"/>
        <v>内部装修维护情况</v>
      </c>
      <c r="R44" s="1572" t="s">
        <v>8</v>
      </c>
      <c r="S44" s="1573">
        <f t="shared" si="12"/>
        <v>100</v>
      </c>
      <c r="T44" s="1572" t="s">
        <v>8</v>
      </c>
      <c r="U44" s="1573">
        <f t="shared" si="13"/>
        <v>100</v>
      </c>
      <c r="V44" s="1572" t="s">
        <v>8</v>
      </c>
      <c r="W44" s="1573">
        <f t="shared" si="14"/>
        <v>100</v>
      </c>
      <c r="X44" s="1566"/>
      <c r="Y44" s="3427"/>
      <c r="Z44" s="1574" t="str">
        <f t="shared" si="15"/>
        <v>内部装修维护情况</v>
      </c>
      <c r="AA44" s="1575">
        <f t="shared" si="3"/>
        <v>1</v>
      </c>
      <c r="AB44" s="1575">
        <f t="shared" si="4"/>
        <v>1</v>
      </c>
      <c r="AC44" s="1575">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27"/>
      <c r="Q45" s="1149">
        <f t="shared" si="11"/>
        <v>111</v>
      </c>
      <c r="R45" s="1567" t="s">
        <v>8</v>
      </c>
      <c r="S45" s="1568">
        <f t="shared" si="12"/>
        <v>100</v>
      </c>
      <c r="T45" s="1567" t="s">
        <v>8</v>
      </c>
      <c r="U45" s="1568">
        <f t="shared" si="13"/>
        <v>100</v>
      </c>
      <c r="V45" s="1567" t="s">
        <v>8</v>
      </c>
      <c r="W45" s="1568">
        <f t="shared" si="14"/>
        <v>100</v>
      </c>
      <c r="X45" s="1569"/>
      <c r="Y45" s="3427"/>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27"/>
      <c r="Q46" s="1571">
        <f t="shared" si="11"/>
        <v>111</v>
      </c>
      <c r="R46" s="1572" t="s">
        <v>8</v>
      </c>
      <c r="S46" s="1573">
        <f t="shared" si="12"/>
        <v>100</v>
      </c>
      <c r="T46" s="1572" t="s">
        <v>8</v>
      </c>
      <c r="U46" s="1573">
        <f t="shared" si="13"/>
        <v>100</v>
      </c>
      <c r="V46" s="1572" t="s">
        <v>8</v>
      </c>
      <c r="W46" s="1573">
        <f t="shared" si="14"/>
        <v>100</v>
      </c>
      <c r="X46" s="1566"/>
      <c r="Y46" s="3427"/>
      <c r="Z46" s="1574">
        <f t="shared" si="15"/>
        <v>111</v>
      </c>
      <c r="AA46" s="1575">
        <f t="shared" si="3"/>
        <v>1</v>
      </c>
      <c r="AB46" s="1575">
        <f t="shared" si="4"/>
        <v>1</v>
      </c>
      <c r="AC46" s="1575">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81"/>
      <c r="Q47" s="1571">
        <f t="shared" si="11"/>
        <v>111</v>
      </c>
      <c r="R47" s="1572" t="s">
        <v>8</v>
      </c>
      <c r="S47" s="1573">
        <f t="shared" si="12"/>
        <v>100</v>
      </c>
      <c r="T47" s="1572" t="s">
        <v>8</v>
      </c>
      <c r="U47" s="1573">
        <f t="shared" si="13"/>
        <v>100</v>
      </c>
      <c r="V47" s="1572" t="s">
        <v>8</v>
      </c>
      <c r="W47" s="1573">
        <f t="shared" si="14"/>
        <v>100</v>
      </c>
      <c r="X47" s="1566"/>
      <c r="Y47" s="3481"/>
      <c r="Z47" s="1574">
        <f t="shared" si="15"/>
        <v>111</v>
      </c>
      <c r="AA47" s="1575">
        <f t="shared" si="3"/>
        <v>1</v>
      </c>
      <c r="AB47" s="1575">
        <f t="shared" si="4"/>
        <v>1</v>
      </c>
      <c r="AC47" s="1575">
        <f t="shared" si="5"/>
        <v>1</v>
      </c>
    </row>
    <row r="48" spans="1:29" ht="15">
      <c r="A48" s="606" t="s">
        <v>735</v>
      </c>
      <c r="B48" s="885"/>
      <c r="C48" s="2627" t="s">
        <v>1</v>
      </c>
      <c r="D48" s="2628"/>
      <c r="E48" s="2629"/>
      <c r="F48" s="2630"/>
      <c r="G48" s="2631"/>
      <c r="H48" s="2632"/>
      <c r="I48" s="2629"/>
      <c r="J48" s="2632"/>
      <c r="K48" s="1610"/>
      <c r="L48" s="2144"/>
      <c r="M48" s="2134"/>
      <c r="N48" s="2134"/>
      <c r="O48" s="2134"/>
      <c r="P48" s="3388" t="str">
        <f>A48</f>
        <v>成交单价（元/平方米）</v>
      </c>
      <c r="Q48" s="3390"/>
      <c r="R48" s="3480">
        <f>E48</f>
        <v>0</v>
      </c>
      <c r="S48" s="3480"/>
      <c r="T48" s="3480">
        <f>G48</f>
        <v>0</v>
      </c>
      <c r="U48" s="3480"/>
      <c r="V48" s="3480">
        <f>I48</f>
        <v>0</v>
      </c>
      <c r="W48" s="3480"/>
      <c r="X48" s="1558"/>
      <c r="Y48" s="1580"/>
      <c r="Z48" s="1558"/>
      <c r="AA48" s="1558"/>
      <c r="AB48" s="1558"/>
      <c r="AC48" s="1558"/>
    </row>
    <row r="49" spans="1:29" ht="15.75" thickBot="1">
      <c r="A49" s="614" t="s">
        <v>2756</v>
      </c>
      <c r="B49" s="886"/>
      <c r="C49" s="2633" t="e">
        <f>R50</f>
        <v>#DIV/0!</v>
      </c>
      <c r="D49" s="2634"/>
      <c r="E49" s="2635" t="e">
        <f>R49</f>
        <v>#DIV/0!</v>
      </c>
      <c r="F49" s="2635"/>
      <c r="G49" s="2633" t="e">
        <f>T49</f>
        <v>#DIV/0!</v>
      </c>
      <c r="H49" s="2634"/>
      <c r="I49" s="2635" t="e">
        <f>V49</f>
        <v>#DIV/0!</v>
      </c>
      <c r="J49" s="2634"/>
      <c r="K49" s="1611"/>
      <c r="L49" s="2144"/>
      <c r="M49" s="2134"/>
      <c r="N49" s="2134"/>
      <c r="O49" s="2134"/>
      <c r="P49" s="3388" t="str">
        <f>A49</f>
        <v>比较价格（元/平方米）</v>
      </c>
      <c r="Q49" s="3390"/>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58"/>
      <c r="Y49" s="1558"/>
      <c r="Z49" s="1558"/>
      <c r="AA49" s="1558"/>
      <c r="AB49" s="1558"/>
      <c r="AC49" s="1558"/>
    </row>
    <row r="50" spans="1:29" ht="15.75" thickBot="1">
      <c r="A50" s="620" t="s">
        <v>2922</v>
      </c>
      <c r="B50" s="621"/>
      <c r="C50" s="2636" t="e">
        <f>R50</f>
        <v>#DIV/0!</v>
      </c>
      <c r="D50" s="2636"/>
      <c r="E50" s="2636"/>
      <c r="F50" s="2636"/>
      <c r="G50" s="2636"/>
      <c r="H50" s="2636"/>
      <c r="I50" s="2636"/>
      <c r="J50" s="2636"/>
      <c r="K50" s="1612"/>
      <c r="L50" s="2144"/>
      <c r="M50" s="2134"/>
      <c r="N50" s="2134"/>
      <c r="O50" s="2134"/>
      <c r="P50" s="3509" t="str">
        <f>A50</f>
        <v>估价对象XX用房的比较价格（楼面单价，元/平方米）</v>
      </c>
      <c r="Q50" s="3388"/>
      <c r="R50" s="3479" t="e">
        <f>IF(F1="售价",ROUND(AVERAGE(R49:V49),0),ROUND(AVERAGE(R49:V49),1))</f>
        <v>#DIV/0!</v>
      </c>
      <c r="S50" s="3479"/>
      <c r="T50" s="3479"/>
      <c r="U50" s="3479"/>
      <c r="V50" s="3479"/>
      <c r="W50" s="3479"/>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4" t="s">
        <v>528</v>
      </c>
      <c r="B59" s="645"/>
      <c r="C59" s="2802" t="str">
        <f>YEAR(C7)&amp;"-"&amp;MONTH(C7)</f>
        <v>2018-12</v>
      </c>
      <c r="D59" s="2804">
        <f>EDATE(C59,-1)</f>
        <v>43405</v>
      </c>
      <c r="E59" s="2804">
        <f t="shared" ref="E59:O59" si="16">EDATE(D59,-1)</f>
        <v>43374</v>
      </c>
      <c r="F59" s="2804">
        <f t="shared" si="16"/>
        <v>43344</v>
      </c>
      <c r="G59" s="2804">
        <f t="shared" si="16"/>
        <v>43313</v>
      </c>
      <c r="H59" s="2804">
        <f t="shared" si="16"/>
        <v>43282</v>
      </c>
      <c r="I59" s="2804">
        <f t="shared" si="16"/>
        <v>43252</v>
      </c>
      <c r="J59" s="2804">
        <f t="shared" si="16"/>
        <v>43221</v>
      </c>
      <c r="K59" s="2804">
        <f t="shared" si="16"/>
        <v>43191</v>
      </c>
      <c r="L59" s="2804">
        <f t="shared" si="16"/>
        <v>43160</v>
      </c>
      <c r="M59" s="2804">
        <f t="shared" si="16"/>
        <v>43132</v>
      </c>
      <c r="N59" s="2804">
        <f t="shared" si="16"/>
        <v>43101</v>
      </c>
      <c r="O59" s="2804">
        <f t="shared" si="16"/>
        <v>43070</v>
      </c>
      <c r="P59" s="2211"/>
      <c r="Q59" s="2161"/>
      <c r="R59" s="2161"/>
      <c r="S59" s="2161"/>
      <c r="T59" s="2161"/>
      <c r="U59" s="2161"/>
      <c r="V59" s="2161"/>
      <c r="W59" s="2161"/>
      <c r="X59" s="2161"/>
      <c r="Y59" s="2161"/>
      <c r="Z59" s="2161"/>
      <c r="AA59" s="2161"/>
      <c r="AB59" s="2161"/>
      <c r="AC59" s="2161"/>
    </row>
    <row r="60" spans="1:29" s="1218"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8" customFormat="1" ht="15.75" thickBot="1">
      <c r="A61" s="652" t="s">
        <v>574</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8" customFormat="1" ht="15">
      <c r="A62" s="658" t="s">
        <v>530</v>
      </c>
      <c r="B62" s="647"/>
      <c r="C62" s="659" t="s">
        <v>575</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8"/>
      <c r="B63" s="647"/>
      <c r="C63" s="887">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576</v>
      </c>
      <c r="B64" s="664" t="s">
        <v>533</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538</v>
      </c>
      <c r="B77" s="664" t="s">
        <v>584</v>
      </c>
      <c r="C77" s="702" t="s">
        <v>578</v>
      </c>
      <c r="D77" s="702" t="s">
        <v>579</v>
      </c>
      <c r="E77" s="702" t="s">
        <v>580</v>
      </c>
      <c r="F77" s="702" t="s">
        <v>581</v>
      </c>
      <c r="G77" s="702" t="s">
        <v>582</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585</v>
      </c>
      <c r="C79" s="707" t="s">
        <v>578</v>
      </c>
      <c r="D79" s="707" t="s">
        <v>579</v>
      </c>
      <c r="E79" s="707" t="s">
        <v>580</v>
      </c>
      <c r="F79" s="707" t="s">
        <v>581</v>
      </c>
      <c r="G79" s="707" t="s">
        <v>582</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2554</v>
      </c>
      <c r="C81" s="707" t="s">
        <v>578</v>
      </c>
      <c r="D81" s="707" t="s">
        <v>579</v>
      </c>
      <c r="E81" s="707" t="s">
        <v>580</v>
      </c>
      <c r="F81" s="707" t="s">
        <v>581</v>
      </c>
      <c r="G81" s="707" t="s">
        <v>582</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97" t="s">
        <v>2555</v>
      </c>
      <c r="C83" s="2598" t="s">
        <v>2556</v>
      </c>
      <c r="D83" s="2598" t="s">
        <v>2557</v>
      </c>
      <c r="E83" s="2598" t="s">
        <v>2558</v>
      </c>
      <c r="F83" s="2598" t="s">
        <v>2559</v>
      </c>
      <c r="G83" s="2598" t="s">
        <v>2560</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783</v>
      </c>
      <c r="C85" s="707" t="s">
        <v>578</v>
      </c>
      <c r="D85" s="707" t="s">
        <v>579</v>
      </c>
      <c r="E85" s="707" t="s">
        <v>580</v>
      </c>
      <c r="F85" s="707" t="s">
        <v>581</v>
      </c>
      <c r="G85" s="707" t="s">
        <v>582</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8"/>
      <c r="B87" s="672" t="s">
        <v>784</v>
      </c>
      <c r="C87" s="687"/>
      <c r="D87" s="687"/>
      <c r="E87" s="687"/>
      <c r="F87" s="687"/>
      <c r="G87" s="687"/>
      <c r="H87" s="687"/>
      <c r="I87" s="687"/>
      <c r="J87" s="687"/>
      <c r="K87" s="687"/>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8"/>
      <c r="B89" s="672" t="str">
        <f>B27</f>
        <v>楼层</v>
      </c>
      <c r="C89" s="687"/>
      <c r="D89" s="687"/>
      <c r="E89" s="687"/>
      <c r="F89" s="890"/>
      <c r="G89" s="687"/>
      <c r="H89" s="687"/>
      <c r="I89" s="687"/>
      <c r="J89" s="687"/>
      <c r="K89" s="687"/>
      <c r="L89" s="687"/>
      <c r="M89" s="889"/>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8"/>
      <c r="M93" s="889"/>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1"/>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550</v>
      </c>
      <c r="B101" s="664" t="s">
        <v>746</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748</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750</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7"/>
      <c r="B113" s="672" t="s">
        <v>785</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752</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2553</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5" t="s">
        <v>786</v>
      </c>
      <c r="C119" s="717"/>
      <c r="D119" s="717"/>
      <c r="E119" s="717"/>
      <c r="F119" s="717"/>
      <c r="G119" s="717"/>
      <c r="H119" s="717"/>
      <c r="I119" s="717"/>
      <c r="J119" s="717"/>
      <c r="K119" s="717"/>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7"/>
      <c r="B121" s="672" t="s">
        <v>774</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754</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1"/>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中信信托有限责任公司：</v>
      </c>
    </row>
    <row r="4" spans="1:4" ht="56.25">
      <c r="A4" s="1791" t="str">
        <f>"受贵公司委托，我公司对"&amp;项目基本情况!K2&amp;项目基本情况!B9&amp;"进行了预评估。"</f>
        <v>受贵公司委托，我公司对江苏省镇江市镇江新区丁岗三三八省道北321102092092GB01229W00000000号一宗住宅、商业用地出让国有建设用地使用权抵押价格进行了预评估。</v>
      </c>
    </row>
    <row r="5" spans="1:4" ht="18.75">
      <c r="A5" s="1794" t="s">
        <v>1905</v>
      </c>
    </row>
    <row r="6" spans="1:4" ht="13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苏瀚瑞投资控股有限公司使用的、位于江苏省镇江市镇江新区丁岗三三八省道北321102092092GB01229W00000000号一宗住宅、商业用地出让国有建设用地使用权。根据《不动产权证书》[苏（2018）镇江市不动产权第9000056号]，估价对象（分摊）出让国有建设用地使用权面积为117823.1平方米。根据《国有建设用地使用权出让合同》及附件[编号：3211232010CR012]、《土地情况说明》，估价对象规划建筑面积为412380.85平方米。</v>
      </c>
    </row>
    <row r="7" spans="1:4" ht="93.75">
      <c r="A7" s="2873" t="s">
        <v>2744</v>
      </c>
    </row>
    <row r="8" spans="1:4" ht="18.75">
      <c r="A8" s="1794" t="s">
        <v>1906</v>
      </c>
    </row>
    <row r="9" spans="1:4" ht="112.5">
      <c r="A9" s="1796" t="str">
        <f>IF(项目基本情况!B8="抵押",IF(项目基本情况!B5=项目基本情况!B6,定义!C51,定义!B51),定义!D51)</f>
        <v>江苏瀚瑞投资控股有限公司拟使用江苏省镇江市镇江新区丁岗三三八省道北321102092092GB01229W00000000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2018年12月11日（评估专业人员勘察现场之日）</v>
      </c>
    </row>
    <row r="12" spans="1:4" ht="18.75">
      <c r="A12" s="1797" t="s">
        <v>2025</v>
      </c>
    </row>
    <row r="13" spans="1:4" ht="18.75">
      <c r="A13" s="1791" t="s">
        <v>2071</v>
      </c>
    </row>
    <row r="14" spans="1:4" ht="37.5">
      <c r="A14" s="1791" t="str">
        <f>"根据"&amp;项目基本情况!F12&amp;"，本次评估估价对象证载（地类）用途为"&amp;项目基本情况!B12&amp;"。"</f>
        <v>根据《不动产权证书》[苏（2018）镇江市不动产权第9000056号]，本次评估估价对象证载（地类）用途为城镇住宅、商务金融用地。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1" t="s">
        <v>2073</v>
      </c>
    </row>
    <row r="20" spans="1:1" ht="7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镇江市不动产权第9000056号]，估价对象（分摊）出让国有建设用地使用权面积为117823.1平方米。根据《国有建设用地使用权出让合同》及附件[编号：3211232010CR012]、《土地情况说明》，估价对象规划建筑面积为412380.85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75" t="s">
        <v>2745</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12月11日，在规划利用条件下、设定土地开发程度为红线外“六通”、宗地内场地平整，设定用途为住宅、商业用地，剩余土地使用年限为住宅61.9年、商业31.9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787</v>
      </c>
      <c r="C1" s="503" t="s">
        <v>719</v>
      </c>
      <c r="D1" s="848"/>
      <c r="E1" s="505"/>
      <c r="F1" s="2807"/>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466</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4" customFormat="1" ht="28.5" customHeight="1" thickBot="1">
      <c r="A3" s="508" t="s">
        <v>518</v>
      </c>
      <c r="B3" s="509" t="e">
        <f>C43</f>
        <v>#DIV/0!</v>
      </c>
      <c r="C3" s="851" t="s">
        <v>721</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520</v>
      </c>
      <c r="B4" s="512"/>
      <c r="C4" s="3396" t="s">
        <v>521</v>
      </c>
      <c r="D4" s="3397"/>
      <c r="E4" s="3430" t="s">
        <v>522</v>
      </c>
      <c r="F4" s="3431"/>
      <c r="G4" s="3396" t="s">
        <v>523</v>
      </c>
      <c r="H4" s="3397"/>
      <c r="I4" s="3396" t="s">
        <v>524</v>
      </c>
      <c r="J4" s="3397"/>
      <c r="K4" s="513" t="s">
        <v>525</v>
      </c>
      <c r="L4" s="2133"/>
      <c r="M4" s="2134"/>
      <c r="N4" s="2134"/>
      <c r="O4" s="2134"/>
      <c r="P4" s="3398" t="s">
        <v>526</v>
      </c>
      <c r="Q4" s="3399"/>
      <c r="R4" s="3404" t="s">
        <v>522</v>
      </c>
      <c r="S4" s="3405"/>
      <c r="T4" s="3404" t="s">
        <v>523</v>
      </c>
      <c r="U4" s="3405"/>
      <c r="V4" s="3391" t="s">
        <v>524</v>
      </c>
      <c r="W4" s="3391"/>
      <c r="X4" s="1566"/>
      <c r="Y4" s="3404" t="s">
        <v>526</v>
      </c>
      <c r="Z4" s="3405"/>
      <c r="AA4" s="3393" t="s">
        <v>522</v>
      </c>
      <c r="AB4" s="3394" t="s">
        <v>523</v>
      </c>
      <c r="AC4" s="3393" t="s">
        <v>524</v>
      </c>
    </row>
    <row r="5" spans="1:29" ht="15">
      <c r="A5" s="514"/>
      <c r="B5" s="515"/>
      <c r="C5" s="3412" t="s">
        <v>2916</v>
      </c>
      <c r="D5" s="3413"/>
      <c r="E5" s="3432" t="s">
        <v>2917</v>
      </c>
      <c r="F5" s="3433"/>
      <c r="G5" s="3412" t="s">
        <v>2918</v>
      </c>
      <c r="H5" s="3413"/>
      <c r="I5" s="3412" t="s">
        <v>2919</v>
      </c>
      <c r="J5" s="3413"/>
      <c r="K5" s="513"/>
      <c r="L5" s="2133"/>
      <c r="M5" s="2134"/>
      <c r="N5" s="2134"/>
      <c r="O5" s="2134"/>
      <c r="P5" s="3400"/>
      <c r="Q5" s="3401"/>
      <c r="R5" s="3406"/>
      <c r="S5" s="3407"/>
      <c r="T5" s="3406"/>
      <c r="U5" s="3407"/>
      <c r="V5" s="3391"/>
      <c r="W5" s="3391"/>
      <c r="X5" s="1566"/>
      <c r="Y5" s="3406"/>
      <c r="Z5" s="3407"/>
      <c r="AA5" s="3394"/>
      <c r="AB5" s="3394"/>
      <c r="AC5" s="3394"/>
    </row>
    <row r="6" spans="1:29" ht="15.75" thickBot="1">
      <c r="A6" s="516"/>
      <c r="B6" s="517"/>
      <c r="C6" s="3410" t="s">
        <v>2920</v>
      </c>
      <c r="D6" s="3411"/>
      <c r="E6" s="3428" t="s">
        <v>2920</v>
      </c>
      <c r="F6" s="3429"/>
      <c r="G6" s="3410" t="s">
        <v>2920</v>
      </c>
      <c r="H6" s="3411"/>
      <c r="I6" s="3410" t="s">
        <v>2920</v>
      </c>
      <c r="J6" s="3411"/>
      <c r="K6" s="513" t="s">
        <v>527</v>
      </c>
      <c r="L6" s="2133"/>
      <c r="M6" s="2134"/>
      <c r="N6" s="2134"/>
      <c r="O6" s="2134"/>
      <c r="P6" s="3402"/>
      <c r="Q6" s="3403"/>
      <c r="R6" s="3406"/>
      <c r="S6" s="3407"/>
      <c r="T6" s="3408"/>
      <c r="U6" s="3409"/>
      <c r="V6" s="3391"/>
      <c r="W6" s="3391"/>
      <c r="X6" s="1566"/>
      <c r="Y6" s="3408"/>
      <c r="Z6" s="3409"/>
      <c r="AA6" s="3395"/>
      <c r="AB6" s="3395"/>
      <c r="AC6" s="3395"/>
    </row>
    <row r="7" spans="1:29" s="1218" customFormat="1" ht="15.75" thickBot="1">
      <c r="A7" s="2912"/>
      <c r="B7" s="2919" t="s">
        <v>528</v>
      </c>
      <c r="C7" s="518">
        <f>'数据-取费表'!B2</f>
        <v>43445</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21" t="s">
        <v>529</v>
      </c>
      <c r="Q7" s="3423"/>
      <c r="R7" s="1567" t="s">
        <v>8</v>
      </c>
      <c r="S7" s="1568">
        <f t="shared" ref="S7:S15" si="0">F7</f>
        <v>0</v>
      </c>
      <c r="T7" s="1567" t="s">
        <v>8</v>
      </c>
      <c r="U7" s="1568">
        <f t="shared" ref="U7:U15" si="1">H7</f>
        <v>0</v>
      </c>
      <c r="V7" s="1567" t="s">
        <v>8</v>
      </c>
      <c r="W7" s="1568">
        <f t="shared" ref="W7:W15" si="2">J7</f>
        <v>0</v>
      </c>
      <c r="X7" s="1569"/>
      <c r="Y7" s="3421" t="s">
        <v>529</v>
      </c>
      <c r="Z7" s="3422"/>
      <c r="AA7" s="1570" t="e">
        <f>D7/F7</f>
        <v>#DIV/0!</v>
      </c>
      <c r="AB7" s="1570" t="e">
        <f>D7/H7</f>
        <v>#DIV/0!</v>
      </c>
      <c r="AC7" s="1570" t="e">
        <f>D7/J7</f>
        <v>#DIV/0!</v>
      </c>
    </row>
    <row r="8" spans="1:29" s="1218" customFormat="1" ht="15.75" thickBot="1">
      <c r="A8" s="2913"/>
      <c r="B8" s="2920" t="s">
        <v>530</v>
      </c>
      <c r="C8" s="524" t="s">
        <v>575</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21" t="s">
        <v>532</v>
      </c>
      <c r="Q8" s="3422"/>
      <c r="R8" s="1567" t="s">
        <v>8</v>
      </c>
      <c r="S8" s="1568">
        <f t="shared" si="0"/>
        <v>0</v>
      </c>
      <c r="T8" s="1567" t="s">
        <v>8</v>
      </c>
      <c r="U8" s="1568">
        <f t="shared" si="1"/>
        <v>0</v>
      </c>
      <c r="V8" s="1567" t="s">
        <v>8</v>
      </c>
      <c r="W8" s="1568">
        <f t="shared" si="2"/>
        <v>0</v>
      </c>
      <c r="X8" s="1569"/>
      <c r="Y8" s="3421" t="s">
        <v>532</v>
      </c>
      <c r="Z8" s="3422"/>
      <c r="AA8" s="1570" t="e">
        <f t="shared" ref="AA8:AA40" si="3">D8/F8</f>
        <v>#DIV/0!</v>
      </c>
      <c r="AB8" s="1570" t="e">
        <f t="shared" ref="AB8:AB40" si="4">D8/H8</f>
        <v>#DIV/0!</v>
      </c>
      <c r="AC8" s="1570" t="e">
        <f t="shared" ref="AC8:AC40" si="5">D8/J8</f>
        <v>#DIV/0!</v>
      </c>
    </row>
    <row r="9" spans="1:29" s="1218" customFormat="1" ht="15">
      <c r="A9" s="2914"/>
      <c r="B9" s="2921" t="s">
        <v>2752</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90" t="s">
        <v>534</v>
      </c>
      <c r="Q9" s="1149" t="str">
        <f t="shared" ref="Q9:Q15" si="6">B9</f>
        <v>用途</v>
      </c>
      <c r="R9" s="1567" t="s">
        <v>8</v>
      </c>
      <c r="S9" s="1568">
        <f t="shared" si="0"/>
        <v>100</v>
      </c>
      <c r="T9" s="1567" t="s">
        <v>8</v>
      </c>
      <c r="U9" s="1568">
        <f t="shared" si="1"/>
        <v>100</v>
      </c>
      <c r="V9" s="1567" t="s">
        <v>8</v>
      </c>
      <c r="W9" s="1568">
        <f t="shared" si="2"/>
        <v>100</v>
      </c>
      <c r="X9" s="1569"/>
      <c r="Y9" s="3336" t="s">
        <v>535</v>
      </c>
      <c r="Z9" s="1148" t="str">
        <f t="shared" ref="Z9:Z15" si="7">Q9</f>
        <v>用途</v>
      </c>
      <c r="AA9" s="1570">
        <f t="shared" si="3"/>
        <v>1</v>
      </c>
      <c r="AB9" s="1570">
        <f t="shared" si="4"/>
        <v>1</v>
      </c>
      <c r="AC9" s="1570">
        <f t="shared" si="5"/>
        <v>1</v>
      </c>
    </row>
    <row r="10" spans="1:29" s="1336" customFormat="1" ht="27">
      <c r="A10" s="2915"/>
      <c r="B10" s="2920" t="s">
        <v>2753</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90"/>
      <c r="Q10" s="1149" t="str">
        <f t="shared" si="6"/>
        <v>土地使用年限（年）</v>
      </c>
      <c r="R10" s="1567" t="s">
        <v>8</v>
      </c>
      <c r="S10" s="1568">
        <f t="shared" si="0"/>
        <v>100</v>
      </c>
      <c r="T10" s="1567" t="s">
        <v>8</v>
      </c>
      <c r="U10" s="1568">
        <f t="shared" si="1"/>
        <v>100</v>
      </c>
      <c r="V10" s="1567" t="s">
        <v>8</v>
      </c>
      <c r="W10" s="1568">
        <f t="shared" si="2"/>
        <v>100</v>
      </c>
      <c r="X10" s="1569"/>
      <c r="Y10" s="3336"/>
      <c r="Z10" s="1148" t="str">
        <f t="shared" si="7"/>
        <v>土地使用年限（年）</v>
      </c>
      <c r="AA10" s="1570">
        <f t="shared" si="3"/>
        <v>1</v>
      </c>
      <c r="AB10" s="1570">
        <f t="shared" si="4"/>
        <v>1</v>
      </c>
      <c r="AC10" s="1570">
        <f t="shared" si="5"/>
        <v>1</v>
      </c>
    </row>
    <row r="11" spans="1:29" ht="15">
      <c r="A11" s="2916"/>
      <c r="B11" s="2920"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90"/>
      <c r="Q11" s="1149" t="str">
        <f t="shared" si="6"/>
        <v>容积率</v>
      </c>
      <c r="R11" s="1567" t="s">
        <v>8</v>
      </c>
      <c r="S11" s="1568" t="e">
        <f t="shared" si="0"/>
        <v>#N/A</v>
      </c>
      <c r="T11" s="1567" t="s">
        <v>8</v>
      </c>
      <c r="U11" s="1568" t="e">
        <f t="shared" si="1"/>
        <v>#N/A</v>
      </c>
      <c r="V11" s="1567" t="s">
        <v>8</v>
      </c>
      <c r="W11" s="1568" t="e">
        <f t="shared" si="2"/>
        <v>#N/A</v>
      </c>
      <c r="X11" s="1569"/>
      <c r="Y11" s="3336"/>
      <c r="Z11" s="1148" t="str">
        <f t="shared" si="7"/>
        <v>容积率</v>
      </c>
      <c r="AA11" s="1570" t="e">
        <f t="shared" si="3"/>
        <v>#N/A</v>
      </c>
      <c r="AB11" s="1570" t="e">
        <f t="shared" si="4"/>
        <v>#N/A</v>
      </c>
      <c r="AC11" s="1570" t="e">
        <f t="shared" si="5"/>
        <v>#N/A</v>
      </c>
    </row>
    <row r="12" spans="1:29" s="1218" customFormat="1" ht="15">
      <c r="A12" s="2917"/>
      <c r="B12" s="2923">
        <v>111</v>
      </c>
      <c r="C12" s="527"/>
      <c r="D12" s="537">
        <v>100</v>
      </c>
      <c r="E12" s="538"/>
      <c r="F12" s="254">
        <f>SUMIF(64:64,E12,65:65)-SUMIF(64:64,C12,65:65)+100</f>
        <v>100</v>
      </c>
      <c r="G12" s="918"/>
      <c r="H12" s="254">
        <f>SUMIF(64:64,G12,65:65)-SUMIF(64:64,C12,65:65)+100</f>
        <v>100</v>
      </c>
      <c r="I12" s="878"/>
      <c r="J12" s="254">
        <f>SUMIF(64:64,I12,65:65)-SUMIF(64:64,C12,65:65)+100</f>
        <v>100</v>
      </c>
      <c r="K12" s="580"/>
      <c r="L12" s="2135"/>
      <c r="M12" s="2136"/>
      <c r="N12" s="2136"/>
      <c r="O12" s="2137"/>
      <c r="P12" s="3390"/>
      <c r="Q12" s="1149">
        <f t="shared" si="6"/>
        <v>111</v>
      </c>
      <c r="R12" s="1567" t="s">
        <v>8</v>
      </c>
      <c r="S12" s="1568">
        <f t="shared" si="0"/>
        <v>100</v>
      </c>
      <c r="T12" s="1567" t="s">
        <v>8</v>
      </c>
      <c r="U12" s="1568">
        <f t="shared" si="1"/>
        <v>100</v>
      </c>
      <c r="V12" s="1567" t="s">
        <v>8</v>
      </c>
      <c r="W12" s="1568">
        <f t="shared" si="2"/>
        <v>100</v>
      </c>
      <c r="X12" s="1569"/>
      <c r="Y12" s="3336"/>
      <c r="Z12" s="1148">
        <f t="shared" si="7"/>
        <v>111</v>
      </c>
      <c r="AA12" s="1570">
        <f>D12/F12</f>
        <v>1</v>
      </c>
      <c r="AB12" s="1570">
        <f>D12/H12</f>
        <v>1</v>
      </c>
      <c r="AC12" s="1570">
        <f>D12/J12</f>
        <v>1</v>
      </c>
    </row>
    <row r="13" spans="1:29" ht="15">
      <c r="A13" s="2917"/>
      <c r="B13" s="2923">
        <v>111</v>
      </c>
      <c r="C13" s="538"/>
      <c r="D13" s="539">
        <v>100</v>
      </c>
      <c r="E13" s="538"/>
      <c r="F13" s="254">
        <f>SUMIF(66:66,E13,67:67)-SUMIF(66:66,C13,67:67)+100</f>
        <v>100</v>
      </c>
      <c r="G13" s="918"/>
      <c r="H13" s="539">
        <f>SUMIF(66:66,G13,67:67)-SUMIF(66:66,C13,67:67)+100</f>
        <v>100</v>
      </c>
      <c r="I13" s="878"/>
      <c r="J13" s="539">
        <f>SUMIF(66:66,I13,67:67)-SUMIF(66:66,C13,67:67)+100</f>
        <v>100</v>
      </c>
      <c r="K13" s="580"/>
      <c r="L13" s="2142"/>
      <c r="M13" s="2134"/>
      <c r="N13" s="2134"/>
      <c r="O13" s="2141"/>
      <c r="P13" s="3390"/>
      <c r="Q13" s="1149">
        <f t="shared" si="6"/>
        <v>111</v>
      </c>
      <c r="R13" s="1567" t="s">
        <v>8</v>
      </c>
      <c r="S13" s="1568">
        <f t="shared" si="0"/>
        <v>100</v>
      </c>
      <c r="T13" s="1567" t="s">
        <v>8</v>
      </c>
      <c r="U13" s="1568">
        <f t="shared" si="1"/>
        <v>100</v>
      </c>
      <c r="V13" s="1567" t="s">
        <v>8</v>
      </c>
      <c r="W13" s="1568">
        <f t="shared" si="2"/>
        <v>100</v>
      </c>
      <c r="X13" s="1569"/>
      <c r="Y13" s="3336"/>
      <c r="Z13" s="1148">
        <f t="shared" si="7"/>
        <v>111</v>
      </c>
      <c r="AA13" s="1570">
        <f t="shared" si="3"/>
        <v>1</v>
      </c>
      <c r="AB13" s="1570">
        <f t="shared" si="4"/>
        <v>1</v>
      </c>
      <c r="AC13" s="1570">
        <f t="shared" si="5"/>
        <v>1</v>
      </c>
    </row>
    <row r="14" spans="1:29" ht="15.75" thickBot="1">
      <c r="A14" s="2918"/>
      <c r="B14" s="2924">
        <v>111</v>
      </c>
      <c r="C14" s="544"/>
      <c r="D14" s="545">
        <v>100</v>
      </c>
      <c r="E14" s="544"/>
      <c r="F14" s="545">
        <f>SUMIF(68:68,E14,69:69)-SUMIF(68:68,C14,69:69)+100</f>
        <v>100</v>
      </c>
      <c r="G14" s="918"/>
      <c r="H14" s="545">
        <f>SUMIF(68:68,G14,69:69)-SUMIF(68:68,C14,69:69)+100</f>
        <v>100</v>
      </c>
      <c r="I14" s="878"/>
      <c r="J14" s="545">
        <f>SUMIF(68:68,I14,69:69)-SUMIF(68:68,C14,69:69)+100</f>
        <v>100</v>
      </c>
      <c r="K14" s="580"/>
      <c r="L14" s="2142"/>
      <c r="M14" s="2134"/>
      <c r="N14" s="2134"/>
      <c r="O14" s="2141"/>
      <c r="P14" s="3390"/>
      <c r="Q14" s="1149">
        <f t="shared" si="6"/>
        <v>111</v>
      </c>
      <c r="R14" s="1567" t="s">
        <v>8</v>
      </c>
      <c r="S14" s="1568">
        <f t="shared" si="0"/>
        <v>100</v>
      </c>
      <c r="T14" s="1567" t="s">
        <v>8</v>
      </c>
      <c r="U14" s="1568">
        <f t="shared" si="1"/>
        <v>100</v>
      </c>
      <c r="V14" s="1567" t="s">
        <v>8</v>
      </c>
      <c r="W14" s="1568">
        <f t="shared" si="2"/>
        <v>100</v>
      </c>
      <c r="X14" s="1569"/>
      <c r="Y14" s="3336"/>
      <c r="Z14" s="1148">
        <f t="shared" si="7"/>
        <v>111</v>
      </c>
      <c r="AA14" s="1570">
        <f t="shared" si="3"/>
        <v>1</v>
      </c>
      <c r="AB14" s="1570">
        <f t="shared" si="4"/>
        <v>1</v>
      </c>
      <c r="AC14" s="1570">
        <f t="shared" si="5"/>
        <v>1</v>
      </c>
    </row>
    <row r="15" spans="1:29" ht="15">
      <c r="A15" s="2910" t="s">
        <v>2750</v>
      </c>
      <c r="B15" s="166" t="s">
        <v>788</v>
      </c>
      <c r="C15" s="919">
        <f>估价对象房地状况!G3</f>
        <v>0</v>
      </c>
      <c r="D15" s="548">
        <v>100</v>
      </c>
      <c r="E15" s="549"/>
      <c r="F15" s="550">
        <f>SUMIF(70:70,E16,71:71)-SUMIF(70:70,C16,71:71)+100</f>
        <v>100</v>
      </c>
      <c r="G15" s="551"/>
      <c r="H15" s="548">
        <f>SUMIF(70:70,G16,71:71)-SUMIF(70:70,C16,71:71)+100</f>
        <v>100</v>
      </c>
      <c r="I15" s="549"/>
      <c r="J15" s="548">
        <f>SUMIF(70:70,I16,71:71)-SUMIF(70:70,C16,71:71)+100</f>
        <v>100</v>
      </c>
      <c r="K15" s="896"/>
      <c r="L15" s="2142"/>
      <c r="M15" s="2134"/>
      <c r="N15" s="2134"/>
      <c r="O15" s="2141"/>
      <c r="P15" s="3424" t="s">
        <v>539</v>
      </c>
      <c r="Q15" s="1571" t="str">
        <f t="shared" si="6"/>
        <v>产业集聚程度</v>
      </c>
      <c r="R15" s="1572" t="s">
        <v>8</v>
      </c>
      <c r="S15" s="1573">
        <f t="shared" si="0"/>
        <v>100</v>
      </c>
      <c r="T15" s="1572" t="s">
        <v>8</v>
      </c>
      <c r="U15" s="1573">
        <f t="shared" si="1"/>
        <v>100</v>
      </c>
      <c r="V15" s="1572" t="s">
        <v>8</v>
      </c>
      <c r="W15" s="1573">
        <f t="shared" si="2"/>
        <v>100</v>
      </c>
      <c r="X15" s="1566"/>
      <c r="Y15" s="3424" t="s">
        <v>539</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7"/>
      <c r="L16" s="2142"/>
      <c r="M16" s="2134"/>
      <c r="N16" s="2134"/>
      <c r="O16" s="2141"/>
      <c r="P16" s="3425"/>
      <c r="Q16" s="1571"/>
      <c r="R16" s="1572"/>
      <c r="S16" s="1573"/>
      <c r="T16" s="1572"/>
      <c r="U16" s="1573"/>
      <c r="V16" s="1572"/>
      <c r="W16" s="1573"/>
      <c r="X16" s="1566"/>
      <c r="Y16" s="3425"/>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6"/>
      <c r="L17" s="2142"/>
      <c r="M17" s="2134"/>
      <c r="N17" s="2134"/>
      <c r="O17" s="2141"/>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2"/>
      <c r="M18" s="2134"/>
      <c r="N18" s="2134"/>
      <c r="O18" s="2141"/>
      <c r="P18" s="3425"/>
      <c r="Q18" s="1571"/>
      <c r="R18" s="1572"/>
      <c r="S18" s="1573"/>
      <c r="T18" s="1572"/>
      <c r="U18" s="1573"/>
      <c r="V18" s="1572"/>
      <c r="W18" s="1573"/>
      <c r="X18" s="1566"/>
      <c r="Y18" s="3425"/>
      <c r="Z18" s="1574"/>
      <c r="AA18" s="1575">
        <v>1</v>
      </c>
      <c r="AB18" s="1575">
        <v>1</v>
      </c>
      <c r="AC18" s="1575">
        <v>1</v>
      </c>
    </row>
    <row r="19" spans="1:29" ht="15">
      <c r="A19" s="531"/>
      <c r="B19" s="2603" t="s">
        <v>2543</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6"/>
      <c r="L19" s="2142"/>
      <c r="M19" s="2134"/>
      <c r="N19" s="2134"/>
      <c r="O19" s="2141"/>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7"/>
      <c r="L20" s="2142"/>
      <c r="M20" s="2134"/>
      <c r="N20" s="2134"/>
      <c r="O20" s="2141"/>
      <c r="P20" s="3425"/>
      <c r="Q20" s="1571"/>
      <c r="R20" s="1572"/>
      <c r="S20" s="1573"/>
      <c r="T20" s="1572"/>
      <c r="U20" s="1573"/>
      <c r="V20" s="1572"/>
      <c r="W20" s="1573"/>
      <c r="X20" s="1566"/>
      <c r="Y20" s="3425"/>
      <c r="Z20" s="1574"/>
      <c r="AA20" s="1575">
        <v>1</v>
      </c>
      <c r="AB20" s="1575">
        <v>1</v>
      </c>
      <c r="AC20" s="1575">
        <v>1</v>
      </c>
    </row>
    <row r="21" spans="1:29" ht="15">
      <c r="A21" s="531"/>
      <c r="B21" s="2591" t="s">
        <v>2555</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6"/>
      <c r="L21" s="2142"/>
      <c r="M21" s="2134"/>
      <c r="N21" s="2134"/>
      <c r="O21" s="2141"/>
      <c r="P21" s="3425"/>
      <c r="Q21" s="2579" t="str">
        <f>B21</f>
        <v>基础设施水平</v>
      </c>
      <c r="R21" s="1572" t="s">
        <v>8</v>
      </c>
      <c r="S21" s="1573">
        <f>F21</f>
        <v>100</v>
      </c>
      <c r="T21" s="1572" t="s">
        <v>8</v>
      </c>
      <c r="U21" s="1573">
        <f>H21</f>
        <v>100</v>
      </c>
      <c r="V21" s="1572" t="s">
        <v>8</v>
      </c>
      <c r="W21" s="1573">
        <f>J21</f>
        <v>100</v>
      </c>
      <c r="X21" s="2581"/>
      <c r="Y21" s="3425"/>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425"/>
      <c r="Q22" s="2579"/>
      <c r="R22" s="1572"/>
      <c r="S22" s="1573"/>
      <c r="T22" s="1572"/>
      <c r="U22" s="1573"/>
      <c r="V22" s="1572"/>
      <c r="W22" s="1573"/>
      <c r="X22" s="2581"/>
      <c r="Y22" s="3425"/>
      <c r="Z22" s="2580"/>
      <c r="AA22" s="1575">
        <v>1</v>
      </c>
      <c r="AB22" s="1575">
        <v>1</v>
      </c>
      <c r="AC22" s="1575">
        <v>1</v>
      </c>
    </row>
    <row r="23" spans="1:29" ht="15">
      <c r="A23" s="531"/>
      <c r="B23" s="870" t="s">
        <v>777</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6"/>
      <c r="L23" s="2142"/>
      <c r="M23" s="2134"/>
      <c r="N23" s="2134"/>
      <c r="O23" s="2141"/>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7"/>
      <c r="L24" s="2142"/>
      <c r="M24" s="2134"/>
      <c r="N24" s="2134"/>
      <c r="O24" s="2141"/>
      <c r="P24" s="3425"/>
      <c r="Q24" s="1571"/>
      <c r="R24" s="1572"/>
      <c r="S24" s="1573"/>
      <c r="T24" s="1572"/>
      <c r="U24" s="1573"/>
      <c r="V24" s="1572"/>
      <c r="W24" s="1573"/>
      <c r="X24" s="1566"/>
      <c r="Y24" s="3425"/>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25"/>
      <c r="Q25" s="1571">
        <f>B25</f>
        <v>111</v>
      </c>
      <c r="R25" s="1572" t="s">
        <v>8</v>
      </c>
      <c r="S25" s="1573">
        <f>F25</f>
        <v>100</v>
      </c>
      <c r="T25" s="1572" t="s">
        <v>8</v>
      </c>
      <c r="U25" s="1573">
        <f>H25</f>
        <v>100</v>
      </c>
      <c r="V25" s="1572" t="s">
        <v>8</v>
      </c>
      <c r="W25" s="1573">
        <f>J25</f>
        <v>100</v>
      </c>
      <c r="X25" s="1566"/>
      <c r="Y25" s="3425"/>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25"/>
      <c r="Q26" s="1571">
        <f t="shared" ref="Q26:Q40" si="11">B26</f>
        <v>111</v>
      </c>
      <c r="R26" s="1572" t="s">
        <v>8</v>
      </c>
      <c r="S26" s="1573">
        <f>F26</f>
        <v>100</v>
      </c>
      <c r="T26" s="1572" t="s">
        <v>8</v>
      </c>
      <c r="U26" s="1573">
        <f>H26</f>
        <v>100</v>
      </c>
      <c r="V26" s="1572" t="s">
        <v>8</v>
      </c>
      <c r="W26" s="1573">
        <f>J26</f>
        <v>100</v>
      </c>
      <c r="X26" s="1566"/>
      <c r="Y26" s="3425"/>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25"/>
      <c r="Q27" s="1149">
        <f t="shared" si="11"/>
        <v>111</v>
      </c>
      <c r="R27" s="1567" t="s">
        <v>8</v>
      </c>
      <c r="S27" s="1568">
        <f>F27</f>
        <v>100</v>
      </c>
      <c r="T27" s="1567" t="s">
        <v>8</v>
      </c>
      <c r="U27" s="1568">
        <f>H27</f>
        <v>100</v>
      </c>
      <c r="V27" s="1567" t="s">
        <v>8</v>
      </c>
      <c r="W27" s="1568">
        <f>J27</f>
        <v>100</v>
      </c>
      <c r="X27" s="1569"/>
      <c r="Y27" s="3425"/>
      <c r="Z27" s="1148">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2"/>
      <c r="M28" s="2134"/>
      <c r="N28" s="2134"/>
      <c r="O28" s="2141"/>
      <c r="P28" s="3425"/>
      <c r="Q28" s="1571">
        <f t="shared" si="11"/>
        <v>111</v>
      </c>
      <c r="R28" s="1572" t="s">
        <v>8</v>
      </c>
      <c r="S28" s="1573">
        <f t="shared" ref="S28:S40" si="12">F28</f>
        <v>100</v>
      </c>
      <c r="T28" s="1572" t="s">
        <v>8</v>
      </c>
      <c r="U28" s="1573">
        <f t="shared" ref="U28:U40" si="13">H28</f>
        <v>100</v>
      </c>
      <c r="V28" s="1572" t="s">
        <v>8</v>
      </c>
      <c r="W28" s="1573">
        <f t="shared" ref="W28:W40" si="14">J28</f>
        <v>100</v>
      </c>
      <c r="X28" s="1566"/>
      <c r="Y28" s="3425"/>
      <c r="Z28" s="1574">
        <f t="shared" ref="Z28:Z40" si="15">Q28</f>
        <v>111</v>
      </c>
      <c r="AA28" s="1575">
        <f t="shared" si="3"/>
        <v>1</v>
      </c>
      <c r="AB28" s="1575">
        <f t="shared" si="4"/>
        <v>1</v>
      </c>
      <c r="AC28" s="1575">
        <f t="shared" si="5"/>
        <v>1</v>
      </c>
    </row>
    <row r="29" spans="1:29" ht="15">
      <c r="A29" s="2907" t="s">
        <v>2751</v>
      </c>
      <c r="B29" s="172" t="s">
        <v>779</v>
      </c>
      <c r="C29" s="914"/>
      <c r="D29" s="596">
        <v>100</v>
      </c>
      <c r="E29" s="914"/>
      <c r="F29" s="574">
        <f>SUMIF(88:88,E29,89:89)-SUMIF(88:88,C29,89:89)+100</f>
        <v>100</v>
      </c>
      <c r="G29" s="914"/>
      <c r="H29" s="539">
        <f>SUMIF(88:88,G29,89:89)-SUMIF(88:88,C29,89:89)+100</f>
        <v>100</v>
      </c>
      <c r="I29" s="914"/>
      <c r="J29" s="596">
        <f>SUMIF(88:88,I29,89:89)-SUMIF(88:88,C29,89:89)+100</f>
        <v>100</v>
      </c>
      <c r="K29" s="583"/>
      <c r="L29" s="2142"/>
      <c r="M29" s="2134"/>
      <c r="N29" s="2134"/>
      <c r="O29" s="2141"/>
      <c r="P29" s="3426" t="s">
        <v>549</v>
      </c>
      <c r="Q29" s="1571" t="str">
        <f t="shared" si="11"/>
        <v>建筑类型</v>
      </c>
      <c r="R29" s="1572" t="s">
        <v>8</v>
      </c>
      <c r="S29" s="1573">
        <f t="shared" si="12"/>
        <v>100</v>
      </c>
      <c r="T29" s="1572" t="s">
        <v>8</v>
      </c>
      <c r="U29" s="1573">
        <f t="shared" si="13"/>
        <v>100</v>
      </c>
      <c r="V29" s="1572" t="s">
        <v>8</v>
      </c>
      <c r="W29" s="1573">
        <f t="shared" si="14"/>
        <v>100</v>
      </c>
      <c r="X29" s="1566"/>
      <c r="Y29" s="3427" t="s">
        <v>549</v>
      </c>
      <c r="Z29" s="1574" t="str">
        <f t="shared" si="15"/>
        <v>建筑类型</v>
      </c>
      <c r="AA29" s="1575">
        <f t="shared" si="3"/>
        <v>1</v>
      </c>
      <c r="AB29" s="1575">
        <f t="shared" si="4"/>
        <v>1</v>
      </c>
      <c r="AC29" s="1575">
        <f t="shared" si="5"/>
        <v>1</v>
      </c>
    </row>
    <row r="30" spans="1:29" s="1337" customFormat="1" ht="15">
      <c r="A30" s="602"/>
      <c r="B30" s="526" t="s">
        <v>725</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27"/>
      <c r="Q30" s="1604" t="str">
        <f t="shared" si="11"/>
        <v>项目建筑规模</v>
      </c>
      <c r="R30" s="1576" t="s">
        <v>8</v>
      </c>
      <c r="S30" s="1577" t="e">
        <f t="shared" si="12"/>
        <v>#N/A</v>
      </c>
      <c r="T30" s="1576" t="s">
        <v>8</v>
      </c>
      <c r="U30" s="1577" t="e">
        <f t="shared" si="13"/>
        <v>#N/A</v>
      </c>
      <c r="V30" s="1576" t="s">
        <v>8</v>
      </c>
      <c r="W30" s="1577" t="e">
        <f t="shared" si="14"/>
        <v>#N/A</v>
      </c>
      <c r="X30" s="1578"/>
      <c r="Y30" s="3427"/>
      <c r="Z30" s="1579" t="str">
        <f t="shared" si="15"/>
        <v>项目建筑规模</v>
      </c>
      <c r="AA30" s="1575" t="e">
        <f t="shared" si="3"/>
        <v>#N/A</v>
      </c>
      <c r="AB30" s="1575" t="e">
        <f t="shared" si="4"/>
        <v>#N/A</v>
      </c>
      <c r="AC30" s="1575"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27"/>
      <c r="Q31" s="1571" t="str">
        <f t="shared" si="11"/>
        <v>建筑结构</v>
      </c>
      <c r="R31" s="1572" t="s">
        <v>8</v>
      </c>
      <c r="S31" s="1573">
        <f t="shared" si="12"/>
        <v>100</v>
      </c>
      <c r="T31" s="1572" t="s">
        <v>8</v>
      </c>
      <c r="U31" s="1573">
        <f t="shared" si="13"/>
        <v>100</v>
      </c>
      <c r="V31" s="1572" t="s">
        <v>8</v>
      </c>
      <c r="W31" s="1573">
        <f t="shared" si="14"/>
        <v>100</v>
      </c>
      <c r="X31" s="1566"/>
      <c r="Y31" s="3427"/>
      <c r="Z31" s="1574" t="str">
        <f t="shared" si="15"/>
        <v>建筑结构</v>
      </c>
      <c r="AA31" s="1575">
        <f t="shared" si="3"/>
        <v>1</v>
      </c>
      <c r="AB31" s="1575">
        <f t="shared" si="4"/>
        <v>1</v>
      </c>
      <c r="AC31" s="1575">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27"/>
      <c r="Q32" s="1571" t="str">
        <f t="shared" si="11"/>
        <v>公共部分装修</v>
      </c>
      <c r="R32" s="1572" t="s">
        <v>8</v>
      </c>
      <c r="S32" s="1573">
        <f t="shared" si="12"/>
        <v>100</v>
      </c>
      <c r="T32" s="1572" t="s">
        <v>8</v>
      </c>
      <c r="U32" s="1573">
        <f t="shared" si="13"/>
        <v>100</v>
      </c>
      <c r="V32" s="1572" t="s">
        <v>8</v>
      </c>
      <c r="W32" s="1573">
        <f t="shared" si="14"/>
        <v>100</v>
      </c>
      <c r="X32" s="1566"/>
      <c r="Y32" s="3427"/>
      <c r="Z32" s="1574" t="str">
        <f t="shared" si="15"/>
        <v>公共部分装修</v>
      </c>
      <c r="AA32" s="1575">
        <f t="shared" si="3"/>
        <v>1</v>
      </c>
      <c r="AB32" s="1575">
        <f t="shared" si="4"/>
        <v>1</v>
      </c>
      <c r="AC32" s="1575">
        <f t="shared" si="5"/>
        <v>1</v>
      </c>
    </row>
    <row r="33" spans="1:29" ht="15">
      <c r="A33" s="593"/>
      <c r="B33" s="526" t="s">
        <v>763</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2"/>
      <c r="M33" s="2134"/>
      <c r="N33" s="2134"/>
      <c r="O33" s="2141"/>
      <c r="P33" s="3427"/>
      <c r="Q33" s="1571" t="str">
        <f t="shared" si="11"/>
        <v>成新度</v>
      </c>
      <c r="R33" s="1572" t="s">
        <v>8</v>
      </c>
      <c r="S33" s="1573" t="e">
        <f t="shared" si="12"/>
        <v>#N/A</v>
      </c>
      <c r="T33" s="1572" t="s">
        <v>8</v>
      </c>
      <c r="U33" s="1573" t="e">
        <f t="shared" si="13"/>
        <v>#N/A</v>
      </c>
      <c r="V33" s="1572" t="s">
        <v>8</v>
      </c>
      <c r="W33" s="1573" t="e">
        <f t="shared" si="14"/>
        <v>#N/A</v>
      </c>
      <c r="X33" s="1566"/>
      <c r="Y33" s="3427"/>
      <c r="Z33" s="1574" t="str">
        <f t="shared" si="15"/>
        <v>成新度</v>
      </c>
      <c r="AA33" s="1575" t="e">
        <f t="shared" si="3"/>
        <v>#N/A</v>
      </c>
      <c r="AB33" s="1575" t="e">
        <f t="shared" si="4"/>
        <v>#N/A</v>
      </c>
      <c r="AC33" s="1575"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27"/>
      <c r="Q34" s="1149" t="str">
        <f t="shared" si="11"/>
        <v>物业管理</v>
      </c>
      <c r="R34" s="1567" t="s">
        <v>8</v>
      </c>
      <c r="S34" s="1568">
        <f t="shared" si="12"/>
        <v>100</v>
      </c>
      <c r="T34" s="1567" t="s">
        <v>8</v>
      </c>
      <c r="U34" s="1568">
        <f t="shared" si="13"/>
        <v>100</v>
      </c>
      <c r="V34" s="1567" t="s">
        <v>8</v>
      </c>
      <c r="W34" s="1568">
        <f t="shared" si="14"/>
        <v>100</v>
      </c>
      <c r="X34" s="1569"/>
      <c r="Y34" s="3427"/>
      <c r="Z34" s="1148" t="str">
        <f t="shared" si="15"/>
        <v>物业管理</v>
      </c>
      <c r="AA34" s="1570">
        <f t="shared" si="3"/>
        <v>1</v>
      </c>
      <c r="AB34" s="1570">
        <f t="shared" si="4"/>
        <v>1</v>
      </c>
      <c r="AC34" s="1570">
        <f t="shared" si="5"/>
        <v>1</v>
      </c>
    </row>
    <row r="35" spans="1:29" ht="15">
      <c r="A35" s="593"/>
      <c r="B35" s="1895"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27" t="s">
        <v>549</v>
      </c>
      <c r="Q35" s="1571" t="str">
        <f t="shared" si="11"/>
        <v>市政基础设施</v>
      </c>
      <c r="R35" s="1572" t="s">
        <v>8</v>
      </c>
      <c r="S35" s="1573">
        <f t="shared" si="12"/>
        <v>100</v>
      </c>
      <c r="T35" s="1572" t="s">
        <v>8</v>
      </c>
      <c r="U35" s="1573">
        <f t="shared" si="13"/>
        <v>100</v>
      </c>
      <c r="V35" s="1572" t="s">
        <v>8</v>
      </c>
      <c r="W35" s="1573">
        <f t="shared" si="14"/>
        <v>100</v>
      </c>
      <c r="X35" s="1566"/>
      <c r="Y35" s="3427" t="s">
        <v>549</v>
      </c>
      <c r="Z35" s="1574" t="str">
        <f t="shared" si="15"/>
        <v>市政基础设施</v>
      </c>
      <c r="AA35" s="1575">
        <f t="shared" si="3"/>
        <v>1</v>
      </c>
      <c r="AB35" s="1575">
        <f t="shared" si="4"/>
        <v>1</v>
      </c>
      <c r="AC35" s="1575">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27"/>
      <c r="Q36" s="1571" t="str">
        <f t="shared" si="11"/>
        <v>内部装修</v>
      </c>
      <c r="R36" s="1572" t="s">
        <v>8</v>
      </c>
      <c r="S36" s="1573">
        <f t="shared" si="12"/>
        <v>100</v>
      </c>
      <c r="T36" s="1572" t="s">
        <v>8</v>
      </c>
      <c r="U36" s="1573">
        <f t="shared" si="13"/>
        <v>100</v>
      </c>
      <c r="V36" s="1572" t="s">
        <v>8</v>
      </c>
      <c r="W36" s="1573">
        <f t="shared" si="14"/>
        <v>100</v>
      </c>
      <c r="X36" s="1566"/>
      <c r="Y36" s="3427"/>
      <c r="Z36" s="1574" t="str">
        <f t="shared" si="15"/>
        <v>内部装修</v>
      </c>
      <c r="AA36" s="1575">
        <f t="shared" si="3"/>
        <v>1</v>
      </c>
      <c r="AB36" s="1575">
        <f t="shared" si="4"/>
        <v>1</v>
      </c>
      <c r="AC36" s="1575">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27"/>
      <c r="Q37" s="1571" t="str">
        <f t="shared" si="11"/>
        <v>内部装修状况</v>
      </c>
      <c r="R37" s="1572" t="s">
        <v>8</v>
      </c>
      <c r="S37" s="1573">
        <f t="shared" si="12"/>
        <v>100</v>
      </c>
      <c r="T37" s="1572" t="s">
        <v>8</v>
      </c>
      <c r="U37" s="1573">
        <f t="shared" si="13"/>
        <v>100</v>
      </c>
      <c r="V37" s="1572" t="s">
        <v>8</v>
      </c>
      <c r="W37" s="1573">
        <f t="shared" si="14"/>
        <v>100</v>
      </c>
      <c r="X37" s="1566"/>
      <c r="Y37" s="3427"/>
      <c r="Z37" s="1574" t="str">
        <f t="shared" si="15"/>
        <v>内部装修状况</v>
      </c>
      <c r="AA37" s="1575">
        <f t="shared" si="3"/>
        <v>1</v>
      </c>
      <c r="AB37" s="1575">
        <f t="shared" si="4"/>
        <v>1</v>
      </c>
      <c r="AC37" s="1575">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40"/>
      <c r="M38" s="2171"/>
      <c r="N38" s="2171"/>
      <c r="O38" s="2143"/>
      <c r="P38" s="3427"/>
      <c r="Q38" s="1604">
        <f t="shared" si="11"/>
        <v>111</v>
      </c>
      <c r="R38" s="1576" t="s">
        <v>8</v>
      </c>
      <c r="S38" s="1577">
        <f t="shared" si="12"/>
        <v>100</v>
      </c>
      <c r="T38" s="1576" t="s">
        <v>8</v>
      </c>
      <c r="U38" s="1577">
        <f t="shared" si="13"/>
        <v>100</v>
      </c>
      <c r="V38" s="1576" t="s">
        <v>8</v>
      </c>
      <c r="W38" s="1577">
        <f t="shared" si="14"/>
        <v>100</v>
      </c>
      <c r="X38" s="1578"/>
      <c r="Y38" s="3427"/>
      <c r="Z38" s="1579">
        <f t="shared" si="15"/>
        <v>111</v>
      </c>
      <c r="AA38" s="1575">
        <f t="shared" si="3"/>
        <v>1</v>
      </c>
      <c r="AB38" s="1575">
        <f t="shared" si="4"/>
        <v>1</v>
      </c>
      <c r="AC38" s="1575">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2"/>
      <c r="M39" s="2134"/>
      <c r="N39" s="2134"/>
      <c r="O39" s="2141"/>
      <c r="P39" s="3427"/>
      <c r="Q39" s="1571">
        <f t="shared" si="11"/>
        <v>111</v>
      </c>
      <c r="R39" s="1572" t="s">
        <v>8</v>
      </c>
      <c r="S39" s="1573">
        <f t="shared" si="12"/>
        <v>100</v>
      </c>
      <c r="T39" s="1572" t="s">
        <v>8</v>
      </c>
      <c r="U39" s="1573">
        <f t="shared" si="13"/>
        <v>100</v>
      </c>
      <c r="V39" s="1572" t="s">
        <v>8</v>
      </c>
      <c r="W39" s="1573">
        <f t="shared" si="14"/>
        <v>100</v>
      </c>
      <c r="X39" s="1566"/>
      <c r="Y39" s="3427"/>
      <c r="Z39" s="1574">
        <f t="shared" si="15"/>
        <v>111</v>
      </c>
      <c r="AA39" s="1575">
        <f t="shared" si="3"/>
        <v>1</v>
      </c>
      <c r="AB39" s="1575">
        <f t="shared" si="4"/>
        <v>1</v>
      </c>
      <c r="AC39" s="1575">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2"/>
      <c r="M40" s="2134"/>
      <c r="N40" s="2134"/>
      <c r="O40" s="2141"/>
      <c r="P40" s="3481"/>
      <c r="Q40" s="1571">
        <f t="shared" si="11"/>
        <v>111</v>
      </c>
      <c r="R40" s="1572" t="s">
        <v>8</v>
      </c>
      <c r="S40" s="1573">
        <f t="shared" si="12"/>
        <v>100</v>
      </c>
      <c r="T40" s="1572" t="s">
        <v>8</v>
      </c>
      <c r="U40" s="1573">
        <f t="shared" si="13"/>
        <v>100</v>
      </c>
      <c r="V40" s="1572" t="s">
        <v>8</v>
      </c>
      <c r="W40" s="1573">
        <f t="shared" si="14"/>
        <v>100</v>
      </c>
      <c r="X40" s="1566"/>
      <c r="Y40" s="3481"/>
      <c r="Z40" s="1574">
        <f t="shared" si="15"/>
        <v>111</v>
      </c>
      <c r="AA40" s="1575">
        <f t="shared" si="3"/>
        <v>1</v>
      </c>
      <c r="AB40" s="1575">
        <f t="shared" si="4"/>
        <v>1</v>
      </c>
      <c r="AC40" s="1575">
        <f t="shared" si="5"/>
        <v>1</v>
      </c>
    </row>
    <row r="41" spans="1:29" ht="15">
      <c r="A41" s="606" t="s">
        <v>735</v>
      </c>
      <c r="B41" s="885"/>
      <c r="C41" s="2627" t="s">
        <v>1</v>
      </c>
      <c r="D41" s="2628"/>
      <c r="E41" s="2629"/>
      <c r="F41" s="2630"/>
      <c r="G41" s="2631"/>
      <c r="H41" s="2632"/>
      <c r="I41" s="2629"/>
      <c r="J41" s="2632"/>
      <c r="K41" s="1610"/>
      <c r="L41" s="2144"/>
      <c r="M41" s="2145"/>
      <c r="N41" s="2134"/>
      <c r="O41" s="2145"/>
      <c r="P41" s="3390" t="str">
        <f>A41</f>
        <v>成交单价（元/平方米）</v>
      </c>
      <c r="Q41" s="3390"/>
      <c r="R41" s="3480">
        <f>E41</f>
        <v>0</v>
      </c>
      <c r="S41" s="3480"/>
      <c r="T41" s="3480">
        <f>G41</f>
        <v>0</v>
      </c>
      <c r="U41" s="3480"/>
      <c r="V41" s="3480">
        <f>I41</f>
        <v>0</v>
      </c>
      <c r="W41" s="3480"/>
      <c r="X41" s="1558"/>
      <c r="Y41" s="1580"/>
      <c r="Z41" s="1558"/>
      <c r="AA41" s="1558"/>
      <c r="AB41" s="1558"/>
      <c r="AC41" s="1558"/>
    </row>
    <row r="42" spans="1:29" ht="15.75" thickBot="1">
      <c r="A42" s="614" t="s">
        <v>2756</v>
      </c>
      <c r="B42" s="886"/>
      <c r="C42" s="2633" t="e">
        <f>R43</f>
        <v>#DIV/0!</v>
      </c>
      <c r="D42" s="2634"/>
      <c r="E42" s="2635" t="e">
        <f>R42</f>
        <v>#DIV/0!</v>
      </c>
      <c r="F42" s="2635"/>
      <c r="G42" s="2633" t="e">
        <f>T42</f>
        <v>#DIV/0!</v>
      </c>
      <c r="H42" s="2634"/>
      <c r="I42" s="2635" t="e">
        <f>V42</f>
        <v>#DIV/0!</v>
      </c>
      <c r="J42" s="2634"/>
      <c r="K42" s="1611"/>
      <c r="L42" s="2144"/>
      <c r="M42" s="2145"/>
      <c r="N42" s="2134"/>
      <c r="O42" s="2145"/>
      <c r="P42" s="3390" t="str">
        <f>A42</f>
        <v>比较价格（元/平方米）</v>
      </c>
      <c r="Q42" s="3390"/>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58"/>
      <c r="Y42" s="1558"/>
      <c r="Z42" s="1558"/>
      <c r="AA42" s="1558"/>
      <c r="AB42" s="1558"/>
      <c r="AC42" s="1558"/>
    </row>
    <row r="43" spans="1:29" ht="15.75" thickBot="1">
      <c r="A43" s="620" t="s">
        <v>2922</v>
      </c>
      <c r="B43" s="621"/>
      <c r="C43" s="2636" t="e">
        <f>R43</f>
        <v>#DIV/0!</v>
      </c>
      <c r="D43" s="2636"/>
      <c r="E43" s="2636"/>
      <c r="F43" s="2636"/>
      <c r="G43" s="2636"/>
      <c r="H43" s="2636"/>
      <c r="I43" s="2636"/>
      <c r="J43" s="2636"/>
      <c r="K43" s="1612"/>
      <c r="L43" s="2144"/>
      <c r="M43" s="2145"/>
      <c r="N43" s="2145"/>
      <c r="O43" s="2145"/>
      <c r="P43" s="3387" t="str">
        <f>A43</f>
        <v>估价对象XX用房的比较价格（楼面单价，元/平方米）</v>
      </c>
      <c r="Q43" s="3388"/>
      <c r="R43" s="3479" t="e">
        <f>IF(F1="售价",ROUND(AVERAGE(R42:V42),0),ROUND(AVERAGE(R42:V42),1))</f>
        <v>#DIV/0!</v>
      </c>
      <c r="S43" s="3479"/>
      <c r="T43" s="3479"/>
      <c r="U43" s="3479"/>
      <c r="V43" s="3479"/>
      <c r="W43" s="3479"/>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4" t="s">
        <v>528</v>
      </c>
      <c r="B52" s="645"/>
      <c r="C52" s="2802" t="str">
        <f>YEAR(C7)&amp;"-"&amp;MONTH(C7)</f>
        <v>2018-12</v>
      </c>
      <c r="D52" s="2804">
        <f>EDATE(C52,-1)</f>
        <v>43405</v>
      </c>
      <c r="E52" s="2804">
        <f t="shared" ref="E52:O52" si="16">EDATE(D52,-1)</f>
        <v>43374</v>
      </c>
      <c r="F52" s="2804">
        <f t="shared" si="16"/>
        <v>43344</v>
      </c>
      <c r="G52" s="2804">
        <f t="shared" si="16"/>
        <v>43313</v>
      </c>
      <c r="H52" s="2804">
        <f t="shared" si="16"/>
        <v>43282</v>
      </c>
      <c r="I52" s="2804">
        <f t="shared" si="16"/>
        <v>43252</v>
      </c>
      <c r="J52" s="2804">
        <f t="shared" si="16"/>
        <v>43221</v>
      </c>
      <c r="K52" s="2804">
        <f t="shared" si="16"/>
        <v>43191</v>
      </c>
      <c r="L52" s="2804">
        <f t="shared" si="16"/>
        <v>43160</v>
      </c>
      <c r="M52" s="2804">
        <f t="shared" si="16"/>
        <v>43132</v>
      </c>
      <c r="N52" s="2804">
        <f t="shared" si="16"/>
        <v>43101</v>
      </c>
      <c r="O52" s="2804">
        <f t="shared" si="16"/>
        <v>43070</v>
      </c>
      <c r="P52" s="2160"/>
      <c r="Q52" s="2161"/>
      <c r="R52" s="2161"/>
      <c r="S52" s="2161"/>
      <c r="T52" s="2161"/>
      <c r="U52" s="2161"/>
      <c r="V52" s="2161"/>
      <c r="W52" s="2161"/>
      <c r="X52" s="2161"/>
      <c r="Y52" s="2161"/>
      <c r="Z52" s="2161"/>
      <c r="AA52" s="2161"/>
      <c r="AB52" s="2161"/>
      <c r="AC52" s="2161"/>
    </row>
    <row r="53" spans="1:29" s="1218"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8" customFormat="1" ht="15.75" thickBot="1">
      <c r="A54" s="652" t="s">
        <v>574</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8" customFormat="1" ht="15">
      <c r="A55" s="658" t="s">
        <v>530</v>
      </c>
      <c r="B55" s="647"/>
      <c r="C55" s="659" t="s">
        <v>575</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576</v>
      </c>
      <c r="B57" s="664" t="s">
        <v>533</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538</v>
      </c>
      <c r="B70" s="664" t="s">
        <v>584</v>
      </c>
      <c r="C70" s="702" t="s">
        <v>578</v>
      </c>
      <c r="D70" s="702" t="s">
        <v>579</v>
      </c>
      <c r="E70" s="702" t="s">
        <v>580</v>
      </c>
      <c r="F70" s="702" t="s">
        <v>581</v>
      </c>
      <c r="G70" s="702" t="s">
        <v>582</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585</v>
      </c>
      <c r="C72" s="707" t="s">
        <v>578</v>
      </c>
      <c r="D72" s="707" t="s">
        <v>579</v>
      </c>
      <c r="E72" s="707" t="s">
        <v>580</v>
      </c>
      <c r="F72" s="707" t="s">
        <v>581</v>
      </c>
      <c r="G72" s="707" t="s">
        <v>582</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2554</v>
      </c>
      <c r="C74" s="707" t="s">
        <v>578</v>
      </c>
      <c r="D74" s="707" t="s">
        <v>579</v>
      </c>
      <c r="E74" s="707" t="s">
        <v>580</v>
      </c>
      <c r="F74" s="707" t="s">
        <v>581</v>
      </c>
      <c r="G74" s="707" t="s">
        <v>582</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97" t="s">
        <v>2555</v>
      </c>
      <c r="C76" s="2598" t="s">
        <v>2556</v>
      </c>
      <c r="D76" s="2598" t="s">
        <v>2557</v>
      </c>
      <c r="E76" s="2598" t="s">
        <v>2558</v>
      </c>
      <c r="F76" s="2598" t="s">
        <v>2559</v>
      </c>
      <c r="G76" s="2598" t="s">
        <v>2560</v>
      </c>
      <c r="H76" s="933"/>
      <c r="I76" s="933"/>
      <c r="J76" s="933"/>
      <c r="K76" s="933"/>
      <c r="L76" s="933"/>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783</v>
      </c>
      <c r="C78" s="707" t="s">
        <v>578</v>
      </c>
      <c r="D78" s="707" t="s">
        <v>579</v>
      </c>
      <c r="E78" s="707" t="s">
        <v>580</v>
      </c>
      <c r="F78" s="707" t="s">
        <v>581</v>
      </c>
      <c r="G78" s="707" t="s">
        <v>582</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8"/>
      <c r="B80" s="672">
        <f>B25</f>
        <v>111</v>
      </c>
      <c r="C80" s="687"/>
      <c r="D80" s="687"/>
      <c r="E80" s="687"/>
      <c r="F80" s="687"/>
      <c r="G80" s="687"/>
      <c r="H80" s="687"/>
      <c r="I80" s="687"/>
      <c r="J80" s="687"/>
      <c r="K80" s="687"/>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8"/>
      <c r="B82" s="672">
        <f>B26</f>
        <v>111</v>
      </c>
      <c r="C82" s="687"/>
      <c r="D82" s="687"/>
      <c r="E82" s="687"/>
      <c r="F82" s="687"/>
      <c r="G82" s="687"/>
      <c r="H82" s="687"/>
      <c r="I82" s="687"/>
      <c r="J82" s="687"/>
      <c r="K82" s="687"/>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6"/>
      <c r="B84" s="672">
        <f>B27</f>
        <v>111</v>
      </c>
      <c r="C84" s="687"/>
      <c r="D84" s="687"/>
      <c r="E84" s="687"/>
      <c r="F84" s="687"/>
      <c r="G84" s="687"/>
      <c r="H84" s="687"/>
      <c r="I84" s="687"/>
      <c r="J84" s="687"/>
      <c r="K84" s="687"/>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1"/>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550</v>
      </c>
      <c r="B88" s="664" t="s">
        <v>746</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748</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750</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7"/>
      <c r="B100" s="672" t="s">
        <v>752</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2553</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754</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5" t="s">
        <v>790</v>
      </c>
      <c r="C106" s="707" t="s">
        <v>578</v>
      </c>
      <c r="D106" s="707" t="s">
        <v>579</v>
      </c>
      <c r="E106" s="707" t="s">
        <v>580</v>
      </c>
      <c r="F106" s="707" t="s">
        <v>581</v>
      </c>
      <c r="G106" s="707" t="s">
        <v>582</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1"/>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1"/>
      <c r="C1" s="503" t="s">
        <v>791</v>
      </c>
      <c r="D1" s="848"/>
      <c r="E1" s="505"/>
      <c r="F1" s="2807"/>
      <c r="G1" s="1600" t="s">
        <v>792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793</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794</v>
      </c>
      <c r="B3" s="509" t="e">
        <f>IF(B37="元/平方米",C39,ROUND(B2*10000/D3,0))</f>
        <v>#DIV/0!</v>
      </c>
      <c r="C3" s="851" t="s">
        <v>795</v>
      </c>
      <c r="D3" s="850">
        <f>SUMIF('数据-汇总表'!$C19:$C33,D1,'数据-汇总表'!$E19:$E33)</f>
        <v>0</v>
      </c>
      <c r="E3" s="1848" t="s">
        <v>2076</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796</v>
      </c>
      <c r="B4" s="512"/>
      <c r="C4" s="3396" t="s">
        <v>797</v>
      </c>
      <c r="D4" s="3397"/>
      <c r="E4" s="3396" t="s">
        <v>798</v>
      </c>
      <c r="F4" s="3397"/>
      <c r="G4" s="3396" t="s">
        <v>799</v>
      </c>
      <c r="H4" s="3397"/>
      <c r="I4" s="3396" t="s">
        <v>800</v>
      </c>
      <c r="J4" s="3397"/>
      <c r="K4" s="513" t="s">
        <v>801</v>
      </c>
      <c r="L4" s="2133"/>
      <c r="M4" s="2134"/>
      <c r="N4" s="2134"/>
      <c r="O4" s="2134"/>
      <c r="P4" s="3398" t="s">
        <v>802</v>
      </c>
      <c r="Q4" s="3399"/>
      <c r="R4" s="3404" t="s">
        <v>798</v>
      </c>
      <c r="S4" s="3405"/>
      <c r="T4" s="3404" t="s">
        <v>799</v>
      </c>
      <c r="U4" s="3405"/>
      <c r="V4" s="3391" t="s">
        <v>800</v>
      </c>
      <c r="W4" s="3391"/>
      <c r="X4" s="1566"/>
      <c r="Y4" s="3404" t="s">
        <v>802</v>
      </c>
      <c r="Z4" s="3405"/>
      <c r="AA4" s="3393" t="s">
        <v>798</v>
      </c>
      <c r="AB4" s="3394" t="s">
        <v>799</v>
      </c>
      <c r="AC4" s="3393" t="s">
        <v>800</v>
      </c>
    </row>
    <row r="5" spans="1:29" ht="15">
      <c r="A5" s="514"/>
      <c r="B5" s="515"/>
      <c r="C5" s="3412" t="s">
        <v>2916</v>
      </c>
      <c r="D5" s="3413"/>
      <c r="E5" s="3412" t="s">
        <v>2917</v>
      </c>
      <c r="F5" s="3413"/>
      <c r="G5" s="3412" t="s">
        <v>2918</v>
      </c>
      <c r="H5" s="3413"/>
      <c r="I5" s="3412" t="s">
        <v>2919</v>
      </c>
      <c r="J5" s="3413"/>
      <c r="K5" s="513"/>
      <c r="L5" s="2133"/>
      <c r="M5" s="2134"/>
      <c r="N5" s="2134"/>
      <c r="O5" s="2134"/>
      <c r="P5" s="3400"/>
      <c r="Q5" s="3401"/>
      <c r="R5" s="3406"/>
      <c r="S5" s="3407"/>
      <c r="T5" s="3406"/>
      <c r="U5" s="3407"/>
      <c r="V5" s="3391"/>
      <c r="W5" s="3391"/>
      <c r="X5" s="1566"/>
      <c r="Y5" s="3406"/>
      <c r="Z5" s="3407"/>
      <c r="AA5" s="3394"/>
      <c r="AB5" s="3394"/>
      <c r="AC5" s="3394"/>
    </row>
    <row r="6" spans="1:29" ht="15.75" thickBot="1">
      <c r="A6" s="516"/>
      <c r="B6" s="517"/>
      <c r="C6" s="3410" t="s">
        <v>2920</v>
      </c>
      <c r="D6" s="3411"/>
      <c r="E6" s="3414" t="s">
        <v>2920</v>
      </c>
      <c r="F6" s="3415"/>
      <c r="G6" s="3410" t="s">
        <v>2920</v>
      </c>
      <c r="H6" s="3411"/>
      <c r="I6" s="3410" t="s">
        <v>2920</v>
      </c>
      <c r="J6" s="3411"/>
      <c r="K6" s="513" t="s">
        <v>527</v>
      </c>
      <c r="L6" s="2133"/>
      <c r="M6" s="2134"/>
      <c r="N6" s="2134"/>
      <c r="O6" s="2134"/>
      <c r="P6" s="3402"/>
      <c r="Q6" s="3403"/>
      <c r="R6" s="3406"/>
      <c r="S6" s="3407"/>
      <c r="T6" s="3408"/>
      <c r="U6" s="3409"/>
      <c r="V6" s="3391"/>
      <c r="W6" s="3391"/>
      <c r="X6" s="1566"/>
      <c r="Y6" s="3408"/>
      <c r="Z6" s="3409"/>
      <c r="AA6" s="3395"/>
      <c r="AB6" s="3395"/>
      <c r="AC6" s="3395"/>
    </row>
    <row r="7" spans="1:29" s="1218" customFormat="1" ht="15.75" thickBot="1">
      <c r="A7" s="2912"/>
      <c r="B7" s="2919" t="s">
        <v>528</v>
      </c>
      <c r="C7" s="518">
        <f>'数据-取费表'!B2</f>
        <v>43445</v>
      </c>
      <c r="D7" s="519">
        <v>100</v>
      </c>
      <c r="E7" s="520"/>
      <c r="F7" s="521">
        <f>SUMIF(48:48,YEAR(E7)&amp;"-"&amp;MONTH(E7),49:49)</f>
        <v>0</v>
      </c>
      <c r="G7" s="522"/>
      <c r="H7" s="519">
        <f>SUMIF(48:48,YEAR(G7)&amp;"-"&amp;MONTH(G7),49:49)</f>
        <v>0</v>
      </c>
      <c r="I7" s="522"/>
      <c r="J7" s="519">
        <f>SUMIF(48:48,YEAR(I7)&amp;"-"&amp;MONTH(I7),49:49)</f>
        <v>0</v>
      </c>
      <c r="K7" s="523"/>
      <c r="L7" s="2135"/>
      <c r="M7" s="2136"/>
      <c r="N7" s="2136"/>
      <c r="O7" s="2136"/>
      <c r="P7" s="3421" t="s">
        <v>529</v>
      </c>
      <c r="Q7" s="3423"/>
      <c r="R7" s="1567" t="s">
        <v>8</v>
      </c>
      <c r="S7" s="1568">
        <f t="shared" ref="S7:S14" si="0">F7</f>
        <v>0</v>
      </c>
      <c r="T7" s="1567" t="s">
        <v>8</v>
      </c>
      <c r="U7" s="1568">
        <f t="shared" ref="U7:U14" si="1">H7</f>
        <v>0</v>
      </c>
      <c r="V7" s="1567" t="s">
        <v>8</v>
      </c>
      <c r="W7" s="1568">
        <f t="shared" ref="W7:W14" si="2">J7</f>
        <v>0</v>
      </c>
      <c r="X7" s="1569"/>
      <c r="Y7" s="3421" t="s">
        <v>529</v>
      </c>
      <c r="Z7" s="3422"/>
      <c r="AA7" s="1570" t="e">
        <f>D7/F7</f>
        <v>#DIV/0!</v>
      </c>
      <c r="AB7" s="1570" t="e">
        <f>D7/H7</f>
        <v>#DIV/0!</v>
      </c>
      <c r="AC7" s="1570" t="e">
        <f>D7/J7</f>
        <v>#DIV/0!</v>
      </c>
    </row>
    <row r="8" spans="1:29" s="1218" customFormat="1" ht="15.75" thickBot="1">
      <c r="A8" s="2913"/>
      <c r="B8" s="2920" t="s">
        <v>530</v>
      </c>
      <c r="C8" s="524" t="s">
        <v>575</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421" t="s">
        <v>532</v>
      </c>
      <c r="Q8" s="3422"/>
      <c r="R8" s="1567" t="s">
        <v>8</v>
      </c>
      <c r="S8" s="1568">
        <f t="shared" si="0"/>
        <v>0</v>
      </c>
      <c r="T8" s="1567" t="s">
        <v>8</v>
      </c>
      <c r="U8" s="1568">
        <f t="shared" si="1"/>
        <v>0</v>
      </c>
      <c r="V8" s="1567" t="s">
        <v>8</v>
      </c>
      <c r="W8" s="1568">
        <f t="shared" si="2"/>
        <v>0</v>
      </c>
      <c r="X8" s="1569"/>
      <c r="Y8" s="3421" t="s">
        <v>532</v>
      </c>
      <c r="Z8" s="3422"/>
      <c r="AA8" s="1570" t="e">
        <f t="shared" ref="AA8:AA36" si="3">D8/F8</f>
        <v>#DIV/0!</v>
      </c>
      <c r="AB8" s="1570" t="e">
        <f t="shared" ref="AB8:AB36" si="4">D8/H8</f>
        <v>#DIV/0!</v>
      </c>
      <c r="AC8" s="1570" t="e">
        <f t="shared" ref="AC8:AC36" si="5">D8/J8</f>
        <v>#DIV/0!</v>
      </c>
    </row>
    <row r="9" spans="1:29" s="1218" customFormat="1" ht="15">
      <c r="A9" s="2914"/>
      <c r="B9" s="2921" t="s">
        <v>2752</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90" t="s">
        <v>534</v>
      </c>
      <c r="Q9" s="1149" t="str">
        <f t="shared" ref="Q9:Q14" si="6">B9</f>
        <v>用途</v>
      </c>
      <c r="R9" s="1567" t="s">
        <v>8</v>
      </c>
      <c r="S9" s="1568">
        <f t="shared" si="0"/>
        <v>100</v>
      </c>
      <c r="T9" s="1567" t="s">
        <v>8</v>
      </c>
      <c r="U9" s="1568">
        <f t="shared" si="1"/>
        <v>100</v>
      </c>
      <c r="V9" s="1567" t="s">
        <v>8</v>
      </c>
      <c r="W9" s="1568">
        <f t="shared" si="2"/>
        <v>100</v>
      </c>
      <c r="X9" s="1569"/>
      <c r="Y9" s="3336" t="s">
        <v>535</v>
      </c>
      <c r="Z9" s="1148" t="str">
        <f t="shared" ref="Z9:Z14" si="7">Q9</f>
        <v>用途</v>
      </c>
      <c r="AA9" s="1570">
        <f t="shared" si="3"/>
        <v>1</v>
      </c>
      <c r="AB9" s="1570">
        <f t="shared" si="4"/>
        <v>1</v>
      </c>
      <c r="AC9" s="1570">
        <f t="shared" si="5"/>
        <v>1</v>
      </c>
    </row>
    <row r="10" spans="1:29" s="1336" customFormat="1" ht="27">
      <c r="A10" s="2915"/>
      <c r="B10" s="2920" t="s">
        <v>2753</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90"/>
      <c r="Q10" s="1149" t="str">
        <f t="shared" si="6"/>
        <v>土地使用年限（年）</v>
      </c>
      <c r="R10" s="1567" t="s">
        <v>8</v>
      </c>
      <c r="S10" s="1568">
        <f t="shared" si="0"/>
        <v>100</v>
      </c>
      <c r="T10" s="1567" t="s">
        <v>8</v>
      </c>
      <c r="U10" s="1568">
        <f t="shared" si="1"/>
        <v>100</v>
      </c>
      <c r="V10" s="1567" t="s">
        <v>8</v>
      </c>
      <c r="W10" s="1568">
        <f t="shared" si="2"/>
        <v>100</v>
      </c>
      <c r="X10" s="1569"/>
      <c r="Y10" s="3336"/>
      <c r="Z10" s="1148" t="str">
        <f t="shared" si="7"/>
        <v>土地使用年限（年）</v>
      </c>
      <c r="AA10" s="1570">
        <f t="shared" si="3"/>
        <v>1</v>
      </c>
      <c r="AB10" s="1570">
        <f t="shared" si="4"/>
        <v>1</v>
      </c>
      <c r="AC10" s="1570">
        <f t="shared" si="5"/>
        <v>1</v>
      </c>
    </row>
    <row r="11" spans="1:29" ht="15">
      <c r="A11" s="2917"/>
      <c r="B11" s="2923">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90"/>
      <c r="Q11" s="1149">
        <f t="shared" si="6"/>
        <v>111</v>
      </c>
      <c r="R11" s="1567" t="s">
        <v>8</v>
      </c>
      <c r="S11" s="1568">
        <f t="shared" si="0"/>
        <v>100</v>
      </c>
      <c r="T11" s="1567" t="s">
        <v>8</v>
      </c>
      <c r="U11" s="1568">
        <f t="shared" si="1"/>
        <v>100</v>
      </c>
      <c r="V11" s="1567" t="s">
        <v>8</v>
      </c>
      <c r="W11" s="1568">
        <f t="shared" si="2"/>
        <v>100</v>
      </c>
      <c r="X11" s="1569"/>
      <c r="Y11" s="3336"/>
      <c r="Z11" s="1148">
        <f t="shared" si="7"/>
        <v>111</v>
      </c>
      <c r="AA11" s="1570">
        <f t="shared" si="3"/>
        <v>1</v>
      </c>
      <c r="AB11" s="1570">
        <f t="shared" si="4"/>
        <v>1</v>
      </c>
      <c r="AC11" s="1570">
        <f t="shared" si="5"/>
        <v>1</v>
      </c>
    </row>
    <row r="12" spans="1:29" s="1218" customFormat="1" ht="15">
      <c r="A12" s="2917"/>
      <c r="B12" s="2923">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90"/>
      <c r="Q12" s="1149">
        <f t="shared" si="6"/>
        <v>111</v>
      </c>
      <c r="R12" s="1567" t="s">
        <v>8</v>
      </c>
      <c r="S12" s="1568">
        <f t="shared" si="0"/>
        <v>100</v>
      </c>
      <c r="T12" s="1567" t="s">
        <v>8</v>
      </c>
      <c r="U12" s="1568">
        <f t="shared" si="1"/>
        <v>100</v>
      </c>
      <c r="V12" s="1567" t="s">
        <v>8</v>
      </c>
      <c r="W12" s="1568">
        <f t="shared" si="2"/>
        <v>100</v>
      </c>
      <c r="X12" s="1569"/>
      <c r="Y12" s="3336"/>
      <c r="Z12" s="1148">
        <f t="shared" si="7"/>
        <v>111</v>
      </c>
      <c r="AA12" s="1570">
        <f>D12/F12</f>
        <v>1</v>
      </c>
      <c r="AB12" s="1570">
        <f>D12/H12</f>
        <v>1</v>
      </c>
      <c r="AC12" s="1570">
        <f>D12/J12</f>
        <v>1</v>
      </c>
    </row>
    <row r="13" spans="1:29" ht="15.75" thickBot="1">
      <c r="A13" s="2918"/>
      <c r="B13" s="2924">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90"/>
      <c r="Q13" s="1149">
        <f t="shared" si="6"/>
        <v>111</v>
      </c>
      <c r="R13" s="1567" t="s">
        <v>8</v>
      </c>
      <c r="S13" s="1568">
        <f t="shared" si="0"/>
        <v>100</v>
      </c>
      <c r="T13" s="1567" t="s">
        <v>8</v>
      </c>
      <c r="U13" s="1568">
        <f t="shared" si="1"/>
        <v>100</v>
      </c>
      <c r="V13" s="1567" t="s">
        <v>8</v>
      </c>
      <c r="W13" s="1568">
        <f t="shared" si="2"/>
        <v>100</v>
      </c>
      <c r="X13" s="1569"/>
      <c r="Y13" s="3336"/>
      <c r="Z13" s="1148">
        <f t="shared" si="7"/>
        <v>111</v>
      </c>
      <c r="AA13" s="1570">
        <f t="shared" si="3"/>
        <v>1</v>
      </c>
      <c r="AB13" s="1570">
        <f t="shared" si="4"/>
        <v>1</v>
      </c>
      <c r="AC13" s="1570">
        <f t="shared" si="5"/>
        <v>1</v>
      </c>
    </row>
    <row r="14" spans="1:29" ht="85.5">
      <c r="A14" s="2910" t="s">
        <v>2750</v>
      </c>
      <c r="B14" s="546" t="s">
        <v>542</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2"/>
      <c r="M14" s="2134"/>
      <c r="N14" s="2134"/>
      <c r="O14" s="2141"/>
      <c r="P14" s="3424" t="s">
        <v>539</v>
      </c>
      <c r="Q14" s="1571" t="str">
        <f t="shared" si="6"/>
        <v>交通便捷度</v>
      </c>
      <c r="R14" s="1572" t="s">
        <v>8</v>
      </c>
      <c r="S14" s="1573">
        <f t="shared" si="0"/>
        <v>100</v>
      </c>
      <c r="T14" s="1572" t="s">
        <v>8</v>
      </c>
      <c r="U14" s="1573">
        <f t="shared" si="1"/>
        <v>100</v>
      </c>
      <c r="V14" s="1572" t="s">
        <v>8</v>
      </c>
      <c r="W14" s="1573">
        <f t="shared" si="2"/>
        <v>100</v>
      </c>
      <c r="X14" s="1566"/>
      <c r="Y14" s="3424" t="s">
        <v>539</v>
      </c>
      <c r="Z14" s="1574" t="str">
        <f t="shared" si="7"/>
        <v>交通便捷度</v>
      </c>
      <c r="AA14" s="1575">
        <f t="shared" si="3"/>
        <v>1</v>
      </c>
      <c r="AB14" s="1575">
        <f t="shared" si="4"/>
        <v>1</v>
      </c>
      <c r="AC14" s="1575">
        <f t="shared" si="5"/>
        <v>1</v>
      </c>
    </row>
    <row r="15" spans="1:29" ht="15">
      <c r="A15" s="514"/>
      <c r="B15" s="922"/>
      <c r="C15" s="575"/>
      <c r="D15" s="554"/>
      <c r="E15" s="575"/>
      <c r="F15" s="556"/>
      <c r="G15" s="575"/>
      <c r="H15" s="558"/>
      <c r="I15" s="575"/>
      <c r="J15" s="554"/>
      <c r="K15" s="897"/>
      <c r="L15" s="2142"/>
      <c r="M15" s="2134"/>
      <c r="N15" s="2134"/>
      <c r="O15" s="2141"/>
      <c r="P15" s="3425"/>
      <c r="Q15" s="1571"/>
      <c r="R15" s="1572"/>
      <c r="S15" s="1573"/>
      <c r="T15" s="1572"/>
      <c r="U15" s="1573"/>
      <c r="V15" s="1572"/>
      <c r="W15" s="1573"/>
      <c r="X15" s="1566"/>
      <c r="Y15" s="3425"/>
      <c r="Z15" s="1574"/>
      <c r="AA15" s="1575">
        <v>1</v>
      </c>
      <c r="AB15" s="1575">
        <v>1</v>
      </c>
      <c r="AC15" s="1575">
        <v>1</v>
      </c>
    </row>
    <row r="16" spans="1:29" ht="15">
      <c r="A16" s="514"/>
      <c r="B16" s="2603" t="s">
        <v>2543</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6"/>
      <c r="L16" s="2142"/>
      <c r="M16" s="2134"/>
      <c r="N16" s="2134"/>
      <c r="O16" s="2141"/>
      <c r="P16" s="3425"/>
      <c r="Q16" s="1571" t="str">
        <f>B16</f>
        <v>公共配套设施</v>
      </c>
      <c r="R16" s="1572" t="s">
        <v>8</v>
      </c>
      <c r="S16" s="1573">
        <f>F16</f>
        <v>100</v>
      </c>
      <c r="T16" s="1572" t="s">
        <v>8</v>
      </c>
      <c r="U16" s="1573">
        <f>H16</f>
        <v>100</v>
      </c>
      <c r="V16" s="1572" t="s">
        <v>8</v>
      </c>
      <c r="W16" s="1573">
        <f>J16</f>
        <v>100</v>
      </c>
      <c r="X16" s="1566"/>
      <c r="Y16" s="3425"/>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7"/>
      <c r="L17" s="2142"/>
      <c r="M17" s="2134"/>
      <c r="N17" s="2134"/>
      <c r="O17" s="2141"/>
      <c r="P17" s="3425"/>
      <c r="Q17" s="1571"/>
      <c r="R17" s="1572"/>
      <c r="S17" s="1573"/>
      <c r="T17" s="1572"/>
      <c r="U17" s="1573"/>
      <c r="V17" s="1572"/>
      <c r="W17" s="1573"/>
      <c r="X17" s="1566"/>
      <c r="Y17" s="3425"/>
      <c r="Z17" s="1574"/>
      <c r="AA17" s="1575">
        <v>1</v>
      </c>
      <c r="AB17" s="1575">
        <v>1</v>
      </c>
      <c r="AC17" s="1575">
        <v>1</v>
      </c>
    </row>
    <row r="18" spans="1:29" ht="15">
      <c r="A18" s="514"/>
      <c r="B18" s="2591" t="s">
        <v>2555</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6"/>
      <c r="L18" s="2142"/>
      <c r="M18" s="2134"/>
      <c r="N18" s="2134"/>
      <c r="O18" s="2141"/>
      <c r="P18" s="3425"/>
      <c r="Q18" s="2579" t="str">
        <f>B18</f>
        <v>基础设施水平</v>
      </c>
      <c r="R18" s="1572" t="s">
        <v>8</v>
      </c>
      <c r="S18" s="1573">
        <f>F18</f>
        <v>100</v>
      </c>
      <c r="T18" s="1572" t="s">
        <v>8</v>
      </c>
      <c r="U18" s="1573">
        <f>H18</f>
        <v>100</v>
      </c>
      <c r="V18" s="1572" t="s">
        <v>8</v>
      </c>
      <c r="W18" s="1573">
        <f>J18</f>
        <v>100</v>
      </c>
      <c r="X18" s="2581"/>
      <c r="Y18" s="3425"/>
      <c r="Z18" s="2580"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2"/>
      <c r="L19" s="2142"/>
      <c r="M19" s="2134"/>
      <c r="N19" s="2134"/>
      <c r="O19" s="2141"/>
      <c r="P19" s="3425"/>
      <c r="Q19" s="2579"/>
      <c r="R19" s="1572"/>
      <c r="S19" s="1573"/>
      <c r="T19" s="1572"/>
      <c r="U19" s="1573"/>
      <c r="V19" s="1572"/>
      <c r="W19" s="1573"/>
      <c r="X19" s="2581"/>
      <c r="Y19" s="3425"/>
      <c r="Z19" s="2580"/>
      <c r="AA19" s="1575">
        <v>1</v>
      </c>
      <c r="AB19" s="1575">
        <v>1</v>
      </c>
      <c r="AC19" s="1575">
        <v>1</v>
      </c>
    </row>
    <row r="20" spans="1:29" ht="15">
      <c r="A20" s="514"/>
      <c r="B20" s="559" t="s">
        <v>803</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6"/>
      <c r="L20" s="2142"/>
      <c r="M20" s="2134"/>
      <c r="N20" s="2134"/>
      <c r="O20" s="2141"/>
      <c r="P20" s="3425"/>
      <c r="Q20" s="1571" t="str">
        <f>B20</f>
        <v>自然及人文环境</v>
      </c>
      <c r="R20" s="1572" t="s">
        <v>8</v>
      </c>
      <c r="S20" s="1573">
        <f>F20</f>
        <v>100</v>
      </c>
      <c r="T20" s="1572" t="s">
        <v>8</v>
      </c>
      <c r="U20" s="1573">
        <f>H20</f>
        <v>100</v>
      </c>
      <c r="V20" s="1572" t="s">
        <v>8</v>
      </c>
      <c r="W20" s="1573">
        <f>J20</f>
        <v>100</v>
      </c>
      <c r="X20" s="1566"/>
      <c r="Y20" s="3425"/>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7"/>
      <c r="L21" s="2142"/>
      <c r="M21" s="2134"/>
      <c r="N21" s="2134"/>
      <c r="O21" s="2141"/>
      <c r="P21" s="3425"/>
      <c r="Q21" s="1571"/>
      <c r="R21" s="1572"/>
      <c r="S21" s="1573"/>
      <c r="T21" s="1572"/>
      <c r="U21" s="1573"/>
      <c r="V21" s="1572"/>
      <c r="W21" s="1573"/>
      <c r="X21" s="1566"/>
      <c r="Y21" s="3425"/>
      <c r="Z21" s="1574"/>
      <c r="AA21" s="1575">
        <v>1</v>
      </c>
      <c r="AB21" s="1575">
        <v>1</v>
      </c>
      <c r="AC21" s="1575">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25"/>
      <c r="Q24" s="1571">
        <f t="shared" ref="Q24:Q36"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5"/>
      <c r="M25" s="2136"/>
      <c r="N25" s="2136"/>
      <c r="O25" s="2137"/>
      <c r="P25" s="3425"/>
      <c r="Q25" s="1149">
        <f t="shared" si="11"/>
        <v>111</v>
      </c>
      <c r="R25" s="1567" t="s">
        <v>8</v>
      </c>
      <c r="S25" s="1568">
        <f>F25</f>
        <v>100</v>
      </c>
      <c r="T25" s="1567" t="s">
        <v>8</v>
      </c>
      <c r="U25" s="1568">
        <f>H25</f>
        <v>100</v>
      </c>
      <c r="V25" s="1567" t="s">
        <v>8</v>
      </c>
      <c r="W25" s="1568">
        <f>J25</f>
        <v>100</v>
      </c>
      <c r="X25" s="1569"/>
      <c r="Y25" s="3425"/>
      <c r="Z25" s="1148">
        <f>Q25</f>
        <v>111</v>
      </c>
      <c r="AA25" s="1575">
        <f>D25/F25</f>
        <v>1</v>
      </c>
      <c r="AB25" s="1575">
        <f>D25/H25</f>
        <v>1</v>
      </c>
      <c r="AC25" s="1575">
        <f>D25/J25</f>
        <v>1</v>
      </c>
    </row>
    <row r="26" spans="1:29" ht="15">
      <c r="A26" s="2907" t="s">
        <v>2751</v>
      </c>
      <c r="B26" s="170" t="s">
        <v>805</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26"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7" t="s">
        <v>549</v>
      </c>
      <c r="Z26" s="1574" t="str">
        <f t="shared" ref="Z26:Z36" si="15">Q26</f>
        <v>配套类型</v>
      </c>
      <c r="AA26" s="1575">
        <f t="shared" si="3"/>
        <v>1</v>
      </c>
      <c r="AB26" s="1575">
        <f t="shared" si="4"/>
        <v>1</v>
      </c>
      <c r="AC26" s="1575">
        <f t="shared" si="5"/>
        <v>1</v>
      </c>
    </row>
    <row r="27" spans="1:29" s="1337" customFormat="1" ht="15">
      <c r="A27" s="927"/>
      <c r="B27" s="581" t="s">
        <v>806</v>
      </c>
      <c r="C27" s="928"/>
      <c r="D27" s="254">
        <v>100</v>
      </c>
      <c r="E27" s="928"/>
      <c r="F27" s="574">
        <f>SUMIF(81:81,E27,82:82)-SUMIF(81:81,C27,82:82)+100</f>
        <v>100</v>
      </c>
      <c r="G27" s="928"/>
      <c r="H27" s="539">
        <f>SUMIF(81:81,G27,82:82)-SUMIF(81:81,C27,82:82)+100</f>
        <v>100</v>
      </c>
      <c r="I27" s="928"/>
      <c r="J27" s="539">
        <f>SUMIF(81:81,I27,82:82)-SUMIF(81:81,C27,82:82)+100</f>
        <v>100</v>
      </c>
      <c r="K27" s="580"/>
      <c r="L27" s="2140"/>
      <c r="M27" s="2171"/>
      <c r="N27" s="2171"/>
      <c r="O27" s="2143"/>
      <c r="P27" s="3427"/>
      <c r="Q27" s="1604" t="str">
        <f t="shared" si="11"/>
        <v>项目停车位配比</v>
      </c>
      <c r="R27" s="1576" t="s">
        <v>8</v>
      </c>
      <c r="S27" s="1577">
        <f t="shared" si="12"/>
        <v>100</v>
      </c>
      <c r="T27" s="1576" t="s">
        <v>8</v>
      </c>
      <c r="U27" s="1577">
        <f t="shared" si="13"/>
        <v>100</v>
      </c>
      <c r="V27" s="1576" t="s">
        <v>8</v>
      </c>
      <c r="W27" s="1577">
        <f t="shared" si="14"/>
        <v>100</v>
      </c>
      <c r="X27" s="1578"/>
      <c r="Y27" s="3427"/>
      <c r="Z27" s="1579" t="str">
        <f t="shared" si="15"/>
        <v>项目停车位配比</v>
      </c>
      <c r="AA27" s="1575">
        <f t="shared" si="3"/>
        <v>1</v>
      </c>
      <c r="AB27" s="1575">
        <f t="shared" si="4"/>
        <v>1</v>
      </c>
      <c r="AC27" s="1575">
        <f t="shared" si="5"/>
        <v>1</v>
      </c>
    </row>
    <row r="28" spans="1:29" ht="15">
      <c r="A28" s="929"/>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27"/>
      <c r="Q28" s="1571" t="str">
        <f t="shared" si="11"/>
        <v>公共部分装修</v>
      </c>
      <c r="R28" s="1572" t="s">
        <v>8</v>
      </c>
      <c r="S28" s="1573">
        <f t="shared" si="12"/>
        <v>100</v>
      </c>
      <c r="T28" s="1572" t="s">
        <v>8</v>
      </c>
      <c r="U28" s="1573">
        <f t="shared" si="13"/>
        <v>100</v>
      </c>
      <c r="V28" s="1572" t="s">
        <v>8</v>
      </c>
      <c r="W28" s="1573">
        <f t="shared" si="14"/>
        <v>100</v>
      </c>
      <c r="X28" s="1566"/>
      <c r="Y28" s="3427"/>
      <c r="Z28" s="1574" t="str">
        <f t="shared" si="15"/>
        <v>公共部分装修</v>
      </c>
      <c r="AA28" s="1575">
        <f t="shared" si="3"/>
        <v>1</v>
      </c>
      <c r="AB28" s="1575">
        <f t="shared" si="4"/>
        <v>1</v>
      </c>
      <c r="AC28" s="1575">
        <f t="shared" si="5"/>
        <v>1</v>
      </c>
    </row>
    <row r="29" spans="1:29" ht="15">
      <c r="A29" s="929"/>
      <c r="B29" s="581" t="s">
        <v>808</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2"/>
      <c r="M29" s="2134"/>
      <c r="N29" s="2134"/>
      <c r="O29" s="2141"/>
      <c r="P29" s="3427"/>
      <c r="Q29" s="1571" t="str">
        <f t="shared" si="11"/>
        <v>成新率</v>
      </c>
      <c r="R29" s="1572" t="s">
        <v>8</v>
      </c>
      <c r="S29" s="1573" t="e">
        <f t="shared" si="12"/>
        <v>#N/A</v>
      </c>
      <c r="T29" s="1572" t="s">
        <v>8</v>
      </c>
      <c r="U29" s="1573" t="e">
        <f t="shared" si="13"/>
        <v>#N/A</v>
      </c>
      <c r="V29" s="1572" t="s">
        <v>8</v>
      </c>
      <c r="W29" s="1573" t="e">
        <f t="shared" si="14"/>
        <v>#N/A</v>
      </c>
      <c r="X29" s="1566"/>
      <c r="Y29" s="3427"/>
      <c r="Z29" s="1574" t="str">
        <f t="shared" si="15"/>
        <v>成新率</v>
      </c>
      <c r="AA29" s="1575" t="e">
        <f t="shared" si="3"/>
        <v>#N/A</v>
      </c>
      <c r="AB29" s="1575" t="e">
        <f t="shared" si="4"/>
        <v>#N/A</v>
      </c>
      <c r="AC29" s="1575" t="e">
        <f t="shared" si="5"/>
        <v>#N/A</v>
      </c>
    </row>
    <row r="30" spans="1:29" ht="15">
      <c r="A30" s="929"/>
      <c r="B30" s="581" t="s">
        <v>809</v>
      </c>
      <c r="C30" s="930"/>
      <c r="D30" s="539">
        <v>100</v>
      </c>
      <c r="E30" s="930"/>
      <c r="F30" s="574">
        <f>SUMIF(88:88,E30,89:89)-SUMIF(88:88,C30,89:89)+100</f>
        <v>100</v>
      </c>
      <c r="G30" s="930"/>
      <c r="H30" s="539">
        <f>SUMIF(88:88,E30,89:89)-SUMIF(88:88,C30,89:89)+100</f>
        <v>100</v>
      </c>
      <c r="I30" s="930"/>
      <c r="J30" s="539">
        <f>SUMIF(88:88,E30,89:89)-SUMIF(88:88,C30,89:89)+100</f>
        <v>100</v>
      </c>
      <c r="K30" s="583"/>
      <c r="L30" s="2142"/>
      <c r="M30" s="2134"/>
      <c r="N30" s="2134"/>
      <c r="O30" s="2141"/>
      <c r="P30" s="3427"/>
      <c r="Q30" s="1571" t="str">
        <f t="shared" si="11"/>
        <v>物业等级</v>
      </c>
      <c r="R30" s="1572" t="s">
        <v>8</v>
      </c>
      <c r="S30" s="1573">
        <f t="shared" si="12"/>
        <v>100</v>
      </c>
      <c r="T30" s="1572" t="s">
        <v>8</v>
      </c>
      <c r="U30" s="1573">
        <f t="shared" si="13"/>
        <v>100</v>
      </c>
      <c r="V30" s="1572" t="s">
        <v>8</v>
      </c>
      <c r="W30" s="1573">
        <f t="shared" si="14"/>
        <v>100</v>
      </c>
      <c r="X30" s="1566"/>
      <c r="Y30" s="3427"/>
      <c r="Z30" s="1574" t="str">
        <f t="shared" si="15"/>
        <v>物业等级</v>
      </c>
      <c r="AA30" s="1575">
        <f t="shared" si="3"/>
        <v>1</v>
      </c>
      <c r="AB30" s="1575">
        <f t="shared" si="4"/>
        <v>1</v>
      </c>
      <c r="AC30" s="1575">
        <f t="shared" si="5"/>
        <v>1</v>
      </c>
    </row>
    <row r="31" spans="1:29" s="1218" customFormat="1" ht="15">
      <c r="A31" s="931"/>
      <c r="B31" s="581" t="s">
        <v>810</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5"/>
      <c r="M31" s="2136"/>
      <c r="N31" s="2136"/>
      <c r="O31" s="2137"/>
      <c r="P31" s="3427"/>
      <c r="Q31" s="1149" t="str">
        <f t="shared" si="11"/>
        <v>停车位面积</v>
      </c>
      <c r="R31" s="1567" t="s">
        <v>8</v>
      </c>
      <c r="S31" s="1568" t="e">
        <f t="shared" si="12"/>
        <v>#N/A</v>
      </c>
      <c r="T31" s="1567" t="s">
        <v>8</v>
      </c>
      <c r="U31" s="1568" t="e">
        <f t="shared" si="13"/>
        <v>#N/A</v>
      </c>
      <c r="V31" s="1567" t="s">
        <v>8</v>
      </c>
      <c r="W31" s="1568" t="e">
        <f t="shared" si="14"/>
        <v>#N/A</v>
      </c>
      <c r="X31" s="1569"/>
      <c r="Y31" s="3427"/>
      <c r="Z31" s="1148" t="str">
        <f t="shared" si="15"/>
        <v>停车位面积</v>
      </c>
      <c r="AA31" s="1570" t="e">
        <f t="shared" si="3"/>
        <v>#N/A</v>
      </c>
      <c r="AB31" s="1570" t="e">
        <f t="shared" si="4"/>
        <v>#N/A</v>
      </c>
      <c r="AC31" s="1570" t="e">
        <f t="shared" si="5"/>
        <v>#N/A</v>
      </c>
    </row>
    <row r="32" spans="1:29" ht="15">
      <c r="A32" s="929"/>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27" t="s">
        <v>549</v>
      </c>
      <c r="Q32" s="1571" t="str">
        <f t="shared" si="11"/>
        <v>车位类型</v>
      </c>
      <c r="R32" s="1572" t="s">
        <v>8</v>
      </c>
      <c r="S32" s="1573">
        <f t="shared" si="12"/>
        <v>100</v>
      </c>
      <c r="T32" s="1572" t="s">
        <v>8</v>
      </c>
      <c r="U32" s="1573">
        <f t="shared" si="13"/>
        <v>100</v>
      </c>
      <c r="V32" s="1572" t="s">
        <v>8</v>
      </c>
      <c r="W32" s="1573">
        <f t="shared" si="14"/>
        <v>100</v>
      </c>
      <c r="X32" s="1566"/>
      <c r="Y32" s="3427" t="s">
        <v>549</v>
      </c>
      <c r="Z32" s="1574" t="str">
        <f t="shared" si="15"/>
        <v>车位类型</v>
      </c>
      <c r="AA32" s="1575">
        <f t="shared" si="3"/>
        <v>1</v>
      </c>
      <c r="AB32" s="1575">
        <f t="shared" si="4"/>
        <v>1</v>
      </c>
      <c r="AC32" s="1575">
        <f t="shared" si="5"/>
        <v>1</v>
      </c>
    </row>
    <row r="33" spans="1:29" ht="15">
      <c r="A33" s="929"/>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27"/>
      <c r="Q33" s="1571" t="str">
        <f t="shared" si="11"/>
        <v>是否直接入户</v>
      </c>
      <c r="R33" s="1572" t="s">
        <v>8</v>
      </c>
      <c r="S33" s="1573">
        <f t="shared" si="12"/>
        <v>100</v>
      </c>
      <c r="T33" s="1572" t="s">
        <v>8</v>
      </c>
      <c r="U33" s="1573">
        <f t="shared" si="13"/>
        <v>100</v>
      </c>
      <c r="V33" s="1572" t="s">
        <v>8</v>
      </c>
      <c r="W33" s="1573">
        <f t="shared" si="14"/>
        <v>100</v>
      </c>
      <c r="X33" s="1566"/>
      <c r="Y33" s="3427"/>
      <c r="Z33" s="1574" t="str">
        <f t="shared" si="15"/>
        <v>是否直接入户</v>
      </c>
      <c r="AA33" s="1575">
        <f t="shared" si="3"/>
        <v>1</v>
      </c>
      <c r="AB33" s="1575">
        <f t="shared" si="4"/>
        <v>1</v>
      </c>
      <c r="AC33" s="1575">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27"/>
      <c r="Q35" s="1604">
        <f t="shared" si="11"/>
        <v>111</v>
      </c>
      <c r="R35" s="1576" t="s">
        <v>8</v>
      </c>
      <c r="S35" s="1577">
        <f t="shared" si="12"/>
        <v>100</v>
      </c>
      <c r="T35" s="1576" t="s">
        <v>8</v>
      </c>
      <c r="U35" s="1577">
        <f t="shared" si="13"/>
        <v>100</v>
      </c>
      <c r="V35" s="1576" t="s">
        <v>8</v>
      </c>
      <c r="W35" s="1577">
        <f t="shared" si="14"/>
        <v>100</v>
      </c>
      <c r="X35" s="1578"/>
      <c r="Y35" s="3427"/>
      <c r="Z35" s="1579">
        <f t="shared" si="15"/>
        <v>111</v>
      </c>
      <c r="AA35" s="1575">
        <f t="shared" si="3"/>
        <v>1</v>
      </c>
      <c r="AB35" s="1575">
        <f t="shared" si="4"/>
        <v>1</v>
      </c>
      <c r="AC35" s="1575">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27"/>
      <c r="Q36" s="1571">
        <f t="shared" si="11"/>
        <v>111</v>
      </c>
      <c r="R36" s="1572" t="s">
        <v>8</v>
      </c>
      <c r="S36" s="1573">
        <f t="shared" si="12"/>
        <v>100</v>
      </c>
      <c r="T36" s="1572" t="s">
        <v>8</v>
      </c>
      <c r="U36" s="1573">
        <f t="shared" si="13"/>
        <v>100</v>
      </c>
      <c r="V36" s="1572" t="s">
        <v>8</v>
      </c>
      <c r="W36" s="1573">
        <f t="shared" si="14"/>
        <v>100</v>
      </c>
      <c r="X36" s="1566"/>
      <c r="Y36" s="3427"/>
      <c r="Z36" s="1574">
        <f t="shared" si="15"/>
        <v>111</v>
      </c>
      <c r="AA36" s="1575">
        <f t="shared" si="3"/>
        <v>1</v>
      </c>
      <c r="AB36" s="1575">
        <f t="shared" si="4"/>
        <v>1</v>
      </c>
      <c r="AC36" s="1575">
        <f t="shared" si="5"/>
        <v>1</v>
      </c>
    </row>
    <row r="37" spans="1:29" ht="15">
      <c r="A37" s="1846" t="s">
        <v>2077</v>
      </c>
      <c r="B37" s="1847" t="s">
        <v>2078</v>
      </c>
      <c r="C37" s="2627" t="s">
        <v>1</v>
      </c>
      <c r="D37" s="2628"/>
      <c r="E37" s="2629"/>
      <c r="F37" s="2630"/>
      <c r="G37" s="2631"/>
      <c r="H37" s="2632"/>
      <c r="I37" s="2629"/>
      <c r="J37" s="2632"/>
      <c r="K37" s="1610"/>
      <c r="L37" s="2144"/>
      <c r="M37" s="2145"/>
      <c r="N37" s="2134"/>
      <c r="O37" s="2145"/>
      <c r="P37" s="3390" t="str">
        <f>A37</f>
        <v>成交单价</v>
      </c>
      <c r="Q37" s="3390"/>
      <c r="R37" s="3480">
        <f>E37</f>
        <v>0</v>
      </c>
      <c r="S37" s="3480"/>
      <c r="T37" s="3480">
        <f>G37</f>
        <v>0</v>
      </c>
      <c r="U37" s="3480"/>
      <c r="V37" s="3480">
        <f>I37</f>
        <v>0</v>
      </c>
      <c r="W37" s="3480"/>
      <c r="X37" s="1558"/>
      <c r="Y37" s="1580"/>
      <c r="Z37" s="1558"/>
      <c r="AA37" s="1558"/>
      <c r="AB37" s="1558"/>
      <c r="AC37" s="1558"/>
    </row>
    <row r="38" spans="1:29" ht="15.75" thickBot="1">
      <c r="A38" s="614" t="s">
        <v>2756</v>
      </c>
      <c r="B38" s="886"/>
      <c r="C38" s="2633" t="e">
        <f>R39</f>
        <v>#DIV/0!</v>
      </c>
      <c r="D38" s="2634"/>
      <c r="E38" s="2635" t="e">
        <f>R38</f>
        <v>#DIV/0!</v>
      </c>
      <c r="F38" s="2635"/>
      <c r="G38" s="2633" t="e">
        <f>T38</f>
        <v>#DIV/0!</v>
      </c>
      <c r="H38" s="2634"/>
      <c r="I38" s="2635" t="e">
        <f>V38</f>
        <v>#DIV/0!</v>
      </c>
      <c r="J38" s="2634"/>
      <c r="K38" s="1611"/>
      <c r="L38" s="2144"/>
      <c r="M38" s="2145"/>
      <c r="N38" s="2145"/>
      <c r="O38" s="2145"/>
      <c r="P38" s="3390" t="str">
        <f>A38</f>
        <v>比较价格（元/平方米）</v>
      </c>
      <c r="Q38" s="3390"/>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58"/>
      <c r="Y38" s="1558"/>
      <c r="Z38" s="1558"/>
      <c r="AA38" s="1558"/>
      <c r="AB38" s="1558"/>
      <c r="AC38" s="1558"/>
    </row>
    <row r="39" spans="1:29" ht="15.75" thickBot="1">
      <c r="A39" s="620" t="s">
        <v>2922</v>
      </c>
      <c r="B39" s="621"/>
      <c r="C39" s="2636" t="e">
        <f>R39</f>
        <v>#DIV/0!</v>
      </c>
      <c r="D39" s="2636"/>
      <c r="E39" s="2636"/>
      <c r="F39" s="2636"/>
      <c r="G39" s="2636"/>
      <c r="H39" s="2636"/>
      <c r="I39" s="2636"/>
      <c r="J39" s="2636"/>
      <c r="K39" s="1612"/>
      <c r="L39" s="2144"/>
      <c r="M39" s="2145"/>
      <c r="N39" s="2145"/>
      <c r="O39" s="2145"/>
      <c r="P39" s="3387" t="str">
        <f>A39</f>
        <v>估价对象XX用房的比较价格（楼面单价，元/平方米）</v>
      </c>
      <c r="Q39" s="3388"/>
      <c r="R39" s="3479" t="e">
        <f>IF(F1="售价",ROUND(AVERAGE(R38:V38),0),ROUND(AVERAGE(R38:V38),1))</f>
        <v>#DIV/0!</v>
      </c>
      <c r="S39" s="3479"/>
      <c r="T39" s="3479"/>
      <c r="U39" s="3479"/>
      <c r="V39" s="3479"/>
      <c r="W39" s="3479"/>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4" t="s">
        <v>528</v>
      </c>
      <c r="B48" s="645"/>
      <c r="C48" s="2802" t="str">
        <f>YEAR(C7)&amp;"-"&amp;MONTH(C7)</f>
        <v>2018-12</v>
      </c>
      <c r="D48" s="2804">
        <f>EDATE(C48,-1)</f>
        <v>43405</v>
      </c>
      <c r="E48" s="2804">
        <f t="shared" ref="E48:O48" si="16">EDATE(D48,-1)</f>
        <v>43374</v>
      </c>
      <c r="F48" s="2804">
        <f t="shared" si="16"/>
        <v>43344</v>
      </c>
      <c r="G48" s="2804">
        <f t="shared" si="16"/>
        <v>43313</v>
      </c>
      <c r="H48" s="2804">
        <f t="shared" si="16"/>
        <v>43282</v>
      </c>
      <c r="I48" s="2804">
        <f t="shared" si="16"/>
        <v>43252</v>
      </c>
      <c r="J48" s="2804">
        <f t="shared" si="16"/>
        <v>43221</v>
      </c>
      <c r="K48" s="2804">
        <f t="shared" si="16"/>
        <v>43191</v>
      </c>
      <c r="L48" s="2804">
        <f t="shared" si="16"/>
        <v>43160</v>
      </c>
      <c r="M48" s="2804">
        <f t="shared" si="16"/>
        <v>43132</v>
      </c>
      <c r="N48" s="2804">
        <f t="shared" si="16"/>
        <v>43101</v>
      </c>
      <c r="O48" s="2804">
        <f t="shared" si="16"/>
        <v>43070</v>
      </c>
      <c r="P48" s="2160"/>
      <c r="Q48" s="2161"/>
      <c r="R48" s="2161"/>
      <c r="S48" s="2161"/>
      <c r="T48" s="2161"/>
      <c r="U48" s="2161"/>
      <c r="V48" s="2161"/>
      <c r="W48" s="2161"/>
      <c r="X48" s="2161"/>
      <c r="Y48" s="2161"/>
      <c r="Z48" s="2161"/>
      <c r="AA48" s="2161"/>
      <c r="AB48" s="2161"/>
      <c r="AC48" s="2161"/>
    </row>
    <row r="49" spans="1:29" s="1218" customFormat="1" ht="15">
      <c r="A49" s="646"/>
      <c r="B49" s="647"/>
      <c r="C49" s="2803">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8" customFormat="1" ht="15.75" thickBot="1">
      <c r="A50" s="652" t="s">
        <v>574</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8" customFormat="1" ht="15">
      <c r="A51" s="658" t="s">
        <v>530</v>
      </c>
      <c r="B51" s="647"/>
      <c r="C51" s="659" t="s">
        <v>575</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576</v>
      </c>
      <c r="B53" s="664" t="s">
        <v>533</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3">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2554</v>
      </c>
      <c r="C65" s="707" t="s">
        <v>578</v>
      </c>
      <c r="D65" s="707" t="s">
        <v>579</v>
      </c>
      <c r="E65" s="707" t="s">
        <v>580</v>
      </c>
      <c r="F65" s="707" t="s">
        <v>581</v>
      </c>
      <c r="G65" s="707" t="s">
        <v>582</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97" t="s">
        <v>2555</v>
      </c>
      <c r="C67" s="2598" t="s">
        <v>2556</v>
      </c>
      <c r="D67" s="2598" t="s">
        <v>2557</v>
      </c>
      <c r="E67" s="2598" t="s">
        <v>2558</v>
      </c>
      <c r="F67" s="2598" t="s">
        <v>2559</v>
      </c>
      <c r="G67" s="2598" t="s">
        <v>2560</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743</v>
      </c>
      <c r="C69" s="707" t="s">
        <v>578</v>
      </c>
      <c r="D69" s="707" t="s">
        <v>579</v>
      </c>
      <c r="E69" s="707" t="s">
        <v>580</v>
      </c>
      <c r="F69" s="707" t="s">
        <v>581</v>
      </c>
      <c r="G69" s="707" t="s">
        <v>582</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744</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8"/>
      <c r="B73" s="672">
        <f>B23</f>
        <v>111</v>
      </c>
      <c r="C73" s="540"/>
      <c r="D73" s="540"/>
      <c r="E73" s="540"/>
      <c r="F73" s="540"/>
      <c r="G73" s="687"/>
      <c r="H73" s="687"/>
      <c r="I73" s="687"/>
      <c r="J73" s="687"/>
      <c r="K73" s="687"/>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8"/>
      <c r="B75" s="672">
        <f>B24</f>
        <v>111</v>
      </c>
      <c r="C75" s="540"/>
      <c r="D75" s="540"/>
      <c r="E75" s="540"/>
      <c r="F75" s="540"/>
      <c r="G75" s="687"/>
      <c r="H75" s="687"/>
      <c r="I75" s="687"/>
      <c r="J75" s="687"/>
      <c r="K75" s="687"/>
      <c r="L75" s="687"/>
      <c r="M75" s="889"/>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550</v>
      </c>
      <c r="B79" s="664" t="s">
        <v>813</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814</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750</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816</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818</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819</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5">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7"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1"/>
      <c r="C1" s="503" t="s">
        <v>791</v>
      </c>
      <c r="D1" s="848"/>
      <c r="E1" s="505"/>
      <c r="F1" s="2807"/>
      <c r="G1" s="1600" t="s">
        <v>792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793</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794</v>
      </c>
      <c r="B3" s="509" t="e">
        <f>C37</f>
        <v>#DIV/0!</v>
      </c>
      <c r="C3" s="851" t="s">
        <v>795</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796</v>
      </c>
      <c r="B4" s="512"/>
      <c r="C4" s="3396" t="s">
        <v>797</v>
      </c>
      <c r="D4" s="3397"/>
      <c r="E4" s="3430" t="s">
        <v>798</v>
      </c>
      <c r="F4" s="3431"/>
      <c r="G4" s="3396" t="s">
        <v>799</v>
      </c>
      <c r="H4" s="3397"/>
      <c r="I4" s="3396" t="s">
        <v>800</v>
      </c>
      <c r="J4" s="3397"/>
      <c r="K4" s="513" t="s">
        <v>801</v>
      </c>
      <c r="L4" s="2133"/>
      <c r="M4" s="2134"/>
      <c r="N4" s="2134"/>
      <c r="O4" s="2134"/>
      <c r="P4" s="3398" t="s">
        <v>802</v>
      </c>
      <c r="Q4" s="3399"/>
      <c r="R4" s="3404" t="s">
        <v>798</v>
      </c>
      <c r="S4" s="3405"/>
      <c r="T4" s="3404" t="s">
        <v>799</v>
      </c>
      <c r="U4" s="3405"/>
      <c r="V4" s="3391" t="s">
        <v>800</v>
      </c>
      <c r="W4" s="3391"/>
      <c r="X4" s="1566"/>
      <c r="Y4" s="3404" t="s">
        <v>802</v>
      </c>
      <c r="Z4" s="3405"/>
      <c r="AA4" s="3393" t="s">
        <v>798</v>
      </c>
      <c r="AB4" s="3394" t="s">
        <v>799</v>
      </c>
      <c r="AC4" s="3393" t="s">
        <v>800</v>
      </c>
    </row>
    <row r="5" spans="1:29" ht="15">
      <c r="A5" s="514"/>
      <c r="B5" s="515"/>
      <c r="C5" s="3412" t="s">
        <v>2916</v>
      </c>
      <c r="D5" s="3413"/>
      <c r="E5" s="3432" t="s">
        <v>2917</v>
      </c>
      <c r="F5" s="3433"/>
      <c r="G5" s="3412" t="s">
        <v>2918</v>
      </c>
      <c r="H5" s="3413"/>
      <c r="I5" s="3412" t="s">
        <v>2919</v>
      </c>
      <c r="J5" s="3413"/>
      <c r="K5" s="513"/>
      <c r="L5" s="2133"/>
      <c r="M5" s="2134"/>
      <c r="N5" s="2134"/>
      <c r="O5" s="2134"/>
      <c r="P5" s="3400"/>
      <c r="Q5" s="3401"/>
      <c r="R5" s="3406"/>
      <c r="S5" s="3407"/>
      <c r="T5" s="3406"/>
      <c r="U5" s="3407"/>
      <c r="V5" s="3391"/>
      <c r="W5" s="3391"/>
      <c r="X5" s="1566"/>
      <c r="Y5" s="3406"/>
      <c r="Z5" s="3407"/>
      <c r="AA5" s="3394"/>
      <c r="AB5" s="3394"/>
      <c r="AC5" s="3394"/>
    </row>
    <row r="6" spans="1:29" ht="15.75" thickBot="1">
      <c r="A6" s="516"/>
      <c r="B6" s="517"/>
      <c r="C6" s="3410" t="s">
        <v>2920</v>
      </c>
      <c r="D6" s="3411"/>
      <c r="E6" s="3428" t="s">
        <v>2920</v>
      </c>
      <c r="F6" s="3429"/>
      <c r="G6" s="3410" t="s">
        <v>2920</v>
      </c>
      <c r="H6" s="3411"/>
      <c r="I6" s="3410" t="s">
        <v>2920</v>
      </c>
      <c r="J6" s="3411"/>
      <c r="K6" s="513" t="s">
        <v>527</v>
      </c>
      <c r="L6" s="2133"/>
      <c r="M6" s="2134"/>
      <c r="N6" s="2134"/>
      <c r="O6" s="2134"/>
      <c r="P6" s="3402"/>
      <c r="Q6" s="3403"/>
      <c r="R6" s="3406"/>
      <c r="S6" s="3407"/>
      <c r="T6" s="3408"/>
      <c r="U6" s="3409"/>
      <c r="V6" s="3391"/>
      <c r="W6" s="3391"/>
      <c r="X6" s="1566"/>
      <c r="Y6" s="3408"/>
      <c r="Z6" s="3409"/>
      <c r="AA6" s="3395"/>
      <c r="AB6" s="3395"/>
      <c r="AC6" s="3395"/>
    </row>
    <row r="7" spans="1:29" s="1218" customFormat="1" ht="15.75" thickBot="1">
      <c r="A7" s="2912"/>
      <c r="B7" s="2919" t="s">
        <v>528</v>
      </c>
      <c r="C7" s="518">
        <f>'数据-取费表'!B2</f>
        <v>43445</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21" t="s">
        <v>529</v>
      </c>
      <c r="Q7" s="3423"/>
      <c r="R7" s="1567" t="s">
        <v>8</v>
      </c>
      <c r="S7" s="1568">
        <f t="shared" ref="S7:S14" si="0">F7</f>
        <v>0</v>
      </c>
      <c r="T7" s="1567" t="s">
        <v>8</v>
      </c>
      <c r="U7" s="1568">
        <f t="shared" ref="U7:U14" si="1">H7</f>
        <v>0</v>
      </c>
      <c r="V7" s="1567" t="s">
        <v>8</v>
      </c>
      <c r="W7" s="1568">
        <f t="shared" ref="W7:W14" si="2">J7</f>
        <v>0</v>
      </c>
      <c r="X7" s="1569"/>
      <c r="Y7" s="3421" t="s">
        <v>529</v>
      </c>
      <c r="Z7" s="3422"/>
      <c r="AA7" s="1570" t="e">
        <f>D7/F7</f>
        <v>#DIV/0!</v>
      </c>
      <c r="AB7" s="1570" t="e">
        <f>D7/H7</f>
        <v>#DIV/0!</v>
      </c>
      <c r="AC7" s="1570" t="e">
        <f>D7/J7</f>
        <v>#DIV/0!</v>
      </c>
    </row>
    <row r="8" spans="1:29" s="1218" customFormat="1" ht="15.75" thickBot="1">
      <c r="A8" s="2913"/>
      <c r="B8" s="2920" t="s">
        <v>530</v>
      </c>
      <c r="C8" s="524" t="s">
        <v>575</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21" t="s">
        <v>532</v>
      </c>
      <c r="Q8" s="3422"/>
      <c r="R8" s="1567" t="s">
        <v>8</v>
      </c>
      <c r="S8" s="1568">
        <f t="shared" si="0"/>
        <v>0</v>
      </c>
      <c r="T8" s="1567" t="s">
        <v>8</v>
      </c>
      <c r="U8" s="1568">
        <f t="shared" si="1"/>
        <v>0</v>
      </c>
      <c r="V8" s="1567" t="s">
        <v>8</v>
      </c>
      <c r="W8" s="1568">
        <f t="shared" si="2"/>
        <v>0</v>
      </c>
      <c r="X8" s="1569"/>
      <c r="Y8" s="3421" t="s">
        <v>532</v>
      </c>
      <c r="Z8" s="3422"/>
      <c r="AA8" s="1570" t="e">
        <f t="shared" ref="AA8:AA34" si="3">D8/F8</f>
        <v>#DIV/0!</v>
      </c>
      <c r="AB8" s="1570" t="e">
        <f t="shared" ref="AB8:AB34" si="4">D8/H8</f>
        <v>#DIV/0!</v>
      </c>
      <c r="AC8" s="1570" t="e">
        <f t="shared" ref="AC8:AC34" si="5">D8/J8</f>
        <v>#DIV/0!</v>
      </c>
    </row>
    <row r="9" spans="1:29" s="1218" customFormat="1" ht="15">
      <c r="A9" s="2914"/>
      <c r="B9" s="2921" t="s">
        <v>2752</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90" t="s">
        <v>534</v>
      </c>
      <c r="Q9" s="1149" t="str">
        <f t="shared" ref="Q9:Q14" si="6">B9</f>
        <v>用途</v>
      </c>
      <c r="R9" s="1567" t="s">
        <v>8</v>
      </c>
      <c r="S9" s="1568">
        <f t="shared" si="0"/>
        <v>100</v>
      </c>
      <c r="T9" s="1567" t="s">
        <v>8</v>
      </c>
      <c r="U9" s="1568">
        <f t="shared" si="1"/>
        <v>100</v>
      </c>
      <c r="V9" s="1567" t="s">
        <v>8</v>
      </c>
      <c r="W9" s="1568">
        <f t="shared" si="2"/>
        <v>100</v>
      </c>
      <c r="X9" s="1569"/>
      <c r="Y9" s="3336" t="s">
        <v>535</v>
      </c>
      <c r="Z9" s="1148" t="str">
        <f t="shared" ref="Z9:Z14" si="7">Q9</f>
        <v>用途</v>
      </c>
      <c r="AA9" s="1570">
        <f t="shared" si="3"/>
        <v>1</v>
      </c>
      <c r="AB9" s="1570">
        <f t="shared" si="4"/>
        <v>1</v>
      </c>
      <c r="AC9" s="1570">
        <f t="shared" si="5"/>
        <v>1</v>
      </c>
    </row>
    <row r="10" spans="1:29" s="1336" customFormat="1" ht="27">
      <c r="A10" s="2915"/>
      <c r="B10" s="2920" t="s">
        <v>2753</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90"/>
      <c r="Q10" s="1149" t="str">
        <f t="shared" si="6"/>
        <v>土地使用年限（年）</v>
      </c>
      <c r="R10" s="1567" t="s">
        <v>8</v>
      </c>
      <c r="S10" s="1568">
        <f t="shared" si="0"/>
        <v>100</v>
      </c>
      <c r="T10" s="1567" t="s">
        <v>8</v>
      </c>
      <c r="U10" s="1568">
        <f t="shared" si="1"/>
        <v>100</v>
      </c>
      <c r="V10" s="1567" t="s">
        <v>8</v>
      </c>
      <c r="W10" s="1568">
        <f t="shared" si="2"/>
        <v>100</v>
      </c>
      <c r="X10" s="1569"/>
      <c r="Y10" s="3336"/>
      <c r="Z10" s="1148" t="str">
        <f t="shared" si="7"/>
        <v>土地使用年限（年）</v>
      </c>
      <c r="AA10" s="1570">
        <f t="shared" si="3"/>
        <v>1</v>
      </c>
      <c r="AB10" s="1570">
        <f t="shared" si="4"/>
        <v>1</v>
      </c>
      <c r="AC10" s="1570">
        <f t="shared" si="5"/>
        <v>1</v>
      </c>
    </row>
    <row r="11" spans="1:29" ht="15">
      <c r="A11" s="2917"/>
      <c r="B11" s="2923">
        <v>111</v>
      </c>
      <c r="C11" s="527"/>
      <c r="D11" s="254">
        <v>100</v>
      </c>
      <c r="E11" s="878"/>
      <c r="F11" s="254">
        <f>SUMIF(55:55,E11,56:56)-SUMIF(55:55,C11,56:56)+100</f>
        <v>100</v>
      </c>
      <c r="G11" s="878"/>
      <c r="H11" s="254">
        <f>SUMIF(55:55,G11,56:56)-SUMIF(55:55,C11,56:56)+100</f>
        <v>100</v>
      </c>
      <c r="I11" s="878"/>
      <c r="J11" s="254">
        <f>SUMIF(55:55,I11,56:56)-SUMIF(55:55,C11,56:56)+100</f>
        <v>100</v>
      </c>
      <c r="K11" s="580"/>
      <c r="L11" s="2140"/>
      <c r="M11" s="2134"/>
      <c r="N11" s="2134"/>
      <c r="O11" s="2141"/>
      <c r="P11" s="3390"/>
      <c r="Q11" s="1149">
        <f t="shared" si="6"/>
        <v>111</v>
      </c>
      <c r="R11" s="1567" t="s">
        <v>8</v>
      </c>
      <c r="S11" s="1568">
        <f t="shared" si="0"/>
        <v>100</v>
      </c>
      <c r="T11" s="1567" t="s">
        <v>8</v>
      </c>
      <c r="U11" s="1568">
        <f t="shared" si="1"/>
        <v>100</v>
      </c>
      <c r="V11" s="1567" t="s">
        <v>8</v>
      </c>
      <c r="W11" s="1568">
        <f t="shared" si="2"/>
        <v>100</v>
      </c>
      <c r="X11" s="1569"/>
      <c r="Y11" s="3336"/>
      <c r="Z11" s="1148">
        <f t="shared" si="7"/>
        <v>111</v>
      </c>
      <c r="AA11" s="1570">
        <f t="shared" si="3"/>
        <v>1</v>
      </c>
      <c r="AB11" s="1570">
        <f t="shared" si="4"/>
        <v>1</v>
      </c>
      <c r="AC11" s="1570">
        <f t="shared" si="5"/>
        <v>1</v>
      </c>
    </row>
    <row r="12" spans="1:29" s="1218" customFormat="1" ht="15">
      <c r="A12" s="2917"/>
      <c r="B12" s="2923">
        <v>111</v>
      </c>
      <c r="C12" s="527"/>
      <c r="D12" s="537">
        <v>100</v>
      </c>
      <c r="E12" s="878"/>
      <c r="F12" s="254">
        <f>SUMIF(57:57,E12,58:58)-SUMIF(57:57,C12,58:58)+100</f>
        <v>100</v>
      </c>
      <c r="G12" s="878"/>
      <c r="H12" s="254">
        <f>SUMIF(57:57,G12,58:58)-SUMIF(57:57,C12,58:58)+100</f>
        <v>100</v>
      </c>
      <c r="I12" s="878"/>
      <c r="J12" s="254">
        <f>SUMIF(57:57,I12,58:58)-SUMIF(57:57,C12,58:58)+100</f>
        <v>100</v>
      </c>
      <c r="K12" s="580"/>
      <c r="L12" s="2135"/>
      <c r="M12" s="2136"/>
      <c r="N12" s="2136"/>
      <c r="O12" s="2137"/>
      <c r="P12" s="3390"/>
      <c r="Q12" s="1149">
        <f t="shared" si="6"/>
        <v>111</v>
      </c>
      <c r="R12" s="1567" t="s">
        <v>8</v>
      </c>
      <c r="S12" s="1568">
        <f t="shared" si="0"/>
        <v>100</v>
      </c>
      <c r="T12" s="1567" t="s">
        <v>8</v>
      </c>
      <c r="U12" s="1568">
        <f t="shared" si="1"/>
        <v>100</v>
      </c>
      <c r="V12" s="1567" t="s">
        <v>8</v>
      </c>
      <c r="W12" s="1568">
        <f t="shared" si="2"/>
        <v>100</v>
      </c>
      <c r="X12" s="1569"/>
      <c r="Y12" s="3336"/>
      <c r="Z12" s="1148">
        <f t="shared" si="7"/>
        <v>111</v>
      </c>
      <c r="AA12" s="1570">
        <f>D12/F12</f>
        <v>1</v>
      </c>
      <c r="AB12" s="1570">
        <f>D12/H12</f>
        <v>1</v>
      </c>
      <c r="AC12" s="1570">
        <f>D12/J12</f>
        <v>1</v>
      </c>
    </row>
    <row r="13" spans="1:29" ht="15.75" thickBot="1">
      <c r="A13" s="2918"/>
      <c r="B13" s="2924">
        <v>111</v>
      </c>
      <c r="C13" s="538"/>
      <c r="D13" s="539">
        <v>100</v>
      </c>
      <c r="E13" s="878"/>
      <c r="F13" s="254">
        <f>SUMIF(59:59,E13,60:60)-SUMIF(59:59,C13,60:60)+100</f>
        <v>100</v>
      </c>
      <c r="G13" s="878"/>
      <c r="H13" s="539">
        <f>SUMIF(59:59,G13,60:60)-SUMIF(59:59,C13,60:60)+100</f>
        <v>100</v>
      </c>
      <c r="I13" s="878"/>
      <c r="J13" s="539">
        <f>SUMIF(59:59,I13,60:60)-SUMIF(59:59,C13,60:60)+100</f>
        <v>100</v>
      </c>
      <c r="K13" s="580"/>
      <c r="L13" s="2142"/>
      <c r="M13" s="2134"/>
      <c r="N13" s="2134"/>
      <c r="O13" s="2141"/>
      <c r="P13" s="3390"/>
      <c r="Q13" s="1149">
        <f t="shared" si="6"/>
        <v>111</v>
      </c>
      <c r="R13" s="1567" t="s">
        <v>8</v>
      </c>
      <c r="S13" s="1568">
        <f t="shared" si="0"/>
        <v>100</v>
      </c>
      <c r="T13" s="1567" t="s">
        <v>8</v>
      </c>
      <c r="U13" s="1568">
        <f t="shared" si="1"/>
        <v>100</v>
      </c>
      <c r="V13" s="1567" t="s">
        <v>8</v>
      </c>
      <c r="W13" s="1568">
        <f t="shared" si="2"/>
        <v>100</v>
      </c>
      <c r="X13" s="1569"/>
      <c r="Y13" s="3336"/>
      <c r="Z13" s="1148">
        <f t="shared" si="7"/>
        <v>111</v>
      </c>
      <c r="AA13" s="1570">
        <f t="shared" si="3"/>
        <v>1</v>
      </c>
      <c r="AB13" s="1570">
        <f t="shared" si="4"/>
        <v>1</v>
      </c>
      <c r="AC13" s="1570">
        <f t="shared" si="5"/>
        <v>1</v>
      </c>
    </row>
    <row r="14" spans="1:29" ht="85.5">
      <c r="A14" s="2910" t="s">
        <v>2750</v>
      </c>
      <c r="B14" s="166" t="s">
        <v>542</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2"/>
      <c r="M14" s="2134"/>
      <c r="N14" s="2134"/>
      <c r="O14" s="2141"/>
      <c r="P14" s="3424" t="s">
        <v>539</v>
      </c>
      <c r="Q14" s="1571" t="str">
        <f t="shared" si="6"/>
        <v>交通便捷度</v>
      </c>
      <c r="R14" s="1572" t="s">
        <v>8</v>
      </c>
      <c r="S14" s="1573">
        <f t="shared" si="0"/>
        <v>100</v>
      </c>
      <c r="T14" s="1572" t="s">
        <v>8</v>
      </c>
      <c r="U14" s="1573">
        <f t="shared" si="1"/>
        <v>100</v>
      </c>
      <c r="V14" s="1572" t="s">
        <v>8</v>
      </c>
      <c r="W14" s="1573">
        <f t="shared" si="2"/>
        <v>100</v>
      </c>
      <c r="X14" s="1566"/>
      <c r="Y14" s="3424" t="s">
        <v>539</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7"/>
      <c r="L15" s="2142"/>
      <c r="M15" s="2134"/>
      <c r="N15" s="2134"/>
      <c r="O15" s="2141"/>
      <c r="P15" s="3425"/>
      <c r="Q15" s="1571"/>
      <c r="R15" s="1572"/>
      <c r="S15" s="1573"/>
      <c r="T15" s="1572"/>
      <c r="U15" s="1573"/>
      <c r="V15" s="1572"/>
      <c r="W15" s="1573"/>
      <c r="X15" s="1566"/>
      <c r="Y15" s="3425"/>
      <c r="Z15" s="1574"/>
      <c r="AA15" s="1575">
        <v>1</v>
      </c>
      <c r="AB15" s="1575">
        <v>1</v>
      </c>
      <c r="AC15" s="1575">
        <v>1</v>
      </c>
    </row>
    <row r="16" spans="1:29" ht="15">
      <c r="A16" s="531"/>
      <c r="B16" s="2603" t="s">
        <v>2543</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6"/>
      <c r="L16" s="2142"/>
      <c r="M16" s="2134"/>
      <c r="N16" s="2134"/>
      <c r="O16" s="2141"/>
      <c r="P16" s="3425"/>
      <c r="Q16" s="1571" t="str">
        <f>B16</f>
        <v>公共配套设施</v>
      </c>
      <c r="R16" s="1572" t="s">
        <v>8</v>
      </c>
      <c r="S16" s="1573">
        <f>F16</f>
        <v>100</v>
      </c>
      <c r="T16" s="1572" t="s">
        <v>8</v>
      </c>
      <c r="U16" s="1573">
        <f>H16</f>
        <v>100</v>
      </c>
      <c r="V16" s="1572" t="s">
        <v>8</v>
      </c>
      <c r="W16" s="1573">
        <f>J16</f>
        <v>100</v>
      </c>
      <c r="X16" s="1566"/>
      <c r="Y16" s="3425"/>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7"/>
      <c r="L17" s="2142"/>
      <c r="M17" s="2134"/>
      <c r="N17" s="2134"/>
      <c r="O17" s="2141"/>
      <c r="P17" s="3425"/>
      <c r="Q17" s="1571"/>
      <c r="R17" s="1572"/>
      <c r="S17" s="1573"/>
      <c r="T17" s="1572"/>
      <c r="U17" s="1573"/>
      <c r="V17" s="1572"/>
      <c r="W17" s="1573"/>
      <c r="X17" s="1566"/>
      <c r="Y17" s="3425"/>
      <c r="Z17" s="1574"/>
      <c r="AA17" s="1575">
        <v>1</v>
      </c>
      <c r="AB17" s="1575">
        <v>1</v>
      </c>
      <c r="AC17" s="1575">
        <v>1</v>
      </c>
    </row>
    <row r="18" spans="1:29" ht="15">
      <c r="A18" s="531"/>
      <c r="B18" s="2591" t="s">
        <v>2555</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6"/>
      <c r="L18" s="2142"/>
      <c r="M18" s="2134"/>
      <c r="N18" s="2134"/>
      <c r="O18" s="2141"/>
      <c r="P18" s="3425"/>
      <c r="Q18" s="2579" t="str">
        <f>B18</f>
        <v>基础设施水平</v>
      </c>
      <c r="R18" s="1572" t="s">
        <v>8</v>
      </c>
      <c r="S18" s="1573">
        <f>F18</f>
        <v>100</v>
      </c>
      <c r="T18" s="1572" t="s">
        <v>8</v>
      </c>
      <c r="U18" s="1573">
        <f>H18</f>
        <v>100</v>
      </c>
      <c r="V18" s="1572" t="s">
        <v>8</v>
      </c>
      <c r="W18" s="1573">
        <f>J18</f>
        <v>100</v>
      </c>
      <c r="X18" s="2581"/>
      <c r="Y18" s="3425"/>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425"/>
      <c r="Q19" s="2579"/>
      <c r="R19" s="1572"/>
      <c r="S19" s="1573"/>
      <c r="T19" s="1572"/>
      <c r="U19" s="1573"/>
      <c r="V19" s="1572"/>
      <c r="W19" s="1573"/>
      <c r="X19" s="2581"/>
      <c r="Y19" s="3425"/>
      <c r="Z19" s="2580"/>
      <c r="AA19" s="1575">
        <v>1</v>
      </c>
      <c r="AB19" s="1575">
        <v>1</v>
      </c>
      <c r="AC19" s="1575">
        <v>1</v>
      </c>
    </row>
    <row r="20" spans="1:29" ht="15">
      <c r="A20" s="531"/>
      <c r="B20" s="870" t="s">
        <v>803</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6"/>
      <c r="L20" s="2142"/>
      <c r="M20" s="2134"/>
      <c r="N20" s="2134"/>
      <c r="O20" s="2141"/>
      <c r="P20" s="3425"/>
      <c r="Q20" s="1571" t="str">
        <f>B20</f>
        <v>自然及人文环境</v>
      </c>
      <c r="R20" s="1572" t="s">
        <v>8</v>
      </c>
      <c r="S20" s="1573">
        <f>F20</f>
        <v>100</v>
      </c>
      <c r="T20" s="1572" t="s">
        <v>8</v>
      </c>
      <c r="U20" s="1573">
        <f>H20</f>
        <v>100</v>
      </c>
      <c r="V20" s="1572" t="s">
        <v>8</v>
      </c>
      <c r="W20" s="1573">
        <f>J20</f>
        <v>100</v>
      </c>
      <c r="X20" s="1566"/>
      <c r="Y20" s="3425"/>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7"/>
      <c r="L21" s="2142"/>
      <c r="M21" s="2134"/>
      <c r="N21" s="2134"/>
      <c r="O21" s="2141"/>
      <c r="P21" s="3425"/>
      <c r="Q21" s="1571"/>
      <c r="R21" s="1572"/>
      <c r="S21" s="1573"/>
      <c r="T21" s="1572"/>
      <c r="U21" s="1573"/>
      <c r="V21" s="1572"/>
      <c r="W21" s="1573"/>
      <c r="X21" s="1566"/>
      <c r="Y21" s="3425"/>
      <c r="Z21" s="1574"/>
      <c r="AA21" s="1575">
        <v>1</v>
      </c>
      <c r="AB21" s="1575">
        <v>1</v>
      </c>
      <c r="AC21" s="1575">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25"/>
      <c r="Q24" s="1571">
        <f t="shared" ref="Q24:Q34"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5"/>
      <c r="M25" s="2136"/>
      <c r="N25" s="2136"/>
      <c r="O25" s="2137"/>
      <c r="P25" s="3425"/>
      <c r="Q25" s="1149">
        <f t="shared" si="11"/>
        <v>111</v>
      </c>
      <c r="R25" s="1567" t="s">
        <v>8</v>
      </c>
      <c r="S25" s="1568">
        <f>F25</f>
        <v>100</v>
      </c>
      <c r="T25" s="1567" t="s">
        <v>8</v>
      </c>
      <c r="U25" s="1568">
        <f>H25</f>
        <v>100</v>
      </c>
      <c r="V25" s="1567" t="s">
        <v>8</v>
      </c>
      <c r="W25" s="1568">
        <f>J25</f>
        <v>100</v>
      </c>
      <c r="X25" s="1569"/>
      <c r="Y25" s="3425"/>
      <c r="Z25" s="1148">
        <f>Q25</f>
        <v>111</v>
      </c>
      <c r="AA25" s="1575">
        <f>D25/F25</f>
        <v>1</v>
      </c>
      <c r="AB25" s="1575">
        <f>D25/H25</f>
        <v>1</v>
      </c>
      <c r="AC25" s="1575">
        <f>D25/J25</f>
        <v>1</v>
      </c>
    </row>
    <row r="26" spans="1:29" ht="15">
      <c r="A26" s="2907" t="s">
        <v>2751</v>
      </c>
      <c r="B26" s="172" t="s">
        <v>807</v>
      </c>
      <c r="C26" s="914"/>
      <c r="D26" s="596">
        <v>100</v>
      </c>
      <c r="E26" s="914"/>
      <c r="F26" s="941">
        <f>SUMIF(77:77,E26,78:78)-SUMIF(77:77,C26,78:78)+100</f>
        <v>100</v>
      </c>
      <c r="G26" s="914"/>
      <c r="H26" s="596">
        <f>SUMIF(77:77,G26,78:78)-SUMIF(77:77,C26,78:78)+100</f>
        <v>100</v>
      </c>
      <c r="I26" s="914"/>
      <c r="J26" s="596">
        <f>SUMIF(77:77,I26,78:78)-SUMIF(77:77,C26,78:78)+100</f>
        <v>100</v>
      </c>
      <c r="K26" s="583"/>
      <c r="L26" s="2142"/>
      <c r="M26" s="2134"/>
      <c r="N26" s="2134"/>
      <c r="O26" s="2141"/>
      <c r="P26" s="3426"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7" t="s">
        <v>820</v>
      </c>
      <c r="Z26" s="1574" t="str">
        <f t="shared" ref="Z26:Z34" si="15">Q26</f>
        <v>公共部分装修</v>
      </c>
      <c r="AA26" s="1575">
        <f t="shared" si="3"/>
        <v>1</v>
      </c>
      <c r="AB26" s="1575">
        <f t="shared" si="4"/>
        <v>1</v>
      </c>
      <c r="AC26" s="1575">
        <f t="shared" si="5"/>
        <v>1</v>
      </c>
    </row>
    <row r="27" spans="1:29" s="1337" customFormat="1" ht="15">
      <c r="A27" s="602"/>
      <c r="B27" s="526" t="s">
        <v>808</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40"/>
      <c r="M27" s="2171"/>
      <c r="N27" s="2171"/>
      <c r="O27" s="2143"/>
      <c r="P27" s="3427"/>
      <c r="Q27" s="1604" t="str">
        <f t="shared" si="11"/>
        <v>成新率</v>
      </c>
      <c r="R27" s="1576" t="s">
        <v>8</v>
      </c>
      <c r="S27" s="1577" t="e">
        <f t="shared" si="12"/>
        <v>#N/A</v>
      </c>
      <c r="T27" s="1576" t="s">
        <v>8</v>
      </c>
      <c r="U27" s="1577" t="e">
        <f t="shared" si="13"/>
        <v>#N/A</v>
      </c>
      <c r="V27" s="1576" t="s">
        <v>8</v>
      </c>
      <c r="W27" s="1577" t="e">
        <f t="shared" si="14"/>
        <v>#N/A</v>
      </c>
      <c r="X27" s="1578"/>
      <c r="Y27" s="3427"/>
      <c r="Z27" s="1579" t="str">
        <f t="shared" si="15"/>
        <v>成新率</v>
      </c>
      <c r="AA27" s="1575" t="e">
        <f t="shared" si="3"/>
        <v>#N/A</v>
      </c>
      <c r="AB27" s="1575" t="e">
        <f t="shared" si="4"/>
        <v>#N/A</v>
      </c>
      <c r="AC27" s="1575"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27"/>
      <c r="Q28" s="1571" t="str">
        <f t="shared" si="11"/>
        <v>物业等级</v>
      </c>
      <c r="R28" s="1572" t="s">
        <v>8</v>
      </c>
      <c r="S28" s="1573">
        <f t="shared" si="12"/>
        <v>100</v>
      </c>
      <c r="T28" s="1572" t="s">
        <v>8</v>
      </c>
      <c r="U28" s="1573">
        <f t="shared" si="13"/>
        <v>100</v>
      </c>
      <c r="V28" s="1572" t="s">
        <v>8</v>
      </c>
      <c r="W28" s="1573">
        <f t="shared" si="14"/>
        <v>100</v>
      </c>
      <c r="X28" s="1566"/>
      <c r="Y28" s="3427"/>
      <c r="Z28" s="1574" t="str">
        <f t="shared" si="15"/>
        <v>物业等级</v>
      </c>
      <c r="AA28" s="1575">
        <f t="shared" si="3"/>
        <v>1</v>
      </c>
      <c r="AB28" s="1575">
        <f t="shared" si="4"/>
        <v>1</v>
      </c>
      <c r="AC28" s="1575">
        <f t="shared" si="5"/>
        <v>1</v>
      </c>
    </row>
    <row r="29" spans="1:29" ht="15">
      <c r="A29" s="593"/>
      <c r="B29" s="526" t="s">
        <v>821</v>
      </c>
      <c r="C29" s="930"/>
      <c r="D29" s="539">
        <v>100</v>
      </c>
      <c r="E29" s="930"/>
      <c r="F29" s="574">
        <f>SUMIF(84:84,E29,85:85)-SUMIF(84:84,C29,85:85)+100</f>
        <v>100</v>
      </c>
      <c r="G29" s="930"/>
      <c r="H29" s="539">
        <f>SUMIF(84:84,G29,85:85)-SUMIF(84:84,C29,85:85)+100</f>
        <v>100</v>
      </c>
      <c r="I29" s="930"/>
      <c r="J29" s="539">
        <f>SUMIF(84:84,I29,85:85)-SUMIF(84:84,C29,85:85)+100</f>
        <v>100</v>
      </c>
      <c r="K29" s="583"/>
      <c r="L29" s="2142"/>
      <c r="M29" s="2134"/>
      <c r="N29" s="2134"/>
      <c r="O29" s="2141"/>
      <c r="P29" s="3427"/>
      <c r="Q29" s="1571" t="str">
        <f t="shared" si="11"/>
        <v>有无电梯</v>
      </c>
      <c r="R29" s="1572" t="s">
        <v>8</v>
      </c>
      <c r="S29" s="1573">
        <f t="shared" si="12"/>
        <v>100</v>
      </c>
      <c r="T29" s="1572" t="s">
        <v>8</v>
      </c>
      <c r="U29" s="1573">
        <f t="shared" si="13"/>
        <v>100</v>
      </c>
      <c r="V29" s="1572" t="s">
        <v>8</v>
      </c>
      <c r="W29" s="1573">
        <f t="shared" si="14"/>
        <v>100</v>
      </c>
      <c r="X29" s="1566"/>
      <c r="Y29" s="3427"/>
      <c r="Z29" s="1574" t="str">
        <f t="shared" si="15"/>
        <v>有无电梯</v>
      </c>
      <c r="AA29" s="1575">
        <f t="shared" si="3"/>
        <v>1</v>
      </c>
      <c r="AB29" s="1575">
        <f t="shared" si="4"/>
        <v>1</v>
      </c>
      <c r="AC29" s="1575">
        <f t="shared" si="5"/>
        <v>1</v>
      </c>
    </row>
    <row r="30" spans="1:29" ht="15">
      <c r="A30" s="593"/>
      <c r="B30" s="526" t="s">
        <v>822</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2"/>
      <c r="M30" s="2134"/>
      <c r="N30" s="2134"/>
      <c r="O30" s="2141"/>
      <c r="P30" s="3427"/>
      <c r="Q30" s="1571" t="str">
        <f t="shared" si="11"/>
        <v>建筑面积</v>
      </c>
      <c r="R30" s="1572" t="s">
        <v>8</v>
      </c>
      <c r="S30" s="1573" t="e">
        <f t="shared" si="12"/>
        <v>#N/A</v>
      </c>
      <c r="T30" s="1572" t="s">
        <v>8</v>
      </c>
      <c r="U30" s="1573" t="e">
        <f t="shared" si="13"/>
        <v>#N/A</v>
      </c>
      <c r="V30" s="1572" t="s">
        <v>8</v>
      </c>
      <c r="W30" s="1573" t="e">
        <f t="shared" si="14"/>
        <v>#N/A</v>
      </c>
      <c r="X30" s="1566"/>
      <c r="Y30" s="3427"/>
      <c r="Z30" s="1574" t="str">
        <f t="shared" si="15"/>
        <v>建筑面积</v>
      </c>
      <c r="AA30" s="1575" t="e">
        <f t="shared" si="3"/>
        <v>#N/A</v>
      </c>
      <c r="AB30" s="1575" t="e">
        <f t="shared" si="4"/>
        <v>#N/A</v>
      </c>
      <c r="AC30" s="1575" t="e">
        <f t="shared" si="5"/>
        <v>#N/A</v>
      </c>
    </row>
    <row r="31" spans="1:29" s="1218" customFormat="1" ht="15">
      <c r="A31" s="599"/>
      <c r="B31" s="526" t="s">
        <v>823</v>
      </c>
      <c r="C31" s="930"/>
      <c r="D31" s="254">
        <v>100</v>
      </c>
      <c r="E31" s="930"/>
      <c r="F31" s="574">
        <f>SUMIF(89:89,E31,90:90)-SUMIF(89:89,C31,90:90)+100</f>
        <v>100</v>
      </c>
      <c r="G31" s="930"/>
      <c r="H31" s="539">
        <f>SUMIF(89:89,G31,90:90)-SUMIF(89:89,C31,90:90)+100</f>
        <v>100</v>
      </c>
      <c r="I31" s="930"/>
      <c r="J31" s="539">
        <f>SUMIF(89:89,I31,90:90)-SUMIF(89:89,C31,90:90)+100</f>
        <v>100</v>
      </c>
      <c r="K31" s="583"/>
      <c r="L31" s="2135"/>
      <c r="M31" s="2136"/>
      <c r="N31" s="2136"/>
      <c r="O31" s="2137"/>
      <c r="P31" s="3427"/>
      <c r="Q31" s="1149" t="str">
        <f t="shared" si="11"/>
        <v>是否封闭</v>
      </c>
      <c r="R31" s="1567" t="s">
        <v>8</v>
      </c>
      <c r="S31" s="1568">
        <f t="shared" si="12"/>
        <v>100</v>
      </c>
      <c r="T31" s="1567" t="s">
        <v>8</v>
      </c>
      <c r="U31" s="1568">
        <f t="shared" si="13"/>
        <v>100</v>
      </c>
      <c r="V31" s="1567" t="s">
        <v>8</v>
      </c>
      <c r="W31" s="1568">
        <f t="shared" si="14"/>
        <v>100</v>
      </c>
      <c r="X31" s="1569"/>
      <c r="Y31" s="3427"/>
      <c r="Z31" s="1148" t="str">
        <f t="shared" si="15"/>
        <v>是否封闭</v>
      </c>
      <c r="AA31" s="1570">
        <f t="shared" si="3"/>
        <v>1</v>
      </c>
      <c r="AB31" s="1570">
        <f t="shared" si="4"/>
        <v>1</v>
      </c>
      <c r="AC31" s="1570">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2"/>
      <c r="M32" s="2134"/>
      <c r="N32" s="2134"/>
      <c r="O32" s="2141"/>
      <c r="P32" s="3427" t="s">
        <v>549</v>
      </c>
      <c r="Q32" s="1571">
        <f t="shared" si="11"/>
        <v>111</v>
      </c>
      <c r="R32" s="1572" t="s">
        <v>8</v>
      </c>
      <c r="S32" s="1573">
        <f t="shared" si="12"/>
        <v>100</v>
      </c>
      <c r="T32" s="1572" t="s">
        <v>8</v>
      </c>
      <c r="U32" s="1573">
        <f t="shared" si="13"/>
        <v>100</v>
      </c>
      <c r="V32" s="1572" t="s">
        <v>8</v>
      </c>
      <c r="W32" s="1573">
        <f t="shared" si="14"/>
        <v>100</v>
      </c>
      <c r="X32" s="1566"/>
      <c r="Y32" s="3427" t="s">
        <v>549</v>
      </c>
      <c r="Z32" s="1574">
        <f t="shared" si="15"/>
        <v>111</v>
      </c>
      <c r="AA32" s="1575">
        <f t="shared" si="3"/>
        <v>1</v>
      </c>
      <c r="AB32" s="1575">
        <f t="shared" si="4"/>
        <v>1</v>
      </c>
      <c r="AC32" s="1575">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2"/>
      <c r="M33" s="2134"/>
      <c r="N33" s="2134"/>
      <c r="O33" s="2141"/>
      <c r="P33" s="3427"/>
      <c r="Q33" s="1571">
        <f t="shared" si="11"/>
        <v>111</v>
      </c>
      <c r="R33" s="1572" t="s">
        <v>8</v>
      </c>
      <c r="S33" s="1573">
        <f t="shared" si="12"/>
        <v>100</v>
      </c>
      <c r="T33" s="1572" t="s">
        <v>8</v>
      </c>
      <c r="U33" s="1573">
        <f t="shared" si="13"/>
        <v>100</v>
      </c>
      <c r="V33" s="1572" t="s">
        <v>8</v>
      </c>
      <c r="W33" s="1573">
        <f t="shared" si="14"/>
        <v>100</v>
      </c>
      <c r="X33" s="1566"/>
      <c r="Y33" s="3427"/>
      <c r="Z33" s="1574">
        <f t="shared" si="15"/>
        <v>111</v>
      </c>
      <c r="AA33" s="1575">
        <f t="shared" si="3"/>
        <v>1</v>
      </c>
      <c r="AB33" s="1575">
        <f t="shared" si="4"/>
        <v>1</v>
      </c>
      <c r="AC33" s="1575">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2"/>
      <c r="M34" s="2134"/>
      <c r="N34" s="2134"/>
      <c r="O34" s="2141"/>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ht="15">
      <c r="A35" s="606" t="s">
        <v>735</v>
      </c>
      <c r="B35" s="885"/>
      <c r="C35" s="2627" t="s">
        <v>1</v>
      </c>
      <c r="D35" s="2628"/>
      <c r="E35" s="2629"/>
      <c r="F35" s="2630"/>
      <c r="G35" s="2631"/>
      <c r="H35" s="2632"/>
      <c r="I35" s="2629"/>
      <c r="J35" s="2632"/>
      <c r="K35" s="1610"/>
      <c r="L35" s="2144"/>
      <c r="M35" s="2145"/>
      <c r="N35" s="2134"/>
      <c r="O35" s="2145"/>
      <c r="P35" s="3390" t="str">
        <f>A35</f>
        <v>成交单价（元/平方米）</v>
      </c>
      <c r="Q35" s="3390"/>
      <c r="R35" s="3480">
        <f>E35</f>
        <v>0</v>
      </c>
      <c r="S35" s="3480"/>
      <c r="T35" s="3480">
        <f>G35</f>
        <v>0</v>
      </c>
      <c r="U35" s="3480"/>
      <c r="V35" s="3480">
        <f>I35</f>
        <v>0</v>
      </c>
      <c r="W35" s="3480"/>
      <c r="X35" s="1558"/>
      <c r="Y35" s="1580"/>
      <c r="Z35" s="1558"/>
      <c r="AA35" s="1558"/>
      <c r="AB35" s="1558"/>
      <c r="AC35" s="1558"/>
    </row>
    <row r="36" spans="1:29" ht="15.75" thickBot="1">
      <c r="A36" s="614" t="s">
        <v>2756</v>
      </c>
      <c r="B36" s="886"/>
      <c r="C36" s="2633" t="e">
        <f>R37</f>
        <v>#DIV/0!</v>
      </c>
      <c r="D36" s="2634"/>
      <c r="E36" s="2635" t="e">
        <f>R36</f>
        <v>#DIV/0!</v>
      </c>
      <c r="F36" s="2635"/>
      <c r="G36" s="2633" t="e">
        <f>T36</f>
        <v>#DIV/0!</v>
      </c>
      <c r="H36" s="2634"/>
      <c r="I36" s="2635" t="e">
        <f>V36</f>
        <v>#DIV/0!</v>
      </c>
      <c r="J36" s="2634"/>
      <c r="K36" s="1611"/>
      <c r="L36" s="2144"/>
      <c r="M36" s="2145"/>
      <c r="N36" s="2134"/>
      <c r="O36" s="2145"/>
      <c r="P36" s="3390" t="str">
        <f>A36</f>
        <v>比较价格（元/平方米）</v>
      </c>
      <c r="Q36" s="3390"/>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58"/>
      <c r="Y36" s="1558"/>
      <c r="Z36" s="1558"/>
      <c r="AA36" s="1558"/>
      <c r="AB36" s="1558"/>
      <c r="AC36" s="1558"/>
    </row>
    <row r="37" spans="1:29" ht="15.75" thickBot="1">
      <c r="A37" s="620" t="s">
        <v>2922</v>
      </c>
      <c r="B37" s="621"/>
      <c r="C37" s="2636" t="e">
        <f>R37</f>
        <v>#DIV/0!</v>
      </c>
      <c r="D37" s="2636"/>
      <c r="E37" s="2636"/>
      <c r="F37" s="2636"/>
      <c r="G37" s="2636"/>
      <c r="H37" s="2636"/>
      <c r="I37" s="2636"/>
      <c r="J37" s="2636"/>
      <c r="K37" s="1612"/>
      <c r="L37" s="2144"/>
      <c r="M37" s="2145"/>
      <c r="N37" s="2145"/>
      <c r="O37" s="2145"/>
      <c r="P37" s="3387" t="str">
        <f>A37</f>
        <v>估价对象XX用房的比较价格（楼面单价，元/平方米）</v>
      </c>
      <c r="Q37" s="3388"/>
      <c r="R37" s="3479" t="e">
        <f>IF(F1="售价",ROUND(AVERAGE(R36:V36),0),ROUND(AVERAGE(R36:V36),1))</f>
        <v>#DIV/0!</v>
      </c>
      <c r="S37" s="3479"/>
      <c r="T37" s="3479"/>
      <c r="U37" s="3479"/>
      <c r="V37" s="3479"/>
      <c r="W37" s="3479"/>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4" t="s">
        <v>528</v>
      </c>
      <c r="B46" s="645"/>
      <c r="C46" s="2802" t="str">
        <f>YEAR(C7)&amp;"-"&amp;MONTH(C7)</f>
        <v>2018-12</v>
      </c>
      <c r="D46" s="2804">
        <f>EDATE(C46,-1)</f>
        <v>43405</v>
      </c>
      <c r="E46" s="2804">
        <f t="shared" ref="E46:O46" si="16">EDATE(D46,-1)</f>
        <v>43374</v>
      </c>
      <c r="F46" s="2804">
        <f t="shared" si="16"/>
        <v>43344</v>
      </c>
      <c r="G46" s="2804">
        <f t="shared" si="16"/>
        <v>43313</v>
      </c>
      <c r="H46" s="2804">
        <f t="shared" si="16"/>
        <v>43282</v>
      </c>
      <c r="I46" s="2804">
        <f t="shared" si="16"/>
        <v>43252</v>
      </c>
      <c r="J46" s="2804">
        <f t="shared" si="16"/>
        <v>43221</v>
      </c>
      <c r="K46" s="2804">
        <f t="shared" si="16"/>
        <v>43191</v>
      </c>
      <c r="L46" s="2804">
        <f t="shared" si="16"/>
        <v>43160</v>
      </c>
      <c r="M46" s="2804">
        <f t="shared" si="16"/>
        <v>43132</v>
      </c>
      <c r="N46" s="2804">
        <f t="shared" si="16"/>
        <v>43101</v>
      </c>
      <c r="O46" s="2804">
        <f t="shared" si="16"/>
        <v>43070</v>
      </c>
      <c r="P46" s="2160"/>
      <c r="Q46" s="2161"/>
      <c r="R46" s="2161"/>
      <c r="S46" s="2161"/>
      <c r="T46" s="2161"/>
      <c r="U46" s="2161"/>
      <c r="V46" s="2161"/>
      <c r="W46" s="2161"/>
      <c r="X46" s="2161"/>
      <c r="Y46" s="2161"/>
      <c r="Z46" s="2161"/>
      <c r="AA46" s="2161"/>
      <c r="AB46" s="2161"/>
      <c r="AC46" s="2161"/>
    </row>
    <row r="47" spans="1:29" s="1218"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8" customFormat="1" ht="15.75" thickBot="1">
      <c r="A48" s="652" t="s">
        <v>574</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8" customFormat="1" ht="15">
      <c r="A49" s="658" t="s">
        <v>530</v>
      </c>
      <c r="B49" s="647"/>
      <c r="C49" s="659" t="s">
        <v>575</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576</v>
      </c>
      <c r="B51" s="664" t="s">
        <v>533</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3">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2554</v>
      </c>
      <c r="C63" s="707" t="s">
        <v>578</v>
      </c>
      <c r="D63" s="707" t="s">
        <v>579</v>
      </c>
      <c r="E63" s="707" t="s">
        <v>580</v>
      </c>
      <c r="F63" s="707" t="s">
        <v>581</v>
      </c>
      <c r="G63" s="707" t="s">
        <v>582</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97" t="s">
        <v>2555</v>
      </c>
      <c r="C65" s="2598" t="s">
        <v>2556</v>
      </c>
      <c r="D65" s="2598" t="s">
        <v>2557</v>
      </c>
      <c r="E65" s="2598" t="s">
        <v>2558</v>
      </c>
      <c r="F65" s="2598" t="s">
        <v>2559</v>
      </c>
      <c r="G65" s="2598" t="s">
        <v>2560</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743</v>
      </c>
      <c r="C67" s="707" t="s">
        <v>578</v>
      </c>
      <c r="D67" s="707" t="s">
        <v>579</v>
      </c>
      <c r="E67" s="707" t="s">
        <v>580</v>
      </c>
      <c r="F67" s="707" t="s">
        <v>581</v>
      </c>
      <c r="G67" s="707" t="s">
        <v>582</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8"/>
      <c r="B71" s="672">
        <f>B23</f>
        <v>111</v>
      </c>
      <c r="C71" s="540"/>
      <c r="D71" s="540"/>
      <c r="E71" s="540"/>
      <c r="F71" s="540"/>
      <c r="G71" s="687"/>
      <c r="H71" s="687"/>
      <c r="I71" s="687"/>
      <c r="J71" s="687"/>
      <c r="K71" s="687"/>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8"/>
      <c r="B73" s="672">
        <f>B24</f>
        <v>111</v>
      </c>
      <c r="C73" s="540"/>
      <c r="D73" s="540"/>
      <c r="E73" s="540"/>
      <c r="F73" s="540"/>
      <c r="G73" s="687"/>
      <c r="H73" s="687"/>
      <c r="I73" s="687"/>
      <c r="J73" s="687"/>
      <c r="K73" s="687"/>
      <c r="L73" s="687"/>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550</v>
      </c>
      <c r="B77" s="664" t="s">
        <v>750</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816</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824</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7" customFormat="1" ht="15" thickTop="1">
      <c r="A89" s="727"/>
      <c r="B89" s="672" t="s">
        <v>826</v>
      </c>
      <c r="C89" s="687"/>
      <c r="D89" s="687"/>
      <c r="E89" s="687"/>
      <c r="F89" s="687"/>
      <c r="G89" s="687"/>
      <c r="H89" s="687"/>
      <c r="I89" s="687"/>
      <c r="J89" s="687"/>
      <c r="K89" s="687"/>
      <c r="L89" s="687"/>
      <c r="M89" s="889"/>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5">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4" t="s">
        <v>2303</v>
      </c>
      <c r="C1" s="3516" t="s">
        <v>2304</v>
      </c>
      <c r="D1" s="3517"/>
      <c r="E1" s="3517"/>
      <c r="F1" s="3517"/>
      <c r="G1" s="3517"/>
      <c r="H1" s="3517"/>
      <c r="I1" s="3517"/>
      <c r="J1" s="3517"/>
      <c r="K1" s="3517"/>
      <c r="L1" s="3517"/>
      <c r="M1" s="3517"/>
      <c r="N1" s="3517"/>
      <c r="O1" s="3517"/>
      <c r="P1" s="3517"/>
      <c r="Q1" s="3517"/>
      <c r="R1" s="3517"/>
      <c r="S1" s="3518"/>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2306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2915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2914</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2913</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2928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2912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2911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827</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8" t="s">
        <v>828</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829</v>
      </c>
      <c r="B22" s="53">
        <f>SUM(B24:B10000)</f>
        <v>0</v>
      </c>
      <c r="C22" s="3513" t="s">
        <v>20</v>
      </c>
      <c r="D22" s="3514"/>
      <c r="E22" s="3514"/>
      <c r="F22" s="3514"/>
      <c r="G22" s="3514"/>
      <c r="H22" s="3514"/>
      <c r="I22" s="3514"/>
      <c r="J22" s="3514"/>
      <c r="K22" s="3514"/>
      <c r="L22" s="3514"/>
      <c r="M22" s="3514"/>
      <c r="N22" s="3514"/>
      <c r="O22" s="3514"/>
      <c r="P22" s="3514"/>
      <c r="Q22" s="3515"/>
      <c r="R22" s="489"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4"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2784</v>
      </c>
      <c r="C1" s="3004">
        <f>项目基本情况!D3</f>
        <v>43445</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2815</v>
      </c>
      <c r="C2" s="3005">
        <f>'数据-取费表'!B22</f>
        <v>3</v>
      </c>
      <c r="D2" s="3000" t="s">
        <v>2785</v>
      </c>
      <c r="E2" s="3003">
        <f ca="1">INDIRECT("I"&amp;$I$1)/100</f>
        <v>4.7500000000000001E-2</v>
      </c>
      <c r="G2" s="2940"/>
      <c r="H2" s="2940"/>
      <c r="I2" s="2940" t="s">
        <v>2786</v>
      </c>
      <c r="K2" s="2940"/>
      <c r="L2" s="2940"/>
      <c r="M2" s="2940"/>
      <c r="N2" s="2940" t="s">
        <v>2787</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2817</v>
      </c>
      <c r="C3" s="3002">
        <f>'数据-取费表'!B19</f>
        <v>0</v>
      </c>
      <c r="D3" s="3000" t="s">
        <v>2785</v>
      </c>
      <c r="E3" s="3003">
        <f ca="1">INDIRECT("J"&amp;$J$1)/100</f>
        <v>0</v>
      </c>
      <c r="G3" s="2942" t="s">
        <v>2788</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2816</v>
      </c>
      <c r="C4" s="3003">
        <f ca="1">N4/100</f>
        <v>1.4999999999999999E-2</v>
      </c>
      <c r="G4" s="2948" t="s">
        <v>2789</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2790</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2791</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2792</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2793</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2794</v>
      </c>
      <c r="C10" s="2967"/>
      <c r="D10" s="2967"/>
      <c r="E10" s="2967"/>
      <c r="F10" s="2967"/>
      <c r="G10" s="2967"/>
      <c r="H10" s="2967"/>
      <c r="I10" s="2941"/>
      <c r="J10" s="2941"/>
      <c r="K10" s="2967"/>
      <c r="L10" s="2968" t="s">
        <v>2795</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2796</v>
      </c>
      <c r="C11" s="2972" t="s">
        <v>2797</v>
      </c>
      <c r="D11" s="2973" t="s">
        <v>2798</v>
      </c>
      <c r="E11" s="2974"/>
      <c r="F11" s="2973" t="s">
        <v>2799</v>
      </c>
      <c r="G11" s="2975"/>
      <c r="H11" s="2974"/>
      <c r="I11" s="2973" t="s">
        <v>2800</v>
      </c>
      <c r="J11" s="2974"/>
      <c r="K11" s="2970"/>
      <c r="L11" s="2971" t="s">
        <v>2796</v>
      </c>
      <c r="M11" s="2972" t="s">
        <v>2797</v>
      </c>
      <c r="N11" s="2971" t="s">
        <v>2801</v>
      </c>
      <c r="O11" s="2973" t="s">
        <v>2802</v>
      </c>
      <c r="P11" s="2975"/>
      <c r="Q11" s="2975"/>
      <c r="R11" s="2975"/>
      <c r="S11" s="2975"/>
      <c r="T11" s="2974"/>
      <c r="U11" s="2973" t="s">
        <v>2803</v>
      </c>
      <c r="V11" s="2975"/>
      <c r="W11" s="2974"/>
      <c r="X11" s="2971" t="s">
        <v>2804</v>
      </c>
      <c r="Y11" s="2971" t="s">
        <v>2805</v>
      </c>
      <c r="Z11" s="2971" t="s">
        <v>2806</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2807</v>
      </c>
      <c r="E12" s="2980" t="s">
        <v>2808</v>
      </c>
      <c r="F12" s="2980" t="s">
        <v>2809</v>
      </c>
      <c r="G12" s="2980" t="s">
        <v>2810</v>
      </c>
      <c r="H12" s="2980" t="s">
        <v>2792</v>
      </c>
      <c r="I12" s="2981" t="s">
        <v>2811</v>
      </c>
      <c r="J12" s="2981" t="s">
        <v>2811</v>
      </c>
      <c r="K12" s="2977"/>
      <c r="L12" s="2978"/>
      <c r="M12" s="2979"/>
      <c r="N12" s="2978"/>
      <c r="O12" s="2981" t="s">
        <v>2812</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2813</v>
      </c>
      <c r="C13" s="2985">
        <v>42301</v>
      </c>
      <c r="D13" s="2986">
        <v>4.3499999999999996</v>
      </c>
      <c r="E13" s="2986">
        <v>4.3499999999999996</v>
      </c>
      <c r="F13" s="2986">
        <v>4.75</v>
      </c>
      <c r="G13" s="2986">
        <v>4.75</v>
      </c>
      <c r="H13" s="2986">
        <v>4.9000000000000004</v>
      </c>
      <c r="I13" s="2986">
        <v>2.75</v>
      </c>
      <c r="J13" s="2986">
        <v>3.25</v>
      </c>
      <c r="K13" s="2983"/>
      <c r="L13" s="2984" t="s">
        <v>2813</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2814</v>
      </c>
      <c r="Y42" s="2990" t="s">
        <v>2814</v>
      </c>
      <c r="Z42" s="2990" t="s">
        <v>2814</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2814</v>
      </c>
      <c r="Y43" s="2990" t="s">
        <v>2814</v>
      </c>
      <c r="Z43" s="2990" t="s">
        <v>2814</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2814</v>
      </c>
      <c r="Y44" s="2990" t="s">
        <v>2814</v>
      </c>
      <c r="Z44" s="2990" t="s">
        <v>2814</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2814</v>
      </c>
      <c r="Y45" s="2990" t="s">
        <v>2814</v>
      </c>
      <c r="Z45" s="2990" t="s">
        <v>2814</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2814</v>
      </c>
      <c r="Y46" s="2990" t="s">
        <v>2814</v>
      </c>
      <c r="Z46" s="2990" t="s">
        <v>2814</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2814</v>
      </c>
      <c r="Y47" s="2990" t="s">
        <v>2814</v>
      </c>
      <c r="Z47" s="2990" t="s">
        <v>2814</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2814</v>
      </c>
      <c r="Y48" s="2990" t="s">
        <v>2814</v>
      </c>
      <c r="Z48" s="2990" t="s">
        <v>2814</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2814</v>
      </c>
      <c r="Y49" s="2990" t="s">
        <v>2814</v>
      </c>
      <c r="Z49" s="2990" t="s">
        <v>2814</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2814</v>
      </c>
      <c r="Y50" s="2990" t="s">
        <v>2814</v>
      </c>
      <c r="Z50" s="2990" t="s">
        <v>2814</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2814</v>
      </c>
      <c r="V51" s="2990" t="s">
        <v>2814</v>
      </c>
      <c r="W51" s="2990" t="s">
        <v>2814</v>
      </c>
      <c r="X51" s="2990" t="s">
        <v>2814</v>
      </c>
      <c r="Y51" s="2990" t="s">
        <v>2814</v>
      </c>
      <c r="Z51" s="2990" t="s">
        <v>2814</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2814</v>
      </c>
      <c r="J55" s="2990" t="s">
        <v>2814</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2038</v>
      </c>
      <c r="B1" s="3222"/>
      <c r="C1" s="3222"/>
      <c r="D1" s="3222"/>
      <c r="E1" s="3222"/>
      <c r="F1" s="3222"/>
      <c r="G1" s="3222"/>
      <c r="H1" s="3222"/>
      <c r="I1" s="3222"/>
      <c r="J1" s="3222"/>
      <c r="K1" s="3222"/>
      <c r="L1" s="3222"/>
      <c r="M1" s="3222"/>
      <c r="N1" s="3222"/>
      <c r="O1" s="3222"/>
      <c r="P1" s="3222"/>
      <c r="Q1" s="3222"/>
      <c r="R1" s="3222"/>
    </row>
    <row r="2" spans="1:18">
      <c r="A2" s="1807" t="s">
        <v>2040</v>
      </c>
      <c r="B2" s="1807"/>
      <c r="C2" s="1807"/>
      <c r="D2" s="1807"/>
      <c r="E2" s="1807"/>
      <c r="F2" s="1807"/>
      <c r="G2" s="1807"/>
      <c r="H2" s="1807"/>
      <c r="I2" s="1808"/>
      <c r="J2" s="1808"/>
      <c r="K2" s="1809" t="str">
        <f>"估价期日："&amp;TEXT(项目基本情况!D3,"yyyy年m月d日;;")</f>
        <v>估价期日：2018年12月11日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23" t="s">
        <v>2029</v>
      </c>
      <c r="B3" s="3223" t="s">
        <v>2727</v>
      </c>
      <c r="C3" s="3224" t="s">
        <v>2030</v>
      </c>
      <c r="D3" s="3223" t="s">
        <v>2731</v>
      </c>
      <c r="E3" s="3226" t="s">
        <v>2031</v>
      </c>
      <c r="F3" s="3226"/>
      <c r="G3" s="3226"/>
      <c r="H3" s="3226" t="s">
        <v>2032</v>
      </c>
      <c r="I3" s="3226"/>
      <c r="J3" s="3226"/>
      <c r="K3" s="3224" t="s">
        <v>2033</v>
      </c>
      <c r="L3" s="3224" t="s">
        <v>2034</v>
      </c>
      <c r="M3" s="3223" t="s">
        <v>2728</v>
      </c>
      <c r="N3" s="3225" t="str">
        <f>"（分摊）"&amp;项目基本情况!B16&amp;"国有建设用地使用权面积/㎡"</f>
        <v>（分摊）出让国有建设用地使用权面积/㎡</v>
      </c>
      <c r="O3" s="3223" t="s">
        <v>2063</v>
      </c>
      <c r="P3" s="3224" t="s">
        <v>2043</v>
      </c>
      <c r="Q3" s="3224" t="s">
        <v>2064</v>
      </c>
      <c r="R3" s="3224" t="s">
        <v>2035</v>
      </c>
    </row>
    <row r="4" spans="1:18" ht="36.75" customHeight="1">
      <c r="A4" s="3223"/>
      <c r="B4" s="3223"/>
      <c r="C4" s="3224"/>
      <c r="D4" s="3223"/>
      <c r="E4" s="2649" t="s">
        <v>2042</v>
      </c>
      <c r="F4" s="2649" t="s">
        <v>2740</v>
      </c>
      <c r="G4" s="2649" t="s">
        <v>2036</v>
      </c>
      <c r="H4" s="2649" t="s">
        <v>2037</v>
      </c>
      <c r="I4" s="2649" t="s">
        <v>2741</v>
      </c>
      <c r="J4" s="2649" t="s">
        <v>2036</v>
      </c>
      <c r="K4" s="3224"/>
      <c r="L4" s="3224"/>
      <c r="M4" s="3223"/>
      <c r="N4" s="3225"/>
      <c r="O4" s="3223"/>
      <c r="P4" s="3224"/>
      <c r="Q4" s="3224"/>
      <c r="R4" s="3224"/>
    </row>
    <row r="5" spans="1:18" ht="135" customHeight="1">
      <c r="A5" s="1943" t="s">
        <v>2651</v>
      </c>
      <c r="B5" s="2867" t="s">
        <v>2649</v>
      </c>
      <c r="C5" s="2648">
        <v>22</v>
      </c>
      <c r="D5" s="2647" t="s">
        <v>2650</v>
      </c>
      <c r="E5" s="1810" t="str">
        <f>项目基本情况!B12</f>
        <v>城镇住宅、商务金融用地</v>
      </c>
      <c r="F5" s="2647">
        <v>258</v>
      </c>
      <c r="G5" s="1810" t="str">
        <f>项目基本情况!B13</f>
        <v>住宅、商业用地</v>
      </c>
      <c r="H5" s="2647">
        <v>1.5</v>
      </c>
      <c r="I5" s="2647">
        <v>1.5</v>
      </c>
      <c r="J5" s="2647">
        <v>1.5</v>
      </c>
      <c r="K5" s="1810" t="str">
        <f>"红线外"&amp;项目基本情况!T40&amp;"、宗地红线内"&amp;项目基本情况!B35</f>
        <v>红线外六通、宗地红线内场地平整</v>
      </c>
      <c r="L5" s="1810" t="str">
        <f>"红线外"&amp;项目基本情况!T40&amp;"、宗地红线内场地"&amp;项目基本情况!D36</f>
        <v>红线外六通、宗地红线内场地平整</v>
      </c>
      <c r="M5" s="1810" t="str">
        <f>IF(项目基本情况!B16="出让",项目基本情况!D20,"——")</f>
        <v>住宅61.9年、商业31.9年</v>
      </c>
      <c r="N5" s="1810">
        <f>项目基本情况!C22</f>
        <v>117823.1</v>
      </c>
      <c r="O5" s="1810">
        <f>项目基本情况!C21</f>
        <v>412380.85000000003</v>
      </c>
      <c r="P5" s="1810">
        <f ca="1">结果表!E42</f>
        <v>6040</v>
      </c>
      <c r="Q5" s="1810">
        <f ca="1">结果表!D42</f>
        <v>1726</v>
      </c>
      <c r="R5" s="1811">
        <f ca="1">结果表!C42</f>
        <v>71166</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812">
        <f ca="1">结果表!O39</f>
        <v>71166</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812" t="str">
        <f>结果表!O40</f>
        <v>——</v>
      </c>
    </row>
    <row r="8" spans="1:18">
      <c r="A8" s="3227" t="str">
        <f>IF(项目基本情况!B9="市场价格","——",项目基本情况!E9)</f>
        <v>——</v>
      </c>
      <c r="B8" s="3228"/>
      <c r="C8" s="3228"/>
      <c r="D8" s="3228"/>
      <c r="E8" s="3228"/>
      <c r="F8" s="3228"/>
      <c r="G8" s="3228"/>
      <c r="H8" s="3228"/>
      <c r="I8" s="3228"/>
      <c r="J8" s="3228"/>
      <c r="K8" s="3228"/>
      <c r="L8" s="3228"/>
      <c r="M8" s="3228"/>
      <c r="N8" s="3228"/>
      <c r="O8" s="3228"/>
      <c r="P8" s="3228"/>
      <c r="Q8" s="3229"/>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31" t="s">
        <v>2065</v>
      </c>
      <c r="B1" s="3231"/>
      <c r="C1" s="3231"/>
      <c r="D1" s="3231"/>
    </row>
    <row r="2" spans="1:4" ht="47.25" customHeight="1">
      <c r="A2" s="3232" t="str">
        <f>"1.权利限制："&amp;项目基本情况!L24&amp;"未设定租赁等其他他项权利。"</f>
        <v>1.权利限制：根据估价对象《不动产权证书》原件，截至估价期日，估价对象抵押权未见登记。未设定租赁等其他他项权利。</v>
      </c>
      <c r="B2" s="3232"/>
      <c r="C2" s="3232"/>
      <c r="D2" s="3232"/>
    </row>
    <row r="3" spans="1:4" ht="48" customHeight="1">
      <c r="A3" s="3231"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31"/>
      <c r="C3" s="3231"/>
      <c r="D3" s="3231"/>
    </row>
    <row r="4" spans="1:4" ht="36.75" customHeight="1">
      <c r="A4" s="3231" t="str">
        <f>"3.估价规划限制条件：详见"&amp;项目基本情况!E21&amp;"。"</f>
        <v>3.估价规划限制条件：详见《国有建设用地使用权出让合同》及附件[编号：3211232010CR012]、《土地情况说明》。</v>
      </c>
      <c r="B4" s="3231"/>
      <c r="C4" s="3231"/>
      <c r="D4" s="3231"/>
    </row>
    <row r="5" spans="1:4">
      <c r="A5" s="3230" t="s">
        <v>2066</v>
      </c>
      <c r="B5" s="3230"/>
      <c r="C5" s="3230"/>
      <c r="D5" s="3230"/>
    </row>
    <row r="6" spans="1:4">
      <c r="A6" s="3231" t="s">
        <v>2044</v>
      </c>
      <c r="B6" s="3231"/>
      <c r="C6" s="3231"/>
      <c r="D6" s="3231"/>
    </row>
    <row r="7" spans="1:4" ht="33" customHeight="1">
      <c r="A7" s="3231" t="s">
        <v>2572</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（1）根据估价对象《不动产权证书》原件，截至估价期日，估价对象抵押权未见登记。</v>
      </c>
      <c r="B11" s="3233"/>
      <c r="C11" s="3233"/>
      <c r="D11" s="3233"/>
    </row>
    <row r="12" spans="1:4" ht="168" customHeight="1">
      <c r="A12" s="3230" t="s">
        <v>2068</v>
      </c>
      <c r="B12" s="3230"/>
      <c r="C12" s="3230"/>
      <c r="D12" s="3230"/>
    </row>
    <row r="13" spans="1:4">
      <c r="A13" s="3234" t="s">
        <v>2742</v>
      </c>
      <c r="B13" s="3234"/>
      <c r="C13" s="3234"/>
      <c r="D13" s="3234"/>
    </row>
    <row r="14" spans="1:4">
      <c r="A14" s="3233" t="str">
        <f>IF(项目基本情况!B8="抵押","综上，"&amp;结果表!K47,"——")</f>
        <v>综上，本次评估不存在估价师知悉的法定优先受偿款</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2698</v>
      </c>
      <c r="B17" s="3231"/>
      <c r="C17" s="3231"/>
      <c r="D17" s="3231"/>
    </row>
    <row r="18" spans="1:4">
      <c r="A18" s="3231" t="s">
        <v>2690</v>
      </c>
      <c r="B18" s="3231"/>
      <c r="C18" s="3231"/>
      <c r="D18" s="3231"/>
    </row>
    <row r="19" spans="1:4">
      <c r="A19" s="2868" t="s">
        <v>2691</v>
      </c>
      <c r="B19" s="2868" t="s">
        <v>2692</v>
      </c>
      <c r="C19" s="2868" t="s">
        <v>2693</v>
      </c>
      <c r="D19" s="2868" t="s">
        <v>2694</v>
      </c>
    </row>
    <row r="20" spans="1:4">
      <c r="A20" s="2868" t="str">
        <f>项目基本情况!B4</f>
        <v>王鹏</v>
      </c>
      <c r="B20" s="2868">
        <f ca="1">项目基本情况!C4</f>
        <v>2002110030</v>
      </c>
      <c r="C20" s="2870"/>
      <c r="D20" s="1800" t="s">
        <v>2699</v>
      </c>
    </row>
    <row r="21" spans="1:4">
      <c r="A21" s="2868" t="str">
        <f>项目基本情况!D4</f>
        <v>郑燚</v>
      </c>
      <c r="B21" s="2868">
        <f>项目基本情况!E4</f>
        <v>2014110011</v>
      </c>
      <c r="C21" s="2870"/>
      <c r="D21" s="1800" t="s">
        <v>2700</v>
      </c>
    </row>
    <row r="23" spans="1:4">
      <c r="A23" s="3231" t="s">
        <v>2695</v>
      </c>
      <c r="B23" s="3231"/>
      <c r="C23" s="3231"/>
      <c r="D23" s="3231"/>
    </row>
    <row r="24" spans="1:4">
      <c r="A24" s="2868" t="s">
        <v>2691</v>
      </c>
      <c r="B24" s="2868" t="s">
        <v>2696</v>
      </c>
      <c r="C24" s="2868" t="s">
        <v>2693</v>
      </c>
      <c r="D24" s="2868" t="s">
        <v>2694</v>
      </c>
    </row>
    <row r="25" spans="1:4">
      <c r="A25" s="2871" t="s">
        <v>2697</v>
      </c>
      <c r="B25" s="2868" t="s">
        <v>951</v>
      </c>
      <c r="C25" s="2870"/>
      <c r="D25" s="1800" t="s">
        <v>2700</v>
      </c>
    </row>
    <row r="29" spans="1:4">
      <c r="D29" s="2869" t="s">
        <v>2039</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9" sqref="A9:G28"/>
      <selection pane="bottomLeft" activeCell="C9" sqref="A9:G2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42" t="s">
        <v>53</v>
      </c>
      <c r="B15" s="3243" t="s">
        <v>845</v>
      </c>
      <c r="C15" s="3239"/>
    </row>
    <row r="16" spans="1:7" ht="14.25">
      <c r="A16" s="3242"/>
      <c r="B16" s="3240" t="s">
        <v>54</v>
      </c>
      <c r="C16" s="1170" t="s">
        <v>53</v>
      </c>
    </row>
    <row r="17" spans="1:3" ht="14.25">
      <c r="A17" s="3242"/>
      <c r="B17" s="3240"/>
      <c r="C17" s="1170" t="s">
        <v>55</v>
      </c>
    </row>
    <row r="18" spans="1:3" ht="14.25">
      <c r="A18" s="3242"/>
      <c r="B18" s="3240"/>
      <c r="C18" s="1170" t="s">
        <v>56</v>
      </c>
    </row>
    <row r="19" spans="1:3" ht="14.25">
      <c r="A19" s="3242"/>
      <c r="B19" s="3238" t="s">
        <v>57</v>
      </c>
      <c r="C19" s="3239"/>
    </row>
    <row r="20" spans="1:3" ht="14.25">
      <c r="A20" s="1171" t="s">
        <v>58</v>
      </c>
      <c r="B20" s="1172"/>
      <c r="C20" s="1173"/>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4" t="s">
        <v>836</v>
      </c>
    </row>
    <row r="25" spans="1:3" ht="14.25">
      <c r="A25" s="3241"/>
      <c r="B25" s="3245"/>
      <c r="C25" s="1174" t="s">
        <v>837</v>
      </c>
    </row>
    <row r="26" spans="1:3" ht="14.25">
      <c r="A26" s="3241"/>
      <c r="B26" s="3245"/>
      <c r="C26" s="1174" t="s">
        <v>838</v>
      </c>
    </row>
    <row r="27" spans="1:3" ht="14.25">
      <c r="A27" s="3241"/>
      <c r="B27" s="3245"/>
      <c r="C27" s="1174" t="s">
        <v>839</v>
      </c>
    </row>
    <row r="28" spans="1:3" ht="14.25">
      <c r="A28" s="3241"/>
      <c r="B28" s="3245"/>
      <c r="C28" s="1174" t="s">
        <v>840</v>
      </c>
    </row>
    <row r="29" spans="1:3" ht="14.25">
      <c r="A29" s="3241"/>
      <c r="B29" s="3245"/>
      <c r="C29" s="1174" t="s">
        <v>841</v>
      </c>
    </row>
    <row r="30" spans="1:3" ht="14.25">
      <c r="A30" s="3241"/>
      <c r="B30" s="3245"/>
      <c r="C30" s="1174" t="s">
        <v>842</v>
      </c>
    </row>
    <row r="31" spans="1:3" ht="14.25">
      <c r="A31" s="3241"/>
      <c r="B31" s="3245"/>
      <c r="C31" s="1174" t="s">
        <v>843</v>
      </c>
    </row>
    <row r="32" spans="1:3" ht="14.25">
      <c r="A32" s="3241"/>
      <c r="B32" s="3245"/>
      <c r="C32" s="1174" t="s">
        <v>1646</v>
      </c>
    </row>
    <row r="33" spans="1:3" ht="14.25">
      <c r="A33" s="3241"/>
      <c r="B33" s="3235" t="s">
        <v>1652</v>
      </c>
      <c r="C33" s="1174" t="s">
        <v>1647</v>
      </c>
    </row>
    <row r="34" spans="1:3" ht="14.25">
      <c r="A34" s="3241"/>
      <c r="B34" s="3236"/>
      <c r="C34" s="1179" t="s">
        <v>1648</v>
      </c>
    </row>
    <row r="35" spans="1:3" ht="14.25">
      <c r="A35" s="3241"/>
      <c r="B35" s="3236"/>
      <c r="C35" s="1180" t="s">
        <v>1649</v>
      </c>
    </row>
    <row r="36" spans="1:3" ht="14.25">
      <c r="A36" s="3241"/>
      <c r="B36" s="3236"/>
      <c r="C36" s="1180" t="s">
        <v>1650</v>
      </c>
    </row>
    <row r="37" spans="1:3" ht="14.25">
      <c r="A37" s="3241"/>
      <c r="B37" s="3237"/>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A9:G2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43453</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f ca="1">IF(C10&lt;B2,"已过期",1120060040)</f>
        <v>1120060040</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2966</v>
      </c>
      <c r="B12" s="2343">
        <v>1120110054</v>
      </c>
      <c r="C12" s="3006">
        <v>43937</v>
      </c>
      <c r="D12" s="2343" t="s">
        <v>2966</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2571</v>
      </c>
      <c r="B15" s="2343">
        <v>1120070085</v>
      </c>
      <c r="C15" s="3006">
        <v>43814</v>
      </c>
      <c r="D15" s="2343" t="s">
        <v>2571</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2053</v>
      </c>
      <c r="B24" s="2345" t="s">
        <v>2053</v>
      </c>
      <c r="C24" s="3006"/>
      <c r="D24" s="3008" t="s">
        <v>2053</v>
      </c>
      <c r="E24" s="2345" t="s">
        <v>2053</v>
      </c>
      <c r="F24" s="2346"/>
    </row>
    <row r="25" spans="1:7" ht="20.25" customHeight="1">
      <c r="A25" s="3246" t="s">
        <v>1928</v>
      </c>
      <c r="B25" s="3246"/>
      <c r="C25" s="3246"/>
      <c r="D25" s="3246"/>
      <c r="E25" s="3246"/>
      <c r="F25" s="3246"/>
      <c r="G25" s="3246"/>
    </row>
    <row r="26" spans="1:7" ht="20.25" customHeight="1">
      <c r="A26" s="3247" t="s">
        <v>1929</v>
      </c>
      <c r="B26" s="3247"/>
      <c r="C26" s="3247"/>
      <c r="D26" s="3247" t="s">
        <v>1930</v>
      </c>
      <c r="E26" s="3247"/>
      <c r="F26" s="3247"/>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2932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M71" sqref="M71"/>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2542</v>
      </c>
      <c r="R1" s="2582" t="s">
        <v>2536</v>
      </c>
      <c r="S1" s="6" t="s">
        <v>146</v>
      </c>
      <c r="T1" s="7" t="s">
        <v>147</v>
      </c>
      <c r="U1" s="6" t="s">
        <v>148</v>
      </c>
      <c r="V1" s="6" t="s">
        <v>149</v>
      </c>
      <c r="W1" s="1002"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2537</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2538</v>
      </c>
      <c r="S3" s="9" t="s">
        <v>84</v>
      </c>
      <c r="T3" s="9" t="s">
        <v>85</v>
      </c>
      <c r="U3" s="9" t="s">
        <v>84</v>
      </c>
      <c r="V3" s="9" t="s">
        <v>86</v>
      </c>
      <c r="W3" s="9" t="s">
        <v>875</v>
      </c>
    </row>
    <row r="4" spans="1:23">
      <c r="A4" s="8" t="s">
        <v>87</v>
      </c>
      <c r="B4" s="8" t="s">
        <v>152</v>
      </c>
      <c r="C4" s="1550" t="s">
        <v>1711</v>
      </c>
      <c r="D4" s="9" t="s">
        <v>1995</v>
      </c>
      <c r="E4" s="9" t="s">
        <v>88</v>
      </c>
      <c r="F4" s="9" t="s">
        <v>89</v>
      </c>
      <c r="G4" s="9">
        <v>70</v>
      </c>
      <c r="H4" s="9" t="s">
        <v>90</v>
      </c>
      <c r="I4" s="9" t="s">
        <v>91</v>
      </c>
      <c r="K4" s="9" t="s">
        <v>92</v>
      </c>
      <c r="L4" s="9" t="s">
        <v>92</v>
      </c>
      <c r="M4" s="9" t="s">
        <v>92</v>
      </c>
      <c r="N4" s="9" t="s">
        <v>92</v>
      </c>
      <c r="O4" s="9" t="s">
        <v>92</v>
      </c>
      <c r="P4" s="1004" t="s">
        <v>759</v>
      </c>
      <c r="Q4" s="9" t="s">
        <v>92</v>
      </c>
      <c r="R4" s="1004" t="s">
        <v>2539</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4" t="s">
        <v>545</v>
      </c>
      <c r="Q5" s="9" t="s">
        <v>97</v>
      </c>
      <c r="R5" s="1004" t="s">
        <v>2540</v>
      </c>
      <c r="S5" s="9" t="s">
        <v>97</v>
      </c>
      <c r="T5" s="9" t="s">
        <v>98</v>
      </c>
      <c r="U5" s="9" t="s">
        <v>97</v>
      </c>
      <c r="W5" s="9" t="s">
        <v>877</v>
      </c>
    </row>
    <row r="6" spans="1:23">
      <c r="A6" s="8" t="s">
        <v>99</v>
      </c>
      <c r="B6" s="1147" t="s">
        <v>1640</v>
      </c>
      <c r="C6" s="1552" t="s">
        <v>1713</v>
      </c>
      <c r="F6" s="9" t="s">
        <v>71</v>
      </c>
      <c r="H6" s="9" t="s">
        <v>72</v>
      </c>
      <c r="I6" s="9" t="s">
        <v>100</v>
      </c>
      <c r="K6" s="9" t="s">
        <v>101</v>
      </c>
      <c r="L6" s="9" t="s">
        <v>101</v>
      </c>
      <c r="M6" s="9" t="s">
        <v>101</v>
      </c>
      <c r="N6" s="9" t="s">
        <v>101</v>
      </c>
      <c r="O6" s="9" t="s">
        <v>101</v>
      </c>
      <c r="P6" s="1004" t="s">
        <v>880</v>
      </c>
      <c r="Q6" s="9" t="s">
        <v>101</v>
      </c>
      <c r="R6" s="1004" t="s">
        <v>2541</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13" t="s">
        <v>2944</v>
      </c>
      <c r="C18" s="1553"/>
    </row>
    <row r="19" spans="1:3">
      <c r="A19" s="8" t="s">
        <v>120</v>
      </c>
      <c r="B19" s="3113" t="s">
        <v>2952</v>
      </c>
      <c r="C19" s="1553"/>
    </row>
    <row r="20" spans="1:3">
      <c r="A20" s="8" t="s">
        <v>121</v>
      </c>
      <c r="B20" s="8" t="s">
        <v>1641</v>
      </c>
      <c r="C20" s="1553"/>
    </row>
    <row r="21" spans="1:3">
      <c r="A21" s="8" t="s">
        <v>122</v>
      </c>
      <c r="B21" s="3113" t="s">
        <v>4151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苏瀚瑞投资控股有限公司拟使用江苏省镇江市镇江新区丁岗三三八省道北321102092092GB01229W00000000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48"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11日，在规划利用条件下、设定土地开发程度为红线外“六通”、宗地内场地平整，设定用途为住宅、商业用地，剩余土地使用年限为住宅61.9年、商业31.9年的出让国有建设用地使用权价格。</v>
      </c>
      <c r="D53" s="1767"/>
      <c r="E53" s="1767"/>
    </row>
    <row r="54" spans="1:5">
      <c r="A54" s="3248"/>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48"/>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48"/>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48"/>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140</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比较法-住宅、综合1</vt:lpstr>
      <vt:lpstr>比较法-住宅、综合</vt:lpstr>
      <vt:lpstr>土地案例（住宅）</vt:lpstr>
      <vt:lpstr>土地案例（商业）</vt:lpstr>
      <vt:lpstr>选取土地案例</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'比较法-住宅、综合'!套工交易情况</vt:lpstr>
      <vt:lpstr>套工交易情况</vt:lpstr>
      <vt:lpstr>套工开发程度</vt:lpstr>
      <vt:lpstr>套工临街等级</vt:lpstr>
      <vt:lpstr>套工土地级别</vt:lpstr>
      <vt:lpstr>套工用途</vt:lpstr>
      <vt:lpstr>套工宗地形状</vt:lpstr>
      <vt:lpstr>'比较法-住宅、综合'!套综道路等级</vt:lpstr>
      <vt:lpstr>套综道路等级</vt:lpstr>
      <vt:lpstr>'比较法-住宅、综合'!套综工程地质条件</vt:lpstr>
      <vt:lpstr>套综工程地质条件</vt:lpstr>
      <vt:lpstr>'比较法-住宅、综合'!套综交易情况</vt:lpstr>
      <vt:lpstr>套综交易情况</vt:lpstr>
      <vt:lpstr>'比较法-住宅、综合'!套综临街宽度及深度</vt:lpstr>
      <vt:lpstr>套综临街宽度及深度</vt:lpstr>
      <vt:lpstr>'比较法-住宅、综合'!套综土地级别</vt:lpstr>
      <vt:lpstr>套综土地级别</vt:lpstr>
      <vt:lpstr>'比较法-住宅、综合'!套综用途</vt:lpstr>
      <vt:lpstr>套综用途</vt:lpstr>
      <vt:lpstr>'比较法-住宅、综合'!套综宗地内开发程度</vt:lpstr>
      <vt:lpstr>套综宗地内开发程度</vt:lpstr>
      <vt:lpstr>'比较法-住宅、综合'!套综宗地形状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2018-12-19T08:23:28Z</dcterms:modified>
</cp:coreProperties>
</file>