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基准地价修正" sheetId="43" r:id="rId21"/>
    <sheet name="假设开发法" sheetId="12" state="hidden" r:id="rId22"/>
    <sheet name="收益法" sheetId="15" state="hidden" r:id="rId23"/>
    <sheet name="比较法-仓储" sheetId="36"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中指仓储" sheetId="83" r:id="rId37"/>
    <sheet name="修正" sheetId="45"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 name="111" sheetId="80" r:id="rId47"/>
    <sheet name="Sheet2" sheetId="81" r:id="rId48"/>
  </sheets>
  <externalReferences>
    <externalReference r:id="rId49"/>
  </externalReferences>
  <definedNames>
    <definedName name="_xlnm._FilterDatabase" localSheetId="29" hidden="1">'比较法-办公'!$A$1:$L$50</definedName>
    <definedName name="_xlnm._FilterDatabase" localSheetId="23"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23">'比较法-仓储'!$A$1:$K$42,'比较法-仓储'!$A$45:$M$96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10" i="36" l="1"/>
  <c r="G10" i="36"/>
  <c r="E10" i="36"/>
  <c r="C10" i="36"/>
  <c r="E54" i="36"/>
  <c r="D54" i="36"/>
  <c r="C30" i="36"/>
  <c r="K19" i="1"/>
  <c r="B14" i="74" l="1"/>
  <c r="J49" i="67"/>
  <c r="G44" i="43"/>
  <c r="D41" i="43"/>
  <c r="J49" i="15"/>
  <c r="Q18" i="1"/>
  <c r="N6" i="1"/>
  <c r="C27" i="36" s="1"/>
  <c r="G19" i="6"/>
  <c r="D3" i="4"/>
  <c r="Y6" i="1" l="1"/>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8" i="79"/>
  <c r="AR36" i="79"/>
  <c r="C60" i="78"/>
  <c r="D60" i="78" s="1"/>
  <c r="D53" i="78"/>
  <c r="D52" i="78"/>
  <c r="D51" i="78" s="1"/>
  <c r="B51" i="78"/>
  <c r="B56" i="78" s="1"/>
  <c r="B55" i="78" l="1"/>
  <c r="D55" i="78" s="1"/>
  <c r="C51" i="78"/>
  <c r="C56" i="78" s="1"/>
  <c r="C58" i="78" s="1"/>
  <c r="B62" i="78"/>
  <c r="B54" i="78"/>
  <c r="D54" i="78" s="1"/>
  <c r="D56" i="78" l="1"/>
  <c r="D58" i="78"/>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101" i="43"/>
  <c r="D100"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5" i="79" l="1"/>
  <c r="T33" i="79"/>
  <c r="T34" i="79"/>
  <c r="S20" i="79"/>
  <c r="AG20" i="79" s="1"/>
  <c r="W22" i="79"/>
  <c r="AK22" i="79" s="1"/>
  <c r="AH22" i="79"/>
  <c r="AD38" i="79"/>
  <c r="AD37" i="79"/>
  <c r="AD36" i="79"/>
  <c r="AD35" i="79"/>
  <c r="AR40" i="79"/>
  <c r="AR41" i="79" s="1"/>
  <c r="AR42" i="79" s="1"/>
  <c r="AR43" i="79" s="1"/>
  <c r="AR44" i="79" s="1"/>
  <c r="AR45" i="79" s="1"/>
  <c r="AR46" i="79" s="1"/>
  <c r="AR47" i="79" s="1"/>
  <c r="AR48" i="79" s="1"/>
  <c r="AR49" i="79" s="1"/>
  <c r="AR50" i="79" s="1"/>
  <c r="AR51" i="79" s="1"/>
  <c r="AR52" i="79" s="1"/>
  <c r="Z3" i="79"/>
  <c r="S33" i="79"/>
  <c r="AG33" i="79" s="1"/>
  <c r="S35" i="79"/>
  <c r="AG35" i="79" s="1"/>
  <c r="S34" i="79"/>
  <c r="AG34" i="79" s="1"/>
  <c r="AA31" i="79"/>
  <c r="AD31" i="79" s="1"/>
  <c r="T40" i="79"/>
  <c r="U46" i="79"/>
  <c r="AI46" i="79" s="1"/>
  <c r="AD47" i="79"/>
  <c r="S48" i="79"/>
  <c r="AG48" i="79" s="1"/>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F93" i="43" l="1"/>
  <c r="H94" i="43" s="1"/>
  <c r="G94" i="43" s="1"/>
  <c r="W11" i="79"/>
  <c r="AK11" i="79" s="1"/>
  <c r="AH11" i="79"/>
  <c r="W17" i="79"/>
  <c r="AK17" i="79" s="1"/>
  <c r="AH17" i="79"/>
  <c r="W10" i="79"/>
  <c r="AK10" i="79" s="1"/>
  <c r="AH10" i="79"/>
  <c r="W18" i="79"/>
  <c r="AK18" i="79" s="1"/>
  <c r="AH18" i="79"/>
  <c r="W20" i="79"/>
  <c r="AK20" i="79" s="1"/>
  <c r="AH2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40" i="79"/>
  <c r="AK40" i="79" s="1"/>
  <c r="AH4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G23" i="78"/>
  <c r="G24" i="78"/>
  <c r="G25" i="78"/>
  <c r="B15" i="78"/>
  <c r="B18" i="78"/>
  <c r="G20" i="73"/>
  <c r="F20" i="73"/>
  <c r="E20" i="73"/>
  <c r="K94" i="43" l="1"/>
  <c r="M94" i="43"/>
  <c r="N94" i="43" s="1"/>
  <c r="H101" i="43"/>
  <c r="G101" i="43" s="1"/>
  <c r="H93" i="43"/>
  <c r="G93" i="43" s="1"/>
  <c r="H97" i="43"/>
  <c r="G97" i="43" s="1"/>
  <c r="H100" i="43"/>
  <c r="G100" i="43" s="1"/>
  <c r="H95" i="43"/>
  <c r="G95" i="43" s="1"/>
  <c r="H96" i="43"/>
  <c r="G96" i="43" s="1"/>
  <c r="H98" i="43"/>
  <c r="G98" i="43" s="1"/>
  <c r="H99" i="43"/>
  <c r="G99" i="43" s="1"/>
  <c r="G21" i="73"/>
  <c r="F21" i="73"/>
  <c r="E21" i="73"/>
  <c r="K96" i="43" l="1"/>
  <c r="M96" i="43"/>
  <c r="N96" i="43" s="1"/>
  <c r="M93" i="43"/>
  <c r="N93" i="43" s="1"/>
  <c r="K93" i="43"/>
  <c r="M95" i="43"/>
  <c r="N95" i="43" s="1"/>
  <c r="K95" i="43"/>
  <c r="M101" i="43"/>
  <c r="N101" i="43" s="1"/>
  <c r="K101" i="43"/>
  <c r="J101" i="43" s="1"/>
  <c r="M99" i="43"/>
  <c r="N99" i="43" s="1"/>
  <c r="K99" i="43"/>
  <c r="K100" i="43"/>
  <c r="J100" i="43" s="1"/>
  <c r="M100" i="43"/>
  <c r="N100" i="43" s="1"/>
  <c r="K98" i="43"/>
  <c r="M98" i="43"/>
  <c r="N98" i="43" s="1"/>
  <c r="M97" i="43"/>
  <c r="N97" i="43" s="1"/>
  <c r="K97" i="43"/>
  <c r="J97" i="43" s="1"/>
  <c r="J94" i="43"/>
  <c r="D94" i="43"/>
  <c r="G22" i="73"/>
  <c r="F22" i="73"/>
  <c r="E22" i="73"/>
  <c r="J93" i="43" l="1"/>
  <c r="D93" i="43"/>
  <c r="J99" i="43"/>
  <c r="D99" i="43"/>
  <c r="J95" i="43"/>
  <c r="D95" i="43"/>
  <c r="J98" i="43"/>
  <c r="D98" i="43"/>
  <c r="J96" i="43"/>
  <c r="D96" i="43"/>
  <c r="G13" i="73"/>
  <c r="F13" i="73"/>
  <c r="E93" i="43" l="1"/>
  <c r="B91" i="43" s="1"/>
  <c r="AH8" i="7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s="1"/>
  <c r="E23" i="77"/>
  <c r="D26" i="77"/>
  <c r="C29" i="77"/>
  <c r="R35" i="77"/>
  <c r="U34" i="77" s="1"/>
  <c r="AH9" i="71"/>
  <c r="AG9" i="71"/>
  <c r="AE9" i="71"/>
  <c r="AF9" i="71" s="1"/>
  <c r="AD9" i="71"/>
  <c r="Q9" i="71"/>
  <c r="P9" i="71"/>
  <c r="O9" i="71"/>
  <c r="N9" i="71"/>
  <c r="C32" i="77" l="1"/>
  <c r="C38" i="77" s="1"/>
  <c r="C39" i="77" s="1"/>
  <c r="R25" i="77"/>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N53" i="71"/>
  <c r="B54" i="71" s="1"/>
  <c r="B55" i="71" s="1"/>
  <c r="B56" i="71"/>
  <c r="S56" i="71" s="1"/>
  <c r="D53" i="71"/>
  <c r="Q52" i="71"/>
  <c r="P52" i="71"/>
  <c r="O52" i="71"/>
  <c r="N52" i="71"/>
  <c r="Q51" i="71"/>
  <c r="P51" i="71"/>
  <c r="O51" i="71"/>
  <c r="N51" i="71"/>
  <c r="Q50" i="71"/>
  <c r="P50" i="71"/>
  <c r="O50" i="71"/>
  <c r="C51" i="71" s="1"/>
  <c r="C52" i="71" s="1"/>
  <c r="T52"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AA37" i="71" s="1"/>
  <c r="O37" i="71"/>
  <c r="N37" i="71"/>
  <c r="B38" i="71" s="1"/>
  <c r="D37" i="71"/>
  <c r="Q36" i="71"/>
  <c r="AB36" i="71" s="1"/>
  <c r="P36" i="71"/>
  <c r="AA35" i="71" s="1"/>
  <c r="O36" i="71"/>
  <c r="N36" i="71"/>
  <c r="Q35" i="71"/>
  <c r="AB35" i="71"/>
  <c r="P35" i="7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B30" i="71"/>
  <c r="B31" i="71"/>
  <c r="B32" i="71" s="1"/>
  <c r="S32" i="71" s="1"/>
  <c r="E30" i="71"/>
  <c r="E31" i="71" s="1"/>
  <c r="E32" i="71" s="1"/>
  <c r="U32" i="71" s="1"/>
  <c r="B39" i="71"/>
  <c r="B40" i="71" s="1"/>
  <c r="S40" i="71" s="1"/>
  <c r="N68" i="71"/>
  <c r="E34" i="71"/>
  <c r="C30" i="71"/>
  <c r="X31" i="71"/>
  <c r="C34" i="71"/>
  <c r="D34" i="71" s="1"/>
  <c r="X34" i="71"/>
  <c r="C38" i="71"/>
  <c r="F51" i="71"/>
  <c r="F52" i="71" s="1"/>
  <c r="V52" i="71" s="1"/>
  <c r="B28" i="71"/>
  <c r="B27" i="71" s="1"/>
  <c r="B26" i="71"/>
  <c r="D30" i="71"/>
  <c r="D50" i="71"/>
  <c r="P28" i="71"/>
  <c r="U68" i="71"/>
  <c r="E67" i="71"/>
  <c r="Q28" i="71"/>
  <c r="C59" i="71"/>
  <c r="D58" i="71"/>
  <c r="C63" i="71"/>
  <c r="C64" i="71" s="1"/>
  <c r="D62" i="71"/>
  <c r="T68" i="71"/>
  <c r="O68" i="71"/>
  <c r="D68" i="71"/>
  <c r="C67" i="71"/>
  <c r="D67" i="71" s="1"/>
  <c r="Q68" i="71"/>
  <c r="E71" i="71"/>
  <c r="E70" i="71"/>
  <c r="D72" i="71"/>
  <c r="C75" i="71"/>
  <c r="D76" i="71"/>
  <c r="E79" i="71"/>
  <c r="E78" i="71"/>
  <c r="C87" i="71"/>
  <c r="C86" i="71" s="1"/>
  <c r="D86" i="71" s="1"/>
  <c r="F28" i="71"/>
  <c r="F27" i="71"/>
  <c r="F26" i="71"/>
  <c r="D63" i="71"/>
  <c r="D75" i="71"/>
  <c r="C74" i="71"/>
  <c r="D74" i="71" s="1"/>
  <c r="D87" i="71"/>
  <c r="C60" i="71"/>
  <c r="D59" i="71"/>
  <c r="P67" i="71"/>
  <c r="E66" i="71"/>
  <c r="P65" i="71" s="1"/>
  <c r="D51" i="71"/>
  <c r="D52" i="71"/>
  <c r="T60"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B57" i="43"/>
  <c r="B68" i="43"/>
  <c r="C29" i="39"/>
  <c r="S25" i="40"/>
  <c r="S21" i="34"/>
  <c r="H25" i="40"/>
  <c r="AB25" i="40" s="1"/>
  <c r="J25" i="40"/>
  <c r="H29" i="39"/>
  <c r="AB29" i="39" s="1"/>
  <c r="J29" i="39"/>
  <c r="J18" i="36"/>
  <c r="AC18" i="36" s="1"/>
  <c r="H18" i="35"/>
  <c r="AB18" i="35" s="1"/>
  <c r="J18" i="35"/>
  <c r="H21" i="37"/>
  <c r="F21" i="37"/>
  <c r="AA21" i="37" s="1"/>
  <c r="F84" i="34"/>
  <c r="G84" i="34" s="1"/>
  <c r="H21" i="34"/>
  <c r="AB21" i="34" s="1"/>
  <c r="H21" i="33"/>
  <c r="U21" i="33" s="1"/>
  <c r="F21" i="33"/>
  <c r="AA21" i="33" s="1"/>
  <c r="H1" i="69"/>
  <c r="AC25" i="40"/>
  <c r="W25" i="40"/>
  <c r="U25" i="40"/>
  <c r="U29" i="39"/>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J21" i="21"/>
  <c r="C40" i="69"/>
  <c r="F38" i="68"/>
  <c r="E37" i="68"/>
  <c r="F36" i="68"/>
  <c r="F35" i="68"/>
  <c r="F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U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c r="G115" i="40" s="1"/>
  <c r="H115" i="40" s="1"/>
  <c r="I115" i="40" s="1"/>
  <c r="J115" i="40"/>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Q30" i="37"/>
  <c r="Z30" i="37"/>
  <c r="J30" i="37"/>
  <c r="AC30" i="37" s="1"/>
  <c r="H30" i="37"/>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s="1"/>
  <c r="B59" i="36"/>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s="1"/>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B97" i="35"/>
  <c r="H34" i="35" s="1"/>
  <c r="AB34" i="35" s="1"/>
  <c r="B77" i="35"/>
  <c r="B75" i="35"/>
  <c r="J24" i="35" s="1"/>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Q11" i="34"/>
  <c r="Z11" i="34" s="1"/>
  <c r="Q10" i="34"/>
  <c r="Z10" i="34"/>
  <c r="F10" i="34"/>
  <c r="AA10" i="34" s="1"/>
  <c r="Q9" i="34"/>
  <c r="Z9" i="34" s="1"/>
  <c r="J9" i="34"/>
  <c r="H9" i="34"/>
  <c r="J8" i="34"/>
  <c r="AC8" i="34" s="1"/>
  <c r="H8" i="34"/>
  <c r="U8" i="34" s="1"/>
  <c r="F8" i="34"/>
  <c r="D121" i="33"/>
  <c r="E121" i="33"/>
  <c r="F109" i="33"/>
  <c r="E109" i="33"/>
  <c r="D109" i="33"/>
  <c r="C109" i="33"/>
  <c r="D91" i="33"/>
  <c r="E91" i="33"/>
  <c r="B88" i="33"/>
  <c r="F26" i="33" s="1"/>
  <c r="J26"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B79" i="43"/>
  <c r="C18" i="20"/>
  <c r="B94" i="43" s="1"/>
  <c r="C17" i="20"/>
  <c r="B61" i="43"/>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c r="B92" i="21"/>
  <c r="B90" i="21"/>
  <c r="J27" i="21" s="1"/>
  <c r="W27" i="21"/>
  <c r="B74" i="21"/>
  <c r="B72" i="21"/>
  <c r="H13" i="21" s="1"/>
  <c r="B70" i="21"/>
  <c r="F12" i="21" s="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s="1"/>
  <c r="Q28" i="21"/>
  <c r="Z28" i="21" s="1"/>
  <c r="Q29" i="21"/>
  <c r="Z29" i="21"/>
  <c r="Q30" i="21"/>
  <c r="Z30" i="21" s="1"/>
  <c r="Q31" i="21"/>
  <c r="Z31" i="21"/>
  <c r="Q32" i="21"/>
  <c r="Z32" i="21" s="1"/>
  <c r="Q33" i="21"/>
  <c r="Z33" i="21" s="1"/>
  <c r="Q34" i="21"/>
  <c r="Z34" i="21" s="1"/>
  <c r="J35" i="21"/>
  <c r="Q35" i="21"/>
  <c r="Z35" i="21" s="1"/>
  <c r="Q36" i="21"/>
  <c r="Z36" i="21"/>
  <c r="Q37" i="21"/>
  <c r="Z37" i="21" s="1"/>
  <c r="J38" i="21"/>
  <c r="W38" i="21"/>
  <c r="Q38" i="21"/>
  <c r="Z38" i="21" s="1"/>
  <c r="J39" i="21"/>
  <c r="AC39" i="21" s="1"/>
  <c r="Q39" i="21"/>
  <c r="Z39" i="21" s="1"/>
  <c r="H40" i="21"/>
  <c r="AB40" i="21" s="1"/>
  <c r="Q40" i="21"/>
  <c r="Z40" i="21" s="1"/>
  <c r="Q41" i="21"/>
  <c r="Z41" i="2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AA41" i="21"/>
  <c r="F45" i="39"/>
  <c r="S45" i="39" s="1"/>
  <c r="J44" i="39"/>
  <c r="AC44" i="39"/>
  <c r="J35" i="39"/>
  <c r="AC35" i="39" s="1"/>
  <c r="F35" i="39"/>
  <c r="AA35" i="39" s="1"/>
  <c r="U9" i="39"/>
  <c r="W40" i="39"/>
  <c r="E103" i="37"/>
  <c r="F103" i="37"/>
  <c r="G103" i="37" s="1"/>
  <c r="H103" i="37" s="1"/>
  <c r="I103" i="37" s="1"/>
  <c r="J103" i="37" s="1"/>
  <c r="K103" i="37" s="1"/>
  <c r="L103" i="37" s="1"/>
  <c r="M103" i="37" s="1"/>
  <c r="F39" i="37"/>
  <c r="S39" i="37" s="1"/>
  <c r="F29" i="36"/>
  <c r="AA29" i="36" s="1"/>
  <c r="F16" i="36"/>
  <c r="AA16" i="36" s="1"/>
  <c r="H22" i="35"/>
  <c r="AB22" i="35"/>
  <c r="W28" i="35"/>
  <c r="U31" i="35"/>
  <c r="S31" i="35"/>
  <c r="U34" i="35"/>
  <c r="F36" i="34"/>
  <c r="J35" i="34"/>
  <c r="H39" i="33"/>
  <c r="AB39" i="33" s="1"/>
  <c r="AA26" i="33"/>
  <c r="U33" i="33"/>
  <c r="U35" i="33"/>
  <c r="W33" i="33"/>
  <c r="W39" i="33"/>
  <c r="H39" i="37"/>
  <c r="AB39" i="37" s="1"/>
  <c r="S27" i="35"/>
  <c r="F11" i="40"/>
  <c r="AA11" i="40" s="1"/>
  <c r="H11" i="40"/>
  <c r="AB11" i="40"/>
  <c r="W8" i="40"/>
  <c r="AB39" i="40"/>
  <c r="U9" i="40"/>
  <c r="S34" i="40"/>
  <c r="U38" i="40"/>
  <c r="S38"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s="1"/>
  <c r="AB12" i="35"/>
  <c r="AB12" i="36"/>
  <c r="W32" i="40"/>
  <c r="S44" i="39"/>
  <c r="F37" i="39"/>
  <c r="AA37" i="39" s="1"/>
  <c r="J34" i="36"/>
  <c r="W34" i="36" s="1"/>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U17" i="34" s="1"/>
  <c r="F15" i="34"/>
  <c r="AA15" i="34" s="1"/>
  <c r="J15" i="34"/>
  <c r="H15" i="34"/>
  <c r="AB15" i="34" s="1"/>
  <c r="W8" i="34"/>
  <c r="J28" i="34"/>
  <c r="W28" i="34" s="1"/>
  <c r="F41" i="33"/>
  <c r="S38" i="33"/>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S12" i="36"/>
  <c r="AA12" i="36"/>
  <c r="AB30" i="36"/>
  <c r="F29" i="35"/>
  <c r="H29" i="35"/>
  <c r="AB29" i="35" s="1"/>
  <c r="H33" i="37"/>
  <c r="F33" i="37"/>
  <c r="AA33" i="37" s="1"/>
  <c r="U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c r="J17" i="34"/>
  <c r="W17" i="34" s="1"/>
  <c r="AB17" i="34"/>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s="1"/>
  <c r="J42" i="21"/>
  <c r="AC42" i="21"/>
  <c r="H42" i="21"/>
  <c r="U42" i="21" s="1"/>
  <c r="J44" i="34"/>
  <c r="F44" i="34"/>
  <c r="J10" i="35"/>
  <c r="AC10" i="35" s="1"/>
  <c r="H28" i="21"/>
  <c r="AB28" i="21" s="1"/>
  <c r="F28" i="21"/>
  <c r="AA28" i="21" s="1"/>
  <c r="J28" i="21"/>
  <c r="W28" i="21" s="1"/>
  <c r="H30" i="21"/>
  <c r="F30" i="21"/>
  <c r="S30" i="21" s="1"/>
  <c r="J30" i="21"/>
  <c r="AC30" i="2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H14" i="36"/>
  <c r="U14" i="36" s="1"/>
  <c r="F28" i="36"/>
  <c r="AA28" i="36" s="1"/>
  <c r="J13" i="21"/>
  <c r="AC13" i="21" s="1"/>
  <c r="H27" i="21"/>
  <c r="AB27" i="21" s="1"/>
  <c r="F27" i="21"/>
  <c r="AA27" i="21" s="1"/>
  <c r="H29" i="21"/>
  <c r="U29" i="21" s="1"/>
  <c r="J31" i="21"/>
  <c r="AC31" i="21" s="1"/>
  <c r="F31" i="21"/>
  <c r="S31" i="21"/>
  <c r="F45" i="21"/>
  <c r="AA45" i="21" s="1"/>
  <c r="F27" i="33"/>
  <c r="AA27" i="33"/>
  <c r="J13" i="33"/>
  <c r="J29" i="33"/>
  <c r="H29" i="33"/>
  <c r="U29" i="33" s="1"/>
  <c r="F29" i="33"/>
  <c r="S29" i="33" s="1"/>
  <c r="J31" i="33"/>
  <c r="W31" i="33" s="1"/>
  <c r="H45" i="33"/>
  <c r="U45" i="33" s="1"/>
  <c r="J45" i="33"/>
  <c r="W45" i="33" s="1"/>
  <c r="F45" i="33"/>
  <c r="AA45" i="33"/>
  <c r="J14" i="34"/>
  <c r="W14" i="34" s="1"/>
  <c r="F14" i="34"/>
  <c r="S14" i="34"/>
  <c r="H14" i="34"/>
  <c r="J30" i="34"/>
  <c r="H32" i="34"/>
  <c r="F32" i="34"/>
  <c r="J32" i="34"/>
  <c r="W32" i="34" s="1"/>
  <c r="H46" i="34"/>
  <c r="H11" i="35"/>
  <c r="AB11" i="35" s="1"/>
  <c r="J26" i="36"/>
  <c r="W26" i="36" s="1"/>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c r="H40" i="37"/>
  <c r="U40" i="37" s="1"/>
  <c r="J40" i="37"/>
  <c r="AC40" i="37"/>
  <c r="F40" i="37"/>
  <c r="AA40" i="37" s="1"/>
  <c r="AC12" i="40"/>
  <c r="W12" i="40"/>
  <c r="H14" i="33"/>
  <c r="U14" i="33" s="1"/>
  <c r="F14" i="33"/>
  <c r="S14" i="33" s="1"/>
  <c r="J14" i="33"/>
  <c r="H30" i="33"/>
  <c r="AB30" i="33" s="1"/>
  <c r="F30" i="33"/>
  <c r="J30" i="33"/>
  <c r="H44" i="33"/>
  <c r="J44" i="33"/>
  <c r="F44" i="33"/>
  <c r="S44" i="33" s="1"/>
  <c r="J46" i="33"/>
  <c r="AC46" i="33"/>
  <c r="F46" i="33"/>
  <c r="AA46" i="33" s="1"/>
  <c r="H46" i="33"/>
  <c r="AB46" i="33"/>
  <c r="H13" i="34"/>
  <c r="U13" i="34" s="1"/>
  <c r="J13" i="34"/>
  <c r="W13" i="34"/>
  <c r="F13" i="34"/>
  <c r="AA13" i="34" s="1"/>
  <c r="J29" i="34"/>
  <c r="F29" i="34"/>
  <c r="S29" i="34"/>
  <c r="H29" i="34"/>
  <c r="AB29" i="34" s="1"/>
  <c r="J31" i="34"/>
  <c r="AC31" i="34" s="1"/>
  <c r="H31" i="34"/>
  <c r="F31" i="34"/>
  <c r="S31" i="34" s="1"/>
  <c r="H45" i="34"/>
  <c r="U45" i="34" s="1"/>
  <c r="J45" i="34"/>
  <c r="W45" i="34"/>
  <c r="F45" i="34"/>
  <c r="S45" i="34" s="1"/>
  <c r="H47" i="34"/>
  <c r="U47" i="34"/>
  <c r="F47" i="34"/>
  <c r="S47" i="34" s="1"/>
  <c r="J47" i="34"/>
  <c r="F13" i="35"/>
  <c r="J13" i="35"/>
  <c r="AC13" i="35"/>
  <c r="H13" i="35"/>
  <c r="U13" i="35" s="1"/>
  <c r="J25" i="35"/>
  <c r="W25" i="35"/>
  <c r="F25" i="35"/>
  <c r="S25" i="35" s="1"/>
  <c r="H25" i="35"/>
  <c r="AB25" i="35"/>
  <c r="J35" i="35"/>
  <c r="AC35" i="35" s="1"/>
  <c r="F35" i="35"/>
  <c r="AA35" i="35" s="1"/>
  <c r="H35" i="35"/>
  <c r="J25" i="36"/>
  <c r="W25" i="36" s="1"/>
  <c r="H13" i="37"/>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s="1"/>
  <c r="S14" i="37"/>
  <c r="F27" i="37"/>
  <c r="AA27" i="37"/>
  <c r="F13" i="39"/>
  <c r="J13" i="39"/>
  <c r="W13" i="39" s="1"/>
  <c r="H13" i="39"/>
  <c r="H14" i="40"/>
  <c r="AB14" i="40"/>
  <c r="J14" i="40"/>
  <c r="W14" i="40" s="1"/>
  <c r="F14" i="40"/>
  <c r="AA14" i="40"/>
  <c r="J14" i="37"/>
  <c r="J27" i="37"/>
  <c r="AC27" i="37" s="1"/>
  <c r="AA44" i="33"/>
  <c r="U46" i="33"/>
  <c r="J36" i="37"/>
  <c r="AC36" i="37"/>
  <c r="J10" i="36"/>
  <c r="AC10" i="36" s="1"/>
  <c r="AB26" i="33"/>
  <c r="S11" i="36"/>
  <c r="AA14" i="34"/>
  <c r="S45" i="33"/>
  <c r="AB45" i="33"/>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0" i="3"/>
  <c r="G554" i="3"/>
  <c r="G550" i="3"/>
  <c r="BL584" i="3"/>
  <c r="BL580" i="3"/>
  <c r="BL576" i="3"/>
  <c r="BL572" i="3"/>
  <c r="BL560" i="3"/>
  <c r="BL554" i="3"/>
  <c r="AZ554" i="3" s="1"/>
  <c r="BL546" i="3"/>
  <c r="BL542" i="3"/>
  <c r="BL538" i="3"/>
  <c r="AZ538" i="3" s="1"/>
  <c r="BL534" i="3"/>
  <c r="BL530" i="3"/>
  <c r="BL526" i="3"/>
  <c r="BL522" i="3"/>
  <c r="BL516" i="3"/>
  <c r="BL512" i="3"/>
  <c r="BL506" i="3"/>
  <c r="BL502" i="3"/>
  <c r="BL498" i="3"/>
  <c r="AZ498" i="3" s="1"/>
  <c r="BL494" i="3"/>
  <c r="BL582" i="3"/>
  <c r="BL578" i="3"/>
  <c r="BL574" i="3"/>
  <c r="BL570"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AZ572" i="3" s="1"/>
  <c r="BA570" i="3"/>
  <c r="AZ570" i="3" s="1"/>
  <c r="BA566" i="3"/>
  <c r="BA564" i="3"/>
  <c r="BA558" i="3"/>
  <c r="BA554" i="3"/>
  <c r="BA552" i="3"/>
  <c r="AZ552" i="3"/>
  <c r="BA548" i="3"/>
  <c r="BA546" i="3"/>
  <c r="AZ546" i="3" s="1"/>
  <c r="BA544" i="3"/>
  <c r="AZ544" i="3"/>
  <c r="BA542" i="3"/>
  <c r="AZ542" i="3"/>
  <c r="BA540" i="3"/>
  <c r="BA538" i="3"/>
  <c r="BA536" i="3"/>
  <c r="BA534" i="3"/>
  <c r="AZ534" i="3"/>
  <c r="BA532" i="3"/>
  <c r="AZ532" i="3" s="1"/>
  <c r="BA530" i="3"/>
  <c r="BA528" i="3"/>
  <c r="AZ528" i="3" s="1"/>
  <c r="BA526" i="3"/>
  <c r="AZ526" i="3" s="1"/>
  <c r="BA524" i="3"/>
  <c r="BA522" i="3"/>
  <c r="BA520" i="3"/>
  <c r="AZ520" i="3" s="1"/>
  <c r="BA518" i="3"/>
  <c r="AZ518" i="3" s="1"/>
  <c r="BA516" i="3"/>
  <c r="BA514" i="3"/>
  <c r="BA512" i="3"/>
  <c r="AZ512" i="3" s="1"/>
  <c r="BA510" i="3"/>
  <c r="AZ510" i="3"/>
  <c r="BA508" i="3"/>
  <c r="AZ508" i="3" s="1"/>
  <c r="BA506" i="3"/>
  <c r="BA504" i="3"/>
  <c r="AZ504" i="3"/>
  <c r="BA502" i="3"/>
  <c r="BA500" i="3"/>
  <c r="AZ500" i="3" s="1"/>
  <c r="BA498" i="3"/>
  <c r="BA496" i="3"/>
  <c r="BA494" i="3"/>
  <c r="AZ494" i="3" s="1"/>
  <c r="BA583" i="3"/>
  <c r="BA581" i="3"/>
  <c r="BA579" i="3"/>
  <c r="BA577" i="3"/>
  <c r="BA575" i="3"/>
  <c r="BA573" i="3"/>
  <c r="BA571" i="3"/>
  <c r="BA567" i="3"/>
  <c r="BA565" i="3"/>
  <c r="AZ565" i="3" s="1"/>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5" i="3"/>
  <c r="G563" i="3"/>
  <c r="G561" i="3"/>
  <c r="BA557" i="3"/>
  <c r="AC557" i="3"/>
  <c r="G557" i="3" s="1"/>
  <c r="BQ557" i="3"/>
  <c r="BQ583" i="3"/>
  <c r="BL583" i="3" s="1"/>
  <c r="BQ581" i="3"/>
  <c r="BL581" i="3"/>
  <c r="BQ579" i="3"/>
  <c r="BL579" i="3"/>
  <c r="BQ577" i="3"/>
  <c r="BL577" i="3" s="1"/>
  <c r="AZ577" i="3" s="1"/>
  <c r="BQ575" i="3"/>
  <c r="BL575" i="3" s="1"/>
  <c r="BQ573" i="3"/>
  <c r="BL573" i="3" s="1"/>
  <c r="BQ571" i="3"/>
  <c r="BL571" i="3"/>
  <c r="BQ569" i="3"/>
  <c r="BQ567" i="3"/>
  <c r="BL567" i="3"/>
  <c r="BQ565" i="3"/>
  <c r="BL565" i="3" s="1"/>
  <c r="BQ563" i="3"/>
  <c r="BL563" i="3"/>
  <c r="BQ561" i="3"/>
  <c r="BQ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BQ521" i="3"/>
  <c r="BL521" i="3"/>
  <c r="AZ521" i="3" s="1"/>
  <c r="BL520" i="3"/>
  <c r="G519" i="3"/>
  <c r="G517" i="3"/>
  <c r="G515" i="3"/>
  <c r="G513" i="3"/>
  <c r="G511" i="3"/>
  <c r="BQ519" i="3"/>
  <c r="BL519" i="3" s="1"/>
  <c r="BQ517" i="3"/>
  <c r="BL517" i="3" s="1"/>
  <c r="BQ515" i="3"/>
  <c r="BL515" i="3" s="1"/>
  <c r="BQ513" i="3"/>
  <c r="BL513" i="3"/>
  <c r="BQ511" i="3"/>
  <c r="BL511" i="3" s="1"/>
  <c r="BA509" i="3"/>
  <c r="AC509" i="3"/>
  <c r="BQ509" i="3"/>
  <c r="BL509" i="3" s="1"/>
  <c r="AZ509" i="3" s="1"/>
  <c r="BL508" i="3"/>
  <c r="G507" i="3"/>
  <c r="G505" i="3"/>
  <c r="G503" i="3"/>
  <c r="G501" i="3"/>
  <c r="G499" i="3"/>
  <c r="G497" i="3"/>
  <c r="G495" i="3"/>
  <c r="BQ507" i="3"/>
  <c r="BQ505" i="3"/>
  <c r="BL505" i="3" s="1"/>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F39" i="33"/>
  <c r="AA39" i="33"/>
  <c r="E123" i="33"/>
  <c r="F123" i="33" s="1"/>
  <c r="G123" i="33" s="1"/>
  <c r="H123" i="33" s="1"/>
  <c r="I123" i="33" s="1"/>
  <c r="J123" i="33" s="1"/>
  <c r="K123" i="33" s="1"/>
  <c r="L123" i="33" s="1"/>
  <c r="M123" i="33" s="1"/>
  <c r="F42" i="33"/>
  <c r="AA42" i="33" s="1"/>
  <c r="H28" i="34"/>
  <c r="AB28" i="34"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F32" i="40"/>
  <c r="S32" i="40" s="1"/>
  <c r="H32" i="40"/>
  <c r="AB32" i="40"/>
  <c r="J36" i="40"/>
  <c r="W36" i="40" s="1"/>
  <c r="H19" i="37"/>
  <c r="AB19" i="37" s="1"/>
  <c r="H42" i="33"/>
  <c r="AB42" i="33" s="1"/>
  <c r="J43" i="33"/>
  <c r="AC43" i="33" s="1"/>
  <c r="S28" i="31"/>
  <c r="S27" i="31"/>
  <c r="S26" i="31"/>
  <c r="U14" i="40"/>
  <c r="U39" i="37"/>
  <c r="U26" i="37"/>
  <c r="AC31" i="33"/>
  <c r="AC45" i="33"/>
  <c r="U11" i="33"/>
  <c r="U19" i="21"/>
  <c r="AB38" i="21"/>
  <c r="F43" i="33"/>
  <c r="AA43" i="33"/>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F15" i="37"/>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c r="AT6" i="3"/>
  <c r="AA25" i="21"/>
  <c r="H19" i="40"/>
  <c r="U19" i="40" s="1"/>
  <c r="F88" i="40"/>
  <c r="G88" i="40" s="1"/>
  <c r="F19" i="40"/>
  <c r="S19" i="40" s="1"/>
  <c r="S14" i="40"/>
  <c r="AC13" i="40"/>
  <c r="AB33" i="40"/>
  <c r="W23" i="39"/>
  <c r="AC43" i="39"/>
  <c r="W43" i="39"/>
  <c r="U45" i="39"/>
  <c r="AB45" i="39"/>
  <c r="AB44" i="39"/>
  <c r="U44" i="39"/>
  <c r="G100"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G4" i="4"/>
  <c r="I4" i="4"/>
  <c r="A2" i="9"/>
  <c r="F61" i="43"/>
  <c r="H64" i="43" s="1"/>
  <c r="AZ497" i="3"/>
  <c r="AZ514" i="3"/>
  <c r="AZ522" i="3"/>
  <c r="AZ530" i="3"/>
  <c r="G546" i="3"/>
  <c r="G524" i="3"/>
  <c r="G303" i="3"/>
  <c r="BL304" i="3"/>
  <c r="G305" i="3"/>
  <c r="BL306" i="3"/>
  <c r="AZ306" i="3" s="1"/>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AZ373" i="3" s="1"/>
  <c r="BA375" i="3"/>
  <c r="BA376" i="3"/>
  <c r="BL376" i="3"/>
  <c r="G377" i="3"/>
  <c r="BA378" i="3"/>
  <c r="AZ378" i="3" s="1"/>
  <c r="BL378" i="3"/>
  <c r="G379" i="3"/>
  <c r="BA380" i="3"/>
  <c r="AZ380" i="3" s="1"/>
  <c r="G388" i="3"/>
  <c r="BL389" i="3"/>
  <c r="G390" i="3"/>
  <c r="BL391" i="3"/>
  <c r="BA393" i="3"/>
  <c r="BA394" i="3"/>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c r="G157" i="3"/>
  <c r="BA159" i="3"/>
  <c r="BL160" i="3"/>
  <c r="G161" i="3"/>
  <c r="BA163" i="3"/>
  <c r="AZ163" i="3" s="1"/>
  <c r="BL164" i="3"/>
  <c r="G165" i="3"/>
  <c r="BA167" i="3"/>
  <c r="BL168" i="3"/>
  <c r="AZ168" i="3" s="1"/>
  <c r="G169" i="3"/>
  <c r="BA171" i="3"/>
  <c r="BL172" i="3"/>
  <c r="G173" i="3"/>
  <c r="BA175" i="3"/>
  <c r="AZ175" i="3" s="1"/>
  <c r="BL176" i="3"/>
  <c r="G177" i="3"/>
  <c r="BA179" i="3"/>
  <c r="BL180" i="3"/>
  <c r="AZ180" i="3"/>
  <c r="G181" i="3"/>
  <c r="BA183" i="3"/>
  <c r="BL184" i="3"/>
  <c r="G185" i="3"/>
  <c r="BA187" i="3"/>
  <c r="BL188" i="3"/>
  <c r="AZ188" i="3" s="1"/>
  <c r="G189" i="3"/>
  <c r="BA191" i="3"/>
  <c r="BL192" i="3"/>
  <c r="G193" i="3"/>
  <c r="BA195" i="3"/>
  <c r="AZ195" i="3" s="1"/>
  <c r="BL196" i="3"/>
  <c r="G197" i="3"/>
  <c r="BA199" i="3"/>
  <c r="BL200" i="3"/>
  <c r="G201" i="3"/>
  <c r="BA203" i="3"/>
  <c r="AZ203" i="3" s="1"/>
  <c r="BL204" i="3"/>
  <c r="AZ204" i="3" s="1"/>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AZ344" i="3" s="1"/>
  <c r="BL344" i="3"/>
  <c r="BA346" i="3"/>
  <c r="AZ346" i="3" s="1"/>
  <c r="BA347" i="3"/>
  <c r="BL347" i="3"/>
  <c r="G350" i="3"/>
  <c r="BA351" i="3"/>
  <c r="BL351" i="3"/>
  <c r="G352" i="3"/>
  <c r="G354" i="3"/>
  <c r="BA355" i="3"/>
  <c r="AZ355" i="3" s="1"/>
  <c r="BA356" i="3"/>
  <c r="BL356" i="3"/>
  <c r="AZ356" i="3" s="1"/>
  <c r="G357" i="3"/>
  <c r="G360" i="3"/>
  <c r="BL361" i="3"/>
  <c r="BA363" i="3"/>
  <c r="BA364" i="3"/>
  <c r="AZ364" i="3" s="1"/>
  <c r="BL364" i="3"/>
  <c r="G365" i="3"/>
  <c r="G368" i="3"/>
  <c r="BL369" i="3"/>
  <c r="AZ369" i="3" s="1"/>
  <c r="BA371" i="3"/>
  <c r="AZ371" i="3" s="1"/>
  <c r="BA372" i="3"/>
  <c r="BL372" i="3"/>
  <c r="G373" i="3"/>
  <c r="G376" i="3"/>
  <c r="BL377" i="3"/>
  <c r="BL379" i="3"/>
  <c r="BA381" i="3"/>
  <c r="AZ381" i="3" s="1"/>
  <c r="BA382" i="3"/>
  <c r="BL382" i="3"/>
  <c r="G383" i="3"/>
  <c r="G386" i="3"/>
  <c r="BL387" i="3"/>
  <c r="BA389" i="3"/>
  <c r="AZ389" i="3" s="1"/>
  <c r="BA390" i="3"/>
  <c r="BL390" i="3"/>
  <c r="G391" i="3"/>
  <c r="G394" i="3"/>
  <c r="AZ146" i="3"/>
  <c r="AZ162" i="3"/>
  <c r="BA16" i="3"/>
  <c r="BL303" i="3"/>
  <c r="G304" i="3"/>
  <c r="BA306" i="3"/>
  <c r="BL307" i="3"/>
  <c r="G308" i="3"/>
  <c r="BA310" i="3"/>
  <c r="AZ310" i="3"/>
  <c r="BL311" i="3"/>
  <c r="AZ311" i="3" s="1"/>
  <c r="G312" i="3"/>
  <c r="BA314" i="3"/>
  <c r="AZ314" i="3"/>
  <c r="BL315" i="3"/>
  <c r="AZ315" i="3" s="1"/>
  <c r="G316" i="3"/>
  <c r="BA318" i="3"/>
  <c r="AZ318" i="3" s="1"/>
  <c r="BL319" i="3"/>
  <c r="AZ319" i="3" s="1"/>
  <c r="G320" i="3"/>
  <c r="BA322" i="3"/>
  <c r="BL323" i="3"/>
  <c r="G324" i="3"/>
  <c r="BA326" i="3"/>
  <c r="AZ326" i="3"/>
  <c r="BL327" i="3"/>
  <c r="AZ327" i="3"/>
  <c r="G328" i="3"/>
  <c r="BA330" i="3"/>
  <c r="BL331" i="3"/>
  <c r="AZ331" i="3" s="1"/>
  <c r="G332" i="3"/>
  <c r="BA334" i="3"/>
  <c r="BL335" i="3"/>
  <c r="G336" i="3"/>
  <c r="BA338" i="3"/>
  <c r="AZ338" i="3" s="1"/>
  <c r="BL339" i="3"/>
  <c r="G340" i="3"/>
  <c r="BL343" i="3"/>
  <c r="G344" i="3"/>
  <c r="G348" i="3"/>
  <c r="G355" i="3"/>
  <c r="AZ214" i="3"/>
  <c r="G342" i="3"/>
  <c r="BL345" i="3"/>
  <c r="G346" i="3"/>
  <c r="BL349" i="3"/>
  <c r="BL352" i="3"/>
  <c r="G353" i="3"/>
  <c r="BA357" i="3"/>
  <c r="AZ357" i="3" s="1"/>
  <c r="BL358" i="3"/>
  <c r="G359" i="3"/>
  <c r="BA361" i="3"/>
  <c r="AZ361" i="3"/>
  <c r="BL362" i="3"/>
  <c r="AZ362" i="3" s="1"/>
  <c r="G363" i="3"/>
  <c r="BA365" i="3"/>
  <c r="AZ365" i="3"/>
  <c r="BL366" i="3"/>
  <c r="G367" i="3"/>
  <c r="BA369" i="3"/>
  <c r="BL370" i="3"/>
  <c r="G371" i="3"/>
  <c r="BA373" i="3"/>
  <c r="BL374" i="3"/>
  <c r="AZ374" i="3" s="1"/>
  <c r="G375" i="3"/>
  <c r="BA377" i="3"/>
  <c r="AZ377" i="3"/>
  <c r="AZ233" i="3"/>
  <c r="AZ269" i="3"/>
  <c r="BA379" i="3"/>
  <c r="AZ379" i="3" s="1"/>
  <c r="BL380" i="3"/>
  <c r="G381" i="3"/>
  <c r="BA383" i="3"/>
  <c r="AZ383" i="3" s="1"/>
  <c r="BL384" i="3"/>
  <c r="G385" i="3"/>
  <c r="BA387" i="3"/>
  <c r="AZ387" i="3" s="1"/>
  <c r="BL388" i="3"/>
  <c r="G389" i="3"/>
  <c r="BA391" i="3"/>
  <c r="BL392" i="3"/>
  <c r="AZ392" i="3" s="1"/>
  <c r="G393" i="3"/>
  <c r="BM5" i="3"/>
  <c r="BJ5" i="3"/>
  <c r="BD5" i="3"/>
  <c r="AZ506" i="3"/>
  <c r="AZ496" i="3"/>
  <c r="G548" i="3"/>
  <c r="G538" i="3"/>
  <c r="G520" i="3"/>
  <c r="G502" i="3"/>
  <c r="BN5" i="3"/>
  <c r="BK5" i="3"/>
  <c r="BE5" i="3"/>
  <c r="BC5" i="3"/>
  <c r="G17" i="3"/>
  <c r="BA17" i="3"/>
  <c r="BT5" i="3"/>
  <c r="AZ368" i="3"/>
  <c r="BA15" i="3"/>
  <c r="BB5" i="3"/>
  <c r="AZ499" i="3"/>
  <c r="G509" i="3"/>
  <c r="BL493" i="3"/>
  <c r="U36" i="40"/>
  <c r="F83" i="43"/>
  <c r="H85" i="43" s="1"/>
  <c r="F50" i="43"/>
  <c r="H54" i="43" s="1"/>
  <c r="F72" i="43"/>
  <c r="H75" i="43" s="1"/>
  <c r="G75" i="43" s="1"/>
  <c r="M75" i="43" s="1"/>
  <c r="N75" i="43" s="1"/>
  <c r="U17" i="39"/>
  <c r="S14" i="35"/>
  <c r="U43" i="21"/>
  <c r="U35" i="21"/>
  <c r="AC11" i="39"/>
  <c r="W37" i="37"/>
  <c r="W44" i="34"/>
  <c r="AC44" i="34"/>
  <c r="S15"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s="1"/>
  <c r="F27" i="40"/>
  <c r="AA27" i="40" s="1"/>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48" i="3"/>
  <c r="AZ259" i="3"/>
  <c r="AZ271" i="3"/>
  <c r="AZ130" i="3"/>
  <c r="AZ50" i="3"/>
  <c r="AZ69" i="3"/>
  <c r="F23" i="39"/>
  <c r="AA23" i="39"/>
  <c r="H27" i="36"/>
  <c r="U27" i="36" s="1"/>
  <c r="F27" i="36"/>
  <c r="AA27" i="36" s="1"/>
  <c r="H33" i="34"/>
  <c r="U33" i="34"/>
  <c r="F32" i="37"/>
  <c r="S32" i="37" s="1"/>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C12" i="39"/>
  <c r="W12" i="39"/>
  <c r="AC39" i="40"/>
  <c r="W39" i="40"/>
  <c r="AZ586" i="3"/>
  <c r="W12" i="33"/>
  <c r="AC12" i="33"/>
  <c r="AA32" i="36"/>
  <c r="S32" i="36"/>
  <c r="AZ473" i="3"/>
  <c r="BL14" i="3"/>
  <c r="U30" i="33"/>
  <c r="AC13" i="34"/>
  <c r="AA47" i="34"/>
  <c r="W28" i="37"/>
  <c r="S19" i="39"/>
  <c r="F12" i="33"/>
  <c r="H12" i="39"/>
  <c r="AB12" i="39" s="1"/>
  <c r="F39" i="40"/>
  <c r="BA14" i="3"/>
  <c r="AZ14" i="3" s="1"/>
  <c r="AZ250" i="3"/>
  <c r="AZ286" i="3"/>
  <c r="B12" i="1"/>
  <c r="E12" i="1" s="1"/>
  <c r="B10" i="1"/>
  <c r="E10" i="1" s="1"/>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U21" i="40"/>
  <c r="AB19" i="40"/>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U12" i="39"/>
  <c r="S23" i="36"/>
  <c r="U13" i="36"/>
  <c r="U26" i="36"/>
  <c r="AA26" i="36"/>
  <c r="AA34" i="36"/>
  <c r="AC26" i="36"/>
  <c r="AB14" i="36"/>
  <c r="S24" i="36"/>
  <c r="U24" i="36"/>
  <c r="U23" i="36"/>
  <c r="AA25" i="35"/>
  <c r="S23" i="35"/>
  <c r="W24" i="35"/>
  <c r="AB13" i="35"/>
  <c r="U29" i="35"/>
  <c r="U28" i="35"/>
  <c r="AB27" i="35"/>
  <c r="U36" i="35"/>
  <c r="U32" i="35"/>
  <c r="AA33" i="35"/>
  <c r="AC30" i="35"/>
  <c r="S32" i="35"/>
  <c r="AA36" i="35"/>
  <c r="S28" i="35"/>
  <c r="AB16" i="35"/>
  <c r="U22" i="35"/>
  <c r="S20" i="35"/>
  <c r="AC20" i="35"/>
  <c r="S22" i="35"/>
  <c r="U14" i="35"/>
  <c r="AC9" i="35"/>
  <c r="W9"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H23" i="33"/>
  <c r="AB23" i="33" s="1"/>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B45" i="34"/>
  <c r="AB47" i="34"/>
  <c r="U25" i="34"/>
  <c r="AB36" i="34"/>
  <c r="W33" i="34"/>
  <c r="AC14" i="34"/>
  <c r="AC32" i="34"/>
  <c r="AC29" i="34"/>
  <c r="W29" i="34"/>
  <c r="S32" i="34"/>
  <c r="AA32" i="34"/>
  <c r="S37" i="34"/>
  <c r="U38" i="34"/>
  <c r="AC40" i="34"/>
  <c r="W40" i="34"/>
  <c r="AA19" i="34"/>
  <c r="S19" i="34"/>
  <c r="AA36" i="34"/>
  <c r="S36" i="34"/>
  <c r="AA8" i="34"/>
  <c r="S8" i="34"/>
  <c r="AB9" i="34"/>
  <c r="U9"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U13" i="21"/>
  <c r="AB13" i="21"/>
  <c r="S35" i="21"/>
  <c r="J37" i="21"/>
  <c r="W37" i="21" s="1"/>
  <c r="H15" i="21"/>
  <c r="U15" i="21" s="1"/>
  <c r="J17" i="21"/>
  <c r="AC17" i="21" s="1"/>
  <c r="AC19" i="21"/>
  <c r="W39" i="21"/>
  <c r="W30"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AC17" i="37"/>
  <c r="S17" i="37"/>
  <c r="J19" i="37"/>
  <c r="W19" i="37" s="1"/>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J25" i="33"/>
  <c r="AC25" i="33" s="1"/>
  <c r="U23" i="33"/>
  <c r="F23" i="33"/>
  <c r="G85" i="33"/>
  <c r="H19" i="33"/>
  <c r="G81" i="33"/>
  <c r="H17" i="33"/>
  <c r="U17" i="33" s="1"/>
  <c r="F17" i="33"/>
  <c r="S17" i="33" s="1"/>
  <c r="W17" i="33"/>
  <c r="AC17" i="33"/>
  <c r="S37" i="21"/>
  <c r="AB15" i="21"/>
  <c r="J23" i="21"/>
  <c r="F85" i="21"/>
  <c r="G85" i="21" s="1"/>
  <c r="H23" i="21"/>
  <c r="S13" i="21"/>
  <c r="D6" i="52"/>
  <c r="AP7" i="1"/>
  <c r="U9" i="21"/>
  <c r="AA32" i="21"/>
  <c r="W9" i="21"/>
  <c r="AC9" i="21"/>
  <c r="AB32" i="21"/>
  <c r="U32" i="39"/>
  <c r="AC32" i="39"/>
  <c r="J63" i="37"/>
  <c r="K63" i="37" s="1"/>
  <c r="L63" i="37" s="1"/>
  <c r="M63" i="37" s="1"/>
  <c r="J11" i="37"/>
  <c r="AC11" i="37" s="1"/>
  <c r="H70" i="34"/>
  <c r="I70" i="34" s="1"/>
  <c r="J70" i="34" s="1"/>
  <c r="K70" i="34"/>
  <c r="L70" i="34" s="1"/>
  <c r="M70" i="34" s="1"/>
  <c r="J11" i="34"/>
  <c r="W11" i="34" s="1"/>
  <c r="W25" i="33"/>
  <c r="AB19" i="33"/>
  <c r="U19" i="33"/>
  <c r="AA17" i="33"/>
  <c r="U23" i="21"/>
  <c r="AB23" i="21"/>
  <c r="AC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9" i="76"/>
  <c r="B7" i="76"/>
  <c r="F40" i="67"/>
  <c r="L48" i="67"/>
  <c r="F38" i="67"/>
  <c r="B12" i="76"/>
  <c r="F9" i="67"/>
  <c r="F6" i="73"/>
  <c r="F7" i="67"/>
  <c r="F42" i="67"/>
  <c r="M29" i="15"/>
  <c r="C76" i="67"/>
  <c r="M6" i="67"/>
  <c r="F13" i="15"/>
  <c r="F4" i="73"/>
  <c r="M24" i="15"/>
  <c r="M22" i="15"/>
  <c r="F26" i="15"/>
  <c r="F8" i="67"/>
  <c r="F3" i="73"/>
  <c r="L47" i="67"/>
  <c r="L48" i="15"/>
  <c r="E12" i="76"/>
  <c r="E10" i="76"/>
  <c r="B8" i="76"/>
  <c r="F8" i="15"/>
  <c r="F37" i="67"/>
  <c r="F7" i="15"/>
  <c r="E2" i="69"/>
  <c r="C76" i="15"/>
  <c r="M26" i="15"/>
  <c r="B13" i="76"/>
  <c r="M28" i="67"/>
  <c r="M23" i="67"/>
  <c r="M29" i="67"/>
  <c r="F43" i="15"/>
  <c r="F6" i="15"/>
  <c r="E13" i="76"/>
  <c r="L47" i="15"/>
  <c r="B11" i="76"/>
  <c r="M8" i="15"/>
  <c r="M23" i="15"/>
  <c r="F20" i="31"/>
  <c r="B10" i="76"/>
  <c r="F7" i="73"/>
  <c r="E7" i="76"/>
  <c r="F42" i="15"/>
  <c r="E8" i="76"/>
  <c r="D6" i="73"/>
  <c r="F16" i="67"/>
  <c r="E9" i="76"/>
  <c r="F13" i="67"/>
  <c r="F9" i="15"/>
  <c r="F5" i="73"/>
  <c r="M24" i="67"/>
  <c r="F16" i="15"/>
  <c r="AO13" i="1"/>
  <c r="J15" i="67"/>
  <c r="F6" i="67"/>
  <c r="E2" i="68"/>
  <c r="F43" i="67"/>
  <c r="M8" i="67"/>
  <c r="E11" i="76"/>
  <c r="M22" i="67"/>
  <c r="U22" i="36" l="1"/>
  <c r="W28" i="36"/>
  <c r="F62" i="36"/>
  <c r="G62" i="36" s="1"/>
  <c r="F14" i="36"/>
  <c r="AA14" i="36" s="1"/>
  <c r="J14" i="36"/>
  <c r="AC14" i="36" s="1"/>
  <c r="AB20" i="36"/>
  <c r="AC20" i="36"/>
  <c r="W18" i="36"/>
  <c r="S16" i="36"/>
  <c r="U16" i="36"/>
  <c r="AA22" i="36"/>
  <c r="W9" i="36"/>
  <c r="K75" i="43"/>
  <c r="J75" i="43" s="1"/>
  <c r="F28" i="67"/>
  <c r="D68" i="9"/>
  <c r="F30" i="11"/>
  <c r="C48" i="11" s="1"/>
  <c r="F30" i="69"/>
  <c r="F48" i="69" s="1"/>
  <c r="F32" i="67"/>
  <c r="F60" i="67" s="1"/>
  <c r="F28" i="15"/>
  <c r="M18" i="67"/>
  <c r="M18" i="15"/>
  <c r="F31" i="12"/>
  <c r="C31" i="12" s="1"/>
  <c r="G22" i="11"/>
  <c r="G26" i="12"/>
  <c r="G22" i="68"/>
  <c r="G22" i="69"/>
  <c r="C7" i="21"/>
  <c r="C42" i="1"/>
  <c r="C24" i="12" s="1"/>
  <c r="C7" i="36"/>
  <c r="C46" i="36" s="1"/>
  <c r="D46" i="36" s="1"/>
  <c r="E46" i="36" s="1"/>
  <c r="F46" i="36" s="1"/>
  <c r="G46" i="36" s="1"/>
  <c r="H46" i="36" s="1"/>
  <c r="I46" i="36" s="1"/>
  <c r="G23" i="43"/>
  <c r="C23" i="43" s="1"/>
  <c r="C7" i="33"/>
  <c r="C7" i="34"/>
  <c r="M47" i="9"/>
  <c r="C7" i="35"/>
  <c r="C48" i="35" s="1"/>
  <c r="D48" i="35" s="1"/>
  <c r="AA32" i="37"/>
  <c r="S27" i="40"/>
  <c r="AZ390" i="3"/>
  <c r="AZ351" i="3"/>
  <c r="AC5" i="3"/>
  <c r="AZ575" i="3"/>
  <c r="U46" i="34"/>
  <c r="AB46" i="34"/>
  <c r="W36" i="34"/>
  <c r="AC36" i="34"/>
  <c r="F14" i="21"/>
  <c r="H14" i="21"/>
  <c r="J14" i="21"/>
  <c r="B72" i="43"/>
  <c r="C15" i="39"/>
  <c r="J31" i="40"/>
  <c r="H31" i="40"/>
  <c r="S34" i="37"/>
  <c r="AA34" i="37"/>
  <c r="BA569" i="3"/>
  <c r="BL568" i="3"/>
  <c r="BA568" i="3"/>
  <c r="AZ568" i="3" s="1"/>
  <c r="BL566" i="3"/>
  <c r="BL564" i="3"/>
  <c r="BR5" i="3"/>
  <c r="BA563" i="3"/>
  <c r="AZ563" i="3" s="1"/>
  <c r="BA562" i="3"/>
  <c r="BL561" i="3"/>
  <c r="BA561" i="3"/>
  <c r="BP5" i="3"/>
  <c r="G29" i="6" s="1"/>
  <c r="BG5" i="3"/>
  <c r="BA560" i="3"/>
  <c r="AZ560" i="3" s="1"/>
  <c r="BL558" i="3"/>
  <c r="AZ558" i="3" s="1"/>
  <c r="BO5" i="3"/>
  <c r="F29" i="6" s="1"/>
  <c r="E29" i="6" s="1"/>
  <c r="K15" i="1" s="1"/>
  <c r="BF5" i="3"/>
  <c r="BS5" i="3"/>
  <c r="BI5" i="3"/>
  <c r="H5" i="3"/>
  <c r="BH5" i="3"/>
  <c r="BA556" i="3"/>
  <c r="AZ556" i="3" s="1"/>
  <c r="S23" i="21"/>
  <c r="W15" i="21"/>
  <c r="AZ502" i="3"/>
  <c r="AB13" i="37"/>
  <c r="U13" i="37"/>
  <c r="AC47" i="34"/>
  <c r="W47" i="34"/>
  <c r="AA44" i="34"/>
  <c r="S44" i="34"/>
  <c r="AA41" i="33"/>
  <c r="S41" i="33"/>
  <c r="W35" i="21"/>
  <c r="AC35" i="21"/>
  <c r="AB34" i="34"/>
  <c r="U34" i="34"/>
  <c r="AZ391" i="3"/>
  <c r="AZ493" i="3"/>
  <c r="AZ501" i="3"/>
  <c r="AZ529" i="3"/>
  <c r="AZ536" i="3"/>
  <c r="AZ564" i="3"/>
  <c r="AZ574" i="3"/>
  <c r="W31" i="34"/>
  <c r="S29" i="35"/>
  <c r="AA29" i="35"/>
  <c r="BL587" i="3"/>
  <c r="BA587" i="3"/>
  <c r="AB30" i="37"/>
  <c r="U30" i="37"/>
  <c r="AC31" i="37"/>
  <c r="W31" i="37"/>
  <c r="J37" i="39"/>
  <c r="H37" i="39"/>
  <c r="AB34" i="40"/>
  <c r="U34" i="40"/>
  <c r="AC27" i="33"/>
  <c r="AC23" i="37"/>
  <c r="W17" i="21"/>
  <c r="AB36" i="33"/>
  <c r="AB45" i="21"/>
  <c r="AA19" i="33"/>
  <c r="F54" i="9"/>
  <c r="F32" i="15"/>
  <c r="F60" i="15" s="1"/>
  <c r="F52" i="9"/>
  <c r="F30" i="68"/>
  <c r="F48" i="68" s="1"/>
  <c r="S20" i="36"/>
  <c r="AZ336" i="3"/>
  <c r="S11" i="39"/>
  <c r="AA11" i="39"/>
  <c r="AZ511" i="3"/>
  <c r="G521" i="3"/>
  <c r="AZ513" i="3"/>
  <c r="AZ566" i="3"/>
  <c r="AA14" i="33"/>
  <c r="AC44" i="33"/>
  <c r="W44" i="33"/>
  <c r="U30" i="21"/>
  <c r="AB30" i="21"/>
  <c r="H13" i="33"/>
  <c r="U13" i="33" s="1"/>
  <c r="F13" i="33"/>
  <c r="H31" i="33"/>
  <c r="F31" i="33"/>
  <c r="J12" i="34"/>
  <c r="H12" i="34"/>
  <c r="F12" i="34"/>
  <c r="S12" i="34" s="1"/>
  <c r="H30" i="34"/>
  <c r="F30" i="34"/>
  <c r="F46" i="34"/>
  <c r="J46" i="34"/>
  <c r="J11" i="35"/>
  <c r="F11" i="35"/>
  <c r="AC22" i="35"/>
  <c r="W22" i="35"/>
  <c r="F25" i="36"/>
  <c r="H25" i="36"/>
  <c r="H33" i="36"/>
  <c r="J33" i="36"/>
  <c r="AC33" i="36" s="1"/>
  <c r="F33" i="36"/>
  <c r="AB31" i="36"/>
  <c r="U31" i="36"/>
  <c r="AZ322" i="3"/>
  <c r="AZ313" i="3"/>
  <c r="AZ394" i="3"/>
  <c r="AZ519" i="3"/>
  <c r="AZ531" i="3"/>
  <c r="BL559" i="3"/>
  <c r="AZ559" i="3" s="1"/>
  <c r="AZ573" i="3"/>
  <c r="AZ583" i="3"/>
  <c r="AZ576" i="3"/>
  <c r="H36" i="39"/>
  <c r="J45" i="39"/>
  <c r="W45" i="39" s="1"/>
  <c r="J23" i="35"/>
  <c r="H23" i="35"/>
  <c r="H25" i="37"/>
  <c r="F25" i="37"/>
  <c r="U8" i="39"/>
  <c r="AB8" i="39"/>
  <c r="AZ345" i="3"/>
  <c r="AZ334" i="3"/>
  <c r="AZ303" i="3"/>
  <c r="AZ372" i="3"/>
  <c r="AZ347" i="3"/>
  <c r="AZ337" i="3"/>
  <c r="AZ376" i="3"/>
  <c r="AZ309" i="3"/>
  <c r="AC12" i="37"/>
  <c r="W44" i="21"/>
  <c r="AZ515" i="3"/>
  <c r="AZ523" i="3"/>
  <c r="AZ547" i="3"/>
  <c r="BL569" i="3"/>
  <c r="AZ569" i="3" s="1"/>
  <c r="BL557" i="3"/>
  <c r="AZ557" i="3" s="1"/>
  <c r="AZ571" i="3"/>
  <c r="AZ579" i="3"/>
  <c r="AZ516" i="3"/>
  <c r="AZ524" i="3"/>
  <c r="AC28" i="21"/>
  <c r="AB23" i="34"/>
  <c r="S35" i="34"/>
  <c r="F36" i="39"/>
  <c r="BL585" i="3"/>
  <c r="AZ585" i="3" s="1"/>
  <c r="F12" i="35"/>
  <c r="J12" i="35"/>
  <c r="J25" i="37"/>
  <c r="AA34" i="39"/>
  <c r="S34" i="39"/>
  <c r="AZ469" i="3"/>
  <c r="AC9" i="34"/>
  <c r="W9" i="34"/>
  <c r="W27" i="35"/>
  <c r="AC27" i="35"/>
  <c r="S9" i="40"/>
  <c r="AA9" i="40"/>
  <c r="BL16" i="3"/>
  <c r="AZ16" i="3" s="1"/>
  <c r="BA401" i="3"/>
  <c r="BA403" i="3"/>
  <c r="BA404" i="3"/>
  <c r="BA405" i="3"/>
  <c r="AZ405" i="3" s="1"/>
  <c r="BL410" i="3"/>
  <c r="G412" i="3"/>
  <c r="G418" i="3"/>
  <c r="AZ466" i="3"/>
  <c r="BA482" i="3"/>
  <c r="BA484" i="3"/>
  <c r="AZ484" i="3" s="1"/>
  <c r="BA303" i="3"/>
  <c r="BA307" i="3"/>
  <c r="AZ307" i="3" s="1"/>
  <c r="BA332" i="3"/>
  <c r="AZ332" i="3" s="1"/>
  <c r="BL332" i="3"/>
  <c r="G587" i="3"/>
  <c r="BA551" i="3"/>
  <c r="AZ551" i="3" s="1"/>
  <c r="BA550" i="3"/>
  <c r="BL548" i="3"/>
  <c r="AZ548" i="3" s="1"/>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AZ491" i="3" s="1"/>
  <c r="BL324" i="3"/>
  <c r="AZ324" i="3" s="1"/>
  <c r="BL328" i="3"/>
  <c r="AZ328" i="3" s="1"/>
  <c r="BA335" i="3"/>
  <c r="AZ335" i="3" s="1"/>
  <c r="BA339" i="3"/>
  <c r="AZ339" i="3" s="1"/>
  <c r="G347" i="3"/>
  <c r="BA348" i="3"/>
  <c r="BL398" i="3"/>
  <c r="G402" i="3"/>
  <c r="BL403" i="3"/>
  <c r="G406" i="3"/>
  <c r="BA408" i="3"/>
  <c r="AZ408" i="3" s="1"/>
  <c r="BA409" i="3"/>
  <c r="AZ409" i="3" s="1"/>
  <c r="BA411" i="3"/>
  <c r="AZ411" i="3" s="1"/>
  <c r="BL414" i="3"/>
  <c r="BL415" i="3"/>
  <c r="BA417" i="3"/>
  <c r="AZ417" i="3" s="1"/>
  <c r="BL421" i="3"/>
  <c r="BL422" i="3"/>
  <c r="AZ422" i="3" s="1"/>
  <c r="BL425" i="3"/>
  <c r="BL426" i="3"/>
  <c r="BA428" i="3"/>
  <c r="AZ428" i="3" s="1"/>
  <c r="BA429" i="3"/>
  <c r="AZ429" i="3" s="1"/>
  <c r="BA430" i="3"/>
  <c r="AZ430" i="3" s="1"/>
  <c r="BA432" i="3"/>
  <c r="BA434" i="3"/>
  <c r="BA436" i="3"/>
  <c r="BA438" i="3"/>
  <c r="G442" i="3"/>
  <c r="G443" i="3"/>
  <c r="BA446" i="3"/>
  <c r="BA450" i="3"/>
  <c r="BA453" i="3"/>
  <c r="AZ453" i="3" s="1"/>
  <c r="BA455" i="3"/>
  <c r="AZ455" i="3" s="1"/>
  <c r="BL457" i="3"/>
  <c r="BL460" i="3"/>
  <c r="BL461" i="3"/>
  <c r="BL463" i="3"/>
  <c r="G465" i="3"/>
  <c r="BA471" i="3"/>
  <c r="AZ471" i="3" s="1"/>
  <c r="G486" i="3"/>
  <c r="G488" i="3"/>
  <c r="BA349" i="3"/>
  <c r="AZ349" i="3" s="1"/>
  <c r="G551" i="3"/>
  <c r="BL550" i="3"/>
  <c r="G542"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39" i="3"/>
  <c r="BL441" i="3"/>
  <c r="AZ441" i="3" s="1"/>
  <c r="BL442" i="3"/>
  <c r="BL444" i="3"/>
  <c r="AZ444" i="3" s="1"/>
  <c r="G446" i="3"/>
  <c r="BL448" i="3"/>
  <c r="AZ448" i="3" s="1"/>
  <c r="G450" i="3"/>
  <c r="BA454" i="3"/>
  <c r="AZ454" i="3" s="1"/>
  <c r="BA457" i="3"/>
  <c r="BA459" i="3"/>
  <c r="BA460" i="3"/>
  <c r="AZ460" i="3" s="1"/>
  <c r="BA461" i="3"/>
  <c r="AZ461" i="3" s="1"/>
  <c r="BL464" i="3"/>
  <c r="AZ464" i="3" s="1"/>
  <c r="BL466" i="3"/>
  <c r="G468" i="3"/>
  <c r="BA483" i="3"/>
  <c r="BL483" i="3"/>
  <c r="BL489" i="3"/>
  <c r="BA333" i="3"/>
  <c r="BL353" i="3"/>
  <c r="AZ353" i="3" s="1"/>
  <c r="BA358" i="3"/>
  <c r="AZ358" i="3" s="1"/>
  <c r="BA388" i="3"/>
  <c r="AZ388" i="3" s="1"/>
  <c r="BA396" i="3"/>
  <c r="BA209" i="3"/>
  <c r="BL217" i="3"/>
  <c r="AZ217" i="3" s="1"/>
  <c r="BA219" i="3"/>
  <c r="AZ219" i="3" s="1"/>
  <c r="BA221" i="3"/>
  <c r="BA223" i="3"/>
  <c r="BL228" i="3"/>
  <c r="AZ228" i="3" s="1"/>
  <c r="BA230" i="3"/>
  <c r="AZ230" i="3" s="1"/>
  <c r="BL232" i="3"/>
  <c r="BL234" i="3"/>
  <c r="BA236" i="3"/>
  <c r="BA238" i="3"/>
  <c r="AZ238" i="3" s="1"/>
  <c r="BA243" i="3"/>
  <c r="AZ243" i="3" s="1"/>
  <c r="G190" i="3"/>
  <c r="F40" i="68"/>
  <c r="C21" i="68"/>
  <c r="C40" i="68"/>
  <c r="C56" i="71"/>
  <c r="D55" i="71"/>
  <c r="N67" i="71"/>
  <c r="B66" i="71"/>
  <c r="F66" i="71"/>
  <c r="Q67" i="71"/>
  <c r="T80" i="71"/>
  <c r="C79" i="71"/>
  <c r="D80" i="7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G257" i="3"/>
  <c r="BL257" i="3"/>
  <c r="AZ257" i="3" s="1"/>
  <c r="BL258" i="3"/>
  <c r="G259" i="3"/>
  <c r="BA262" i="3"/>
  <c r="AZ262" i="3" s="1"/>
  <c r="G265" i="3"/>
  <c r="BL265" i="3"/>
  <c r="AZ265" i="3" s="1"/>
  <c r="G267" i="3"/>
  <c r="G269" i="3"/>
  <c r="BA273" i="3"/>
  <c r="BA278" i="3"/>
  <c r="AZ278" i="3" s="1"/>
  <c r="BA280" i="3"/>
  <c r="AZ280" i="3" s="1"/>
  <c r="BL283" i="3"/>
  <c r="AZ283" i="3" s="1"/>
  <c r="BL284" i="3"/>
  <c r="G288" i="3"/>
  <c r="BL292" i="3"/>
  <c r="BA294" i="3"/>
  <c r="BL295" i="3"/>
  <c r="BA298" i="3"/>
  <c r="AZ298" i="3" s="1"/>
  <c r="BL301" i="3"/>
  <c r="AZ301" i="3" s="1"/>
  <c r="BL302" i="3"/>
  <c r="BA114" i="3"/>
  <c r="BL123" i="3"/>
  <c r="AZ123" i="3" s="1"/>
  <c r="BA129" i="3"/>
  <c r="BL133" i="3"/>
  <c r="AZ133" i="3" s="1"/>
  <c r="BL134" i="3"/>
  <c r="D54" i="71"/>
  <c r="AA34" i="71"/>
  <c r="AA30" i="71"/>
  <c r="AA3" i="71"/>
  <c r="G364" i="3"/>
  <c r="BA367" i="3"/>
  <c r="AZ367" i="3" s="1"/>
  <c r="BA370" i="3"/>
  <c r="AZ370" i="3" s="1"/>
  <c r="BA386" i="3"/>
  <c r="AZ386" i="3" s="1"/>
  <c r="G397" i="3"/>
  <c r="G210" i="3"/>
  <c r="BA216" i="3"/>
  <c r="AZ216" i="3" s="1"/>
  <c r="BA218" i="3"/>
  <c r="AZ218" i="3" s="1"/>
  <c r="BL218" i="3"/>
  <c r="BL220" i="3"/>
  <c r="BL221" i="3"/>
  <c r="G222" i="3"/>
  <c r="BL223" i="3"/>
  <c r="G224" i="3"/>
  <c r="BA229" i="3"/>
  <c r="AZ229" i="3" s="1"/>
  <c r="BL229" i="3"/>
  <c r="BL231" i="3"/>
  <c r="BA247" i="3"/>
  <c r="BL247" i="3"/>
  <c r="BA249" i="3"/>
  <c r="AZ249" i="3" s="1"/>
  <c r="BL249" i="3"/>
  <c r="BA251" i="3"/>
  <c r="BL251" i="3"/>
  <c r="BA253" i="3"/>
  <c r="BL260" i="3"/>
  <c r="BL263" i="3"/>
  <c r="AZ263" i="3" s="1"/>
  <c r="BL270" i="3"/>
  <c r="AZ270" i="3" s="1"/>
  <c r="BA272" i="3"/>
  <c r="AZ272" i="3" s="1"/>
  <c r="BL275" i="3"/>
  <c r="AZ275" i="3" s="1"/>
  <c r="G277" i="3"/>
  <c r="G280" i="3"/>
  <c r="BL285" i="3"/>
  <c r="BL287" i="3"/>
  <c r="BA290" i="3"/>
  <c r="G297" i="3"/>
  <c r="BL299" i="3"/>
  <c r="BL113" i="3"/>
  <c r="BL115" i="3"/>
  <c r="AZ115" i="3" s="1"/>
  <c r="BA118" i="3"/>
  <c r="AZ118" i="3" s="1"/>
  <c r="BL118" i="3"/>
  <c r="BA122" i="3"/>
  <c r="AZ122" i="3" s="1"/>
  <c r="BA128" i="3"/>
  <c r="AZ128" i="3" s="1"/>
  <c r="BA137" i="3"/>
  <c r="AZ137" i="3" s="1"/>
  <c r="BL138" i="3"/>
  <c r="BA140" i="3"/>
  <c r="AZ140" i="3" s="1"/>
  <c r="BA142" i="3"/>
  <c r="BL149" i="3"/>
  <c r="AZ149" i="3" s="1"/>
  <c r="BL150" i="3"/>
  <c r="AZ150" i="3" s="1"/>
  <c r="BA152" i="3"/>
  <c r="AZ152" i="3" s="1"/>
  <c r="BA154" i="3"/>
  <c r="AZ154" i="3" s="1"/>
  <c r="BA160" i="3"/>
  <c r="AZ160" i="3" s="1"/>
  <c r="BL167" i="3"/>
  <c r="AZ167" i="3" s="1"/>
  <c r="BA173" i="3"/>
  <c r="AZ173" i="3" s="1"/>
  <c r="BA174" i="3"/>
  <c r="BL179" i="3"/>
  <c r="AZ179" i="3" s="1"/>
  <c r="BA181" i="3"/>
  <c r="AZ181" i="3" s="1"/>
  <c r="BA182" i="3"/>
  <c r="AZ182" i="3" s="1"/>
  <c r="P27" i="6"/>
  <c r="BA350" i="3"/>
  <c r="AZ350" i="3" s="1"/>
  <c r="BA354" i="3"/>
  <c r="BA366" i="3"/>
  <c r="AZ366" i="3" s="1"/>
  <c r="BL375" i="3"/>
  <c r="AZ375" i="3" s="1"/>
  <c r="BA239" i="3"/>
  <c r="AZ239" i="3" s="1"/>
  <c r="BL239" i="3"/>
  <c r="BA241" i="3"/>
  <c r="BL241" i="3"/>
  <c r="BA244" i="3"/>
  <c r="AZ244" i="3" s="1"/>
  <c r="BL244" i="3"/>
  <c r="BA246" i="3"/>
  <c r="BA252" i="3"/>
  <c r="AZ252" i="3" s="1"/>
  <c r="BA254" i="3"/>
  <c r="AZ254" i="3" s="1"/>
  <c r="BA256" i="3"/>
  <c r="AZ256" i="3" s="1"/>
  <c r="BL256" i="3"/>
  <c r="BA258" i="3"/>
  <c r="BL264" i="3"/>
  <c r="BL266" i="3"/>
  <c r="BA268" i="3"/>
  <c r="BL273" i="3"/>
  <c r="G274" i="3"/>
  <c r="BA277" i="3"/>
  <c r="BL277" i="3"/>
  <c r="BA282" i="3"/>
  <c r="BL282" i="3"/>
  <c r="BA284" i="3"/>
  <c r="AZ284" i="3" s="1"/>
  <c r="BL290" i="3"/>
  <c r="BL291" i="3"/>
  <c r="AZ291" i="3" s="1"/>
  <c r="BL293" i="3"/>
  <c r="BL294" i="3"/>
  <c r="BA297" i="3"/>
  <c r="BL297" i="3"/>
  <c r="BL300" i="3"/>
  <c r="BA302" i="3"/>
  <c r="AZ302" i="3" s="1"/>
  <c r="G115" i="3"/>
  <c r="BA117" i="3"/>
  <c r="BA126" i="3"/>
  <c r="BA134" i="3"/>
  <c r="BL139" i="3"/>
  <c r="AZ139" i="3" s="1"/>
  <c r="G140" i="3"/>
  <c r="BL141" i="3"/>
  <c r="BL143" i="3"/>
  <c r="AZ143" i="3" s="1"/>
  <c r="G146" i="3"/>
  <c r="G147" i="3"/>
  <c r="G154" i="3"/>
  <c r="G156" i="3"/>
  <c r="BL157" i="3"/>
  <c r="AZ157" i="3" s="1"/>
  <c r="BL159" i="3"/>
  <c r="AZ159" i="3" s="1"/>
  <c r="G160" i="3"/>
  <c r="BL169" i="3"/>
  <c r="BL170" i="3"/>
  <c r="G171" i="3"/>
  <c r="BL177" i="3"/>
  <c r="AZ177" i="3" s="1"/>
  <c r="G179" i="3"/>
  <c r="BL183" i="3"/>
  <c r="AZ183" i="3" s="1"/>
  <c r="BA186" i="3"/>
  <c r="AZ186" i="3" s="1"/>
  <c r="BL205" i="3"/>
  <c r="BL23" i="3"/>
  <c r="BA185" i="3"/>
  <c r="BL191" i="3"/>
  <c r="AZ191" i="3" s="1"/>
  <c r="BA193" i="3"/>
  <c r="BA196" i="3"/>
  <c r="AZ196" i="3" s="1"/>
  <c r="G203" i="3"/>
  <c r="BA205" i="3"/>
  <c r="BL20" i="3"/>
  <c r="BA21" i="3"/>
  <c r="AZ21" i="3" s="1"/>
  <c r="BA25" i="3"/>
  <c r="BA26" i="3"/>
  <c r="BL28" i="3"/>
  <c r="BA29" i="3"/>
  <c r="AZ29" i="3" s="1"/>
  <c r="BA36" i="3"/>
  <c r="BL38" i="3"/>
  <c r="BA39" i="3"/>
  <c r="AZ39" i="3" s="1"/>
  <c r="BL47" i="3"/>
  <c r="AZ47" i="3" s="1"/>
  <c r="G50" i="3"/>
  <c r="G52" i="3"/>
  <c r="BA52" i="3"/>
  <c r="BL54" i="3"/>
  <c r="AC29" i="39"/>
  <c r="W29" i="39"/>
  <c r="E28" i="71"/>
  <c r="AA27" i="71"/>
  <c r="AA28" i="71"/>
  <c r="D38" i="71"/>
  <c r="C39" i="71"/>
  <c r="F34" i="71"/>
  <c r="F35" i="71" s="1"/>
  <c r="F36" i="71" s="1"/>
  <c r="V36" i="71" s="1"/>
  <c r="AB33" i="71"/>
  <c r="AB28" i="71"/>
  <c r="AB32" i="71"/>
  <c r="AB27" i="71"/>
  <c r="C44" i="71"/>
  <c r="D43" i="71"/>
  <c r="T72" i="71"/>
  <c r="C71" i="71"/>
  <c r="U76" i="71"/>
  <c r="E75" i="71"/>
  <c r="E74" i="71" s="1"/>
  <c r="V24" i="71"/>
  <c r="E23" i="71"/>
  <c r="E22" i="71" s="1"/>
  <c r="E21" i="71" s="1"/>
  <c r="E20" i="71"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AZ28" i="3" s="1"/>
  <c r="BA31" i="3"/>
  <c r="BA32" i="3"/>
  <c r="G38" i="3"/>
  <c r="BA38" i="3"/>
  <c r="BA41" i="3"/>
  <c r="BA42" i="3"/>
  <c r="G46" i="3"/>
  <c r="G47" i="3"/>
  <c r="BL48" i="3"/>
  <c r="BA55" i="3"/>
  <c r="AZ55" i="3" s="1"/>
  <c r="BA56" i="3"/>
  <c r="BA57" i="3"/>
  <c r="BL58" i="3"/>
  <c r="BA60" i="3"/>
  <c r="BA71" i="3"/>
  <c r="BA88" i="3"/>
  <c r="AZ88" i="3" s="1"/>
  <c r="BA91" i="3"/>
  <c r="AZ91" i="3" s="1"/>
  <c r="BL92" i="3"/>
  <c r="C31" i="71"/>
  <c r="Y30" i="71"/>
  <c r="Z30" i="71" s="1"/>
  <c r="AA38" i="71"/>
  <c r="AA39" i="71"/>
  <c r="D84" i="71"/>
  <c r="C83" i="71"/>
  <c r="BL193" i="3"/>
  <c r="G194" i="3"/>
  <c r="BL194" i="3"/>
  <c r="AZ194" i="3" s="1"/>
  <c r="BA198" i="3"/>
  <c r="AZ198" i="3" s="1"/>
  <c r="G204" i="3"/>
  <c r="BL206" i="3"/>
  <c r="BA19" i="3"/>
  <c r="AZ19" i="3" s="1"/>
  <c r="G22" i="3"/>
  <c r="G24" i="3"/>
  <c r="G25" i="3"/>
  <c r="BA27" i="3"/>
  <c r="G30" i="3"/>
  <c r="BL30" i="3"/>
  <c r="BL31" i="3"/>
  <c r="G35" i="3"/>
  <c r="G36" i="3"/>
  <c r="G40" i="3"/>
  <c r="BL40" i="3"/>
  <c r="BL41" i="3"/>
  <c r="G45" i="3"/>
  <c r="BL45" i="3"/>
  <c r="AZ45" i="3" s="1"/>
  <c r="BA48" i="3"/>
  <c r="BA49" i="3"/>
  <c r="AZ49" i="3" s="1"/>
  <c r="BL52" i="3"/>
  <c r="G53" i="3"/>
  <c r="BL53" i="3"/>
  <c r="AZ53" i="3" s="1"/>
  <c r="BL57" i="3"/>
  <c r="BA64" i="3"/>
  <c r="AZ64" i="3" s="1"/>
  <c r="BL73" i="3"/>
  <c r="BA74" i="3"/>
  <c r="AZ74" i="3" s="1"/>
  <c r="BA75" i="3"/>
  <c r="BL77" i="3"/>
  <c r="AZ77" i="3" s="1"/>
  <c r="BA79" i="3"/>
  <c r="AZ79" i="3" s="1"/>
  <c r="BL85" i="3"/>
  <c r="BA86" i="3"/>
  <c r="AZ86" i="3" s="1"/>
  <c r="BA87" i="3"/>
  <c r="BL103" i="3"/>
  <c r="AA18" i="36"/>
  <c r="S18" i="36"/>
  <c r="Y27" i="71"/>
  <c r="Z27" i="71" s="1"/>
  <c r="Y26" i="71"/>
  <c r="Z26" i="71" s="1"/>
  <c r="C28" i="71"/>
  <c r="Y28" i="71"/>
  <c r="Z28" i="71" s="1"/>
  <c r="Y25" i="71"/>
  <c r="Z25" i="71" s="1"/>
  <c r="Y35" i="71"/>
  <c r="Z35" i="71" s="1"/>
  <c r="Y37" i="71"/>
  <c r="Z37" i="71" s="1"/>
  <c r="X36" i="71"/>
  <c r="X35" i="71"/>
  <c r="X38" i="71"/>
  <c r="C47" i="71"/>
  <c r="D47" i="71" s="1"/>
  <c r="D46" i="71"/>
  <c r="BL97" i="3"/>
  <c r="AZ97" i="3" s="1"/>
  <c r="BL101" i="3"/>
  <c r="AZ101" i="3" s="1"/>
  <c r="BL102" i="3"/>
  <c r="BL106" i="3"/>
  <c r="BA108" i="3"/>
  <c r="BA110" i="3"/>
  <c r="AZ110" i="3" s="1"/>
  <c r="F3" i="35"/>
  <c r="S21" i="33"/>
  <c r="S21" i="37"/>
  <c r="B77" i="43"/>
  <c r="O67" i="71"/>
  <c r="AB25" i="71"/>
  <c r="X26" i="71"/>
  <c r="C35" i="71"/>
  <c r="E38" i="71"/>
  <c r="E39" i="71" s="1"/>
  <c r="E40" i="71" s="1"/>
  <c r="U40" i="71" s="1"/>
  <c r="B34" i="71"/>
  <c r="B35" i="71" s="1"/>
  <c r="B36" i="71" s="1"/>
  <c r="S36" i="71" s="1"/>
  <c r="X33" i="71"/>
  <c r="AB37" i="71"/>
  <c r="BA51" i="3"/>
  <c r="AZ51" i="3" s="1"/>
  <c r="G54" i="3"/>
  <c r="G55" i="3"/>
  <c r="BL56" i="3"/>
  <c r="BA58" i="3"/>
  <c r="AZ58" i="3" s="1"/>
  <c r="BL59" i="3"/>
  <c r="AZ59" i="3" s="1"/>
  <c r="BL60" i="3"/>
  <c r="BA61" i="3"/>
  <c r="AZ61" i="3" s="1"/>
  <c r="BA68" i="3"/>
  <c r="BA73" i="3"/>
  <c r="BA80" i="3"/>
  <c r="G84" i="3"/>
  <c r="BL84" i="3"/>
  <c r="AZ84" i="3" s="1"/>
  <c r="BA89" i="3"/>
  <c r="G99" i="3"/>
  <c r="G103" i="3"/>
  <c r="BA103" i="3"/>
  <c r="AZ103" i="3" s="1"/>
  <c r="BA104" i="3"/>
  <c r="BA106" i="3"/>
  <c r="BL108" i="3"/>
  <c r="G110" i="3"/>
  <c r="BL111" i="3"/>
  <c r="P66" i="71"/>
  <c r="C66" i="71"/>
  <c r="AB26" i="71"/>
  <c r="S28" i="71"/>
  <c r="X28" i="71"/>
  <c r="X32" i="71"/>
  <c r="F40" i="71"/>
  <c r="V40" i="71" s="1"/>
  <c r="AB38" i="71"/>
  <c r="F75" i="71"/>
  <c r="F74" i="71" s="1"/>
  <c r="G62" i="3"/>
  <c r="BL62" i="3"/>
  <c r="AZ62" i="3" s="1"/>
  <c r="BL63" i="3"/>
  <c r="AZ63" i="3" s="1"/>
  <c r="G65" i="3"/>
  <c r="BL65" i="3"/>
  <c r="AZ65" i="3" s="1"/>
  <c r="BL66" i="3"/>
  <c r="AZ66" i="3" s="1"/>
  <c r="BL67" i="3"/>
  <c r="AZ67" i="3" s="1"/>
  <c r="G69" i="3"/>
  <c r="G70" i="3"/>
  <c r="BL70" i="3"/>
  <c r="AZ70" i="3" s="1"/>
  <c r="BL71" i="3"/>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E50" i="43"/>
  <c r="B48" i="43"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80" i="43"/>
  <c r="D61" i="43"/>
  <c r="P61" i="15"/>
  <c r="C94" i="9"/>
  <c r="C92" i="9"/>
  <c r="C48" i="68"/>
  <c r="C30" i="68"/>
  <c r="C77" i="9"/>
  <c r="C74" i="9" s="1"/>
  <c r="C30" i="11"/>
  <c r="C21" i="69"/>
  <c r="J84" i="43"/>
  <c r="J85" i="43"/>
  <c r="J86" i="43"/>
  <c r="J87" i="43"/>
  <c r="J88" i="43"/>
  <c r="J89" i="43"/>
  <c r="J90" i="43"/>
  <c r="D83" i="43"/>
  <c r="E83" i="43" s="1"/>
  <c r="B81" i="43" s="1"/>
  <c r="D66" i="43"/>
  <c r="D64" i="43"/>
  <c r="D62" i="43"/>
  <c r="D67" i="43"/>
  <c r="D65" i="43"/>
  <c r="D63" i="43"/>
  <c r="D69"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G73" i="43" s="1"/>
  <c r="H90" i="43"/>
  <c r="O23" i="43"/>
  <c r="I18" i="43"/>
  <c r="E17" i="43" s="1"/>
  <c r="C17" i="43" s="1"/>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G76" i="43" s="1"/>
  <c r="H72" i="43"/>
  <c r="G72" i="43" s="1"/>
  <c r="H63" i="43"/>
  <c r="H61" i="43"/>
  <c r="H53" i="43"/>
  <c r="H79" i="43"/>
  <c r="G79" i="43" s="1"/>
  <c r="D17" i="53"/>
  <c r="B36" i="72" s="1"/>
  <c r="D124" i="9"/>
  <c r="H74" i="43"/>
  <c r="G74" i="43" s="1"/>
  <c r="H57" i="43"/>
  <c r="H66" i="43"/>
  <c r="H68" i="43"/>
  <c r="H80" i="43"/>
  <c r="G80" i="43" s="1"/>
  <c r="H77" i="43"/>
  <c r="G77" i="43" s="1"/>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F50" i="15"/>
  <c r="F51" i="15"/>
  <c r="F71" i="15"/>
  <c r="C6" i="15"/>
  <c r="F66" i="67"/>
  <c r="L59" i="15"/>
  <c r="N59" i="15"/>
  <c r="L58" i="15"/>
  <c r="M59" i="15"/>
  <c r="Q71" i="67"/>
  <c r="F71" i="67"/>
  <c r="C27" i="15"/>
  <c r="N59" i="67"/>
  <c r="L59" i="67"/>
  <c r="L58" i="67"/>
  <c r="M59" i="67"/>
  <c r="B13" i="70"/>
  <c r="M7" i="67"/>
  <c r="F50" i="67"/>
  <c r="F68" i="67"/>
  <c r="D9" i="69"/>
  <c r="C36" i="69"/>
  <c r="D9" i="68"/>
  <c r="M6" i="15"/>
  <c r="C16" i="67"/>
  <c r="J15" i="15"/>
  <c r="C16" i="15"/>
  <c r="F40" i="15"/>
  <c r="D7" i="73"/>
  <c r="M26" i="67"/>
  <c r="F36" i="67"/>
  <c r="M9" i="15"/>
  <c r="M9" i="67"/>
  <c r="F38" i="15"/>
  <c r="D3" i="73"/>
  <c r="M28" i="15"/>
  <c r="F26" i="67"/>
  <c r="F36" i="15"/>
  <c r="F37" i="15"/>
  <c r="D5" i="73"/>
  <c r="D4" i="73"/>
  <c r="W14" i="36" l="1"/>
  <c r="S14" i="36"/>
  <c r="M77" i="43"/>
  <c r="N77" i="43" s="1"/>
  <c r="K77" i="43"/>
  <c r="J77" i="43" s="1"/>
  <c r="D77" i="43" s="1"/>
  <c r="M79" i="43"/>
  <c r="N79" i="43" s="1"/>
  <c r="K79" i="43"/>
  <c r="J79" i="43" s="1"/>
  <c r="M72" i="43"/>
  <c r="N72" i="43" s="1"/>
  <c r="K72" i="43"/>
  <c r="M74" i="43"/>
  <c r="N74" i="43" s="1"/>
  <c r="K74" i="43"/>
  <c r="K80" i="43"/>
  <c r="J80" i="43" s="1"/>
  <c r="M80" i="43"/>
  <c r="N80" i="43" s="1"/>
  <c r="M76" i="43"/>
  <c r="N76" i="43" s="1"/>
  <c r="K76" i="43"/>
  <c r="M73" i="43"/>
  <c r="N73" i="43" s="1"/>
  <c r="K73" i="43"/>
  <c r="K78" i="43"/>
  <c r="M78" i="43"/>
  <c r="N78" i="43" s="1"/>
  <c r="C48" i="69"/>
  <c r="C30" i="69"/>
  <c r="F26" i="43"/>
  <c r="D26" i="43" s="1"/>
  <c r="C25" i="43" s="1"/>
  <c r="P6" i="1"/>
  <c r="C13" i="12" s="1"/>
  <c r="Q16" i="1"/>
  <c r="F27" i="69" s="1"/>
  <c r="C47" i="69" s="1"/>
  <c r="D45" i="69" s="1"/>
  <c r="H16" i="1"/>
  <c r="F30" i="6"/>
  <c r="K16" i="1"/>
  <c r="F64" i="15"/>
  <c r="F66" i="15"/>
  <c r="C27" i="67"/>
  <c r="F65" i="15"/>
  <c r="F64" i="67"/>
  <c r="F68" i="15"/>
  <c r="J6" i="67"/>
  <c r="J18" i="67" s="1"/>
  <c r="G26" i="43"/>
  <c r="G5" i="3"/>
  <c r="B3" i="3" s="1"/>
  <c r="E539" i="3" s="1"/>
  <c r="AZ108" i="3"/>
  <c r="C82" i="71"/>
  <c r="D82" i="71" s="1"/>
  <c r="D83" i="71"/>
  <c r="AZ57" i="3"/>
  <c r="C40" i="71"/>
  <c r="D39" i="71"/>
  <c r="AZ277" i="3"/>
  <c r="AZ550" i="3"/>
  <c r="AZ401" i="3"/>
  <c r="AC25" i="37"/>
  <c r="W25" i="37"/>
  <c r="S36" i="39"/>
  <c r="AA36" i="39"/>
  <c r="AB25" i="37"/>
  <c r="U25" i="37"/>
  <c r="AB36" i="39"/>
  <c r="U36" i="39"/>
  <c r="U25" i="36"/>
  <c r="AB25" i="36"/>
  <c r="S11" i="35"/>
  <c r="AA11" i="35"/>
  <c r="S30" i="34"/>
  <c r="AA30" i="34"/>
  <c r="W12" i="34"/>
  <c r="AC12" i="34"/>
  <c r="AZ587" i="3"/>
  <c r="S14" i="21"/>
  <c r="AA14" i="21"/>
  <c r="G16" i="1"/>
  <c r="F10" i="39" s="1"/>
  <c r="S10" i="39" s="1"/>
  <c r="AZ75" i="3"/>
  <c r="D31" i="71"/>
  <c r="C32" i="71"/>
  <c r="AZ71" i="3"/>
  <c r="AZ27" i="3"/>
  <c r="AZ52" i="3"/>
  <c r="AZ126" i="3"/>
  <c r="W12" i="35"/>
  <c r="AC12" i="35"/>
  <c r="U23" i="35"/>
  <c r="AB23" i="35"/>
  <c r="AA33" i="36"/>
  <c r="S33" i="36"/>
  <c r="S25" i="36"/>
  <c r="AA25" i="36"/>
  <c r="W11" i="35"/>
  <c r="AC11" i="35"/>
  <c r="AB30" i="34"/>
  <c r="U30" i="34"/>
  <c r="S31" i="33"/>
  <c r="AA31" i="33"/>
  <c r="O65" i="71"/>
  <c r="D66" i="71"/>
  <c r="O66" i="71"/>
  <c r="T28" i="71"/>
  <c r="D28" i="71"/>
  <c r="U28" i="71" s="1"/>
  <c r="C27" i="71"/>
  <c r="D44" i="71"/>
  <c r="T44" i="71"/>
  <c r="AZ38" i="3"/>
  <c r="AZ205" i="3"/>
  <c r="AZ282" i="3"/>
  <c r="AZ251" i="3"/>
  <c r="AZ247" i="3"/>
  <c r="AZ273" i="3"/>
  <c r="D56" i="71"/>
  <c r="T56" i="71"/>
  <c r="AZ459" i="3"/>
  <c r="AZ404" i="3"/>
  <c r="AC23" i="35"/>
  <c r="W23" i="35"/>
  <c r="AC46" i="34"/>
  <c r="W46" i="34"/>
  <c r="AB37" i="39"/>
  <c r="U37" i="39"/>
  <c r="U31" i="40"/>
  <c r="AB31" i="40"/>
  <c r="W14" i="21"/>
  <c r="AC14" i="21"/>
  <c r="J6" i="15"/>
  <c r="J18" i="15" s="1"/>
  <c r="E26" i="43"/>
  <c r="C36" i="71"/>
  <c r="D35" i="71"/>
  <c r="AZ41" i="3"/>
  <c r="AZ31" i="3"/>
  <c r="C70" i="71"/>
  <c r="D70" i="71" s="1"/>
  <c r="D71" i="71"/>
  <c r="AZ25" i="3"/>
  <c r="AZ297" i="3"/>
  <c r="AZ241" i="3"/>
  <c r="AZ294" i="3"/>
  <c r="C78" i="71"/>
  <c r="D78" i="71" s="1"/>
  <c r="D79" i="71"/>
  <c r="N65" i="71"/>
  <c r="N66" i="71"/>
  <c r="AZ223" i="3"/>
  <c r="AZ483" i="3"/>
  <c r="AZ457" i="3"/>
  <c r="AZ414" i="3"/>
  <c r="AZ432" i="3"/>
  <c r="AZ403" i="3"/>
  <c r="AA25" i="37"/>
  <c r="S25" i="37"/>
  <c r="AB33" i="36"/>
  <c r="U33" i="36"/>
  <c r="S46" i="34"/>
  <c r="AA46" i="34"/>
  <c r="U12" i="34"/>
  <c r="AB12" i="34"/>
  <c r="S13" i="33"/>
  <c r="AA13" i="33"/>
  <c r="W37" i="39"/>
  <c r="AC37" i="39"/>
  <c r="AZ561" i="3"/>
  <c r="AC31" i="40"/>
  <c r="W31" i="40"/>
  <c r="U14" i="21"/>
  <c r="AB14" i="21"/>
  <c r="J7" i="37"/>
  <c r="K1" i="73"/>
  <c r="E510" i="3"/>
  <c r="R6" i="3"/>
  <c r="I3" i="6"/>
  <c r="E56" i="3"/>
  <c r="E363" i="3"/>
  <c r="E425"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209" i="3"/>
  <c r="E354" i="3"/>
  <c r="E19" i="3"/>
  <c r="E323" i="3"/>
  <c r="E582" i="3"/>
  <c r="E436" i="3"/>
  <c r="E47" i="3"/>
  <c r="E266" i="3"/>
  <c r="E373" i="3"/>
  <c r="E542" i="3"/>
  <c r="E259" i="3"/>
  <c r="E462" i="3"/>
  <c r="Y6" i="3"/>
  <c r="E179" i="3"/>
  <c r="E488" i="3"/>
  <c r="E195" i="3"/>
  <c r="E167" i="3"/>
  <c r="E413" i="3"/>
  <c r="E98" i="3"/>
  <c r="E307" i="3"/>
  <c r="E122" i="3"/>
  <c r="E461" i="3"/>
  <c r="E306" i="3"/>
  <c r="E157" i="3"/>
  <c r="E532" i="3"/>
  <c r="E529" i="3"/>
  <c r="E288" i="3"/>
  <c r="W6" i="3"/>
  <c r="E475" i="3"/>
  <c r="E54" i="3"/>
  <c r="E257" i="3"/>
  <c r="E357" i="3"/>
  <c r="E397" i="3"/>
  <c r="E196" i="3"/>
  <c r="E379" i="3"/>
  <c r="U6"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H6" i="3" s="1"/>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60" i="40"/>
  <c r="F31" i="6"/>
  <c r="E51" i="40"/>
  <c r="E16" i="6"/>
  <c r="E58" i="40"/>
  <c r="E62" i="39"/>
  <c r="M14" i="1"/>
  <c r="D5" i="43"/>
  <c r="H10" i="40"/>
  <c r="AB10" i="40" s="1"/>
  <c r="C7" i="43"/>
  <c r="C5" i="43" s="1"/>
  <c r="D10" i="52"/>
  <c r="D125" i="9"/>
  <c r="D11" i="52" s="1"/>
  <c r="B7" i="74"/>
  <c r="C7" i="74" s="1"/>
  <c r="F67" i="39"/>
  <c r="F59" i="67"/>
  <c r="H7" i="37"/>
  <c r="AB7" i="37" s="1"/>
  <c r="T42" i="37" s="1"/>
  <c r="G42" i="37" s="1"/>
  <c r="H7" i="33"/>
  <c r="J7" i="33"/>
  <c r="D65" i="40"/>
  <c r="E63" i="40"/>
  <c r="F48" i="35"/>
  <c r="AC7" i="37"/>
  <c r="W7" i="37"/>
  <c r="F7" i="33"/>
  <c r="E58" i="21"/>
  <c r="AC7" i="36"/>
  <c r="V36" i="36" s="1"/>
  <c r="I36" i="36" s="1"/>
  <c r="W7" i="36"/>
  <c r="F7" i="37"/>
  <c r="M17" i="67"/>
  <c r="M17" i="15"/>
  <c r="F59" i="15"/>
  <c r="P28" i="43"/>
  <c r="B66" i="40" s="1"/>
  <c r="P25" i="43"/>
  <c r="C49" i="67"/>
  <c r="P29" i="43"/>
  <c r="P27" i="43"/>
  <c r="B70" i="39" s="1"/>
  <c r="C49" i="15"/>
  <c r="C32" i="67"/>
  <c r="Q60" i="67"/>
  <c r="Q73" i="67"/>
  <c r="M11" i="67"/>
  <c r="J10" i="67" s="1"/>
  <c r="F11" i="15"/>
  <c r="M11" i="15"/>
  <c r="J10" i="15" s="1"/>
  <c r="F11" i="67"/>
  <c r="F1" i="15"/>
  <c r="Q52" i="15"/>
  <c r="C32" i="15"/>
  <c r="F1" i="67"/>
  <c r="Q52" i="67"/>
  <c r="Q60" i="15"/>
  <c r="Q73" i="15"/>
  <c r="Q61" i="67"/>
  <c r="Q74" i="67"/>
  <c r="Q74" i="15"/>
  <c r="Q61" i="15"/>
  <c r="AE11" i="1"/>
  <c r="AE9" i="1"/>
  <c r="AE7" i="1"/>
  <c r="AE8" i="1"/>
  <c r="AE12" i="1"/>
  <c r="AE10" i="1"/>
  <c r="G1" i="73"/>
  <c r="AE6" i="1"/>
  <c r="F41" i="67"/>
  <c r="J10" i="40" l="1"/>
  <c r="AC10" i="40" s="1"/>
  <c r="U7" i="36"/>
  <c r="AA7" i="36"/>
  <c r="R36" i="36" s="1"/>
  <c r="E36" i="36" s="1"/>
  <c r="J76" i="43"/>
  <c r="D76" i="43"/>
  <c r="J74" i="43"/>
  <c r="D74" i="43"/>
  <c r="J78" i="43"/>
  <c r="D78" i="43"/>
  <c r="J73" i="43"/>
  <c r="D73" i="43"/>
  <c r="J72" i="43"/>
  <c r="D72" i="43"/>
  <c r="E72" i="43" s="1"/>
  <c r="B70" i="43" s="1"/>
  <c r="F27" i="68"/>
  <c r="C29" i="68" s="1"/>
  <c r="D27" i="68" s="1"/>
  <c r="J10" i="39"/>
  <c r="W10" i="39" s="1"/>
  <c r="F27" i="11"/>
  <c r="C29" i="11" s="1"/>
  <c r="D27" i="11" s="1"/>
  <c r="F28" i="12"/>
  <c r="C29" i="12" s="1"/>
  <c r="D28" i="12" s="1"/>
  <c r="F45" i="69"/>
  <c r="C29" i="69"/>
  <c r="D27" i="69" s="1"/>
  <c r="AA10" i="39"/>
  <c r="F10" i="40"/>
  <c r="S10" i="40" s="1"/>
  <c r="H10" i="39"/>
  <c r="U10" i="39" s="1"/>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76" i="3"/>
  <c r="E192" i="3"/>
  <c r="E435" i="3"/>
  <c r="E541" i="3"/>
  <c r="E199"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389" i="3"/>
  <c r="E95" i="3"/>
  <c r="E554" i="3"/>
  <c r="E442" i="3"/>
  <c r="E536"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09" i="3"/>
  <c r="E241" i="3"/>
  <c r="E417" i="3"/>
  <c r="E449" i="3"/>
  <c r="E575" i="3"/>
  <c r="E3" i="6"/>
  <c r="J5" i="67"/>
  <c r="J24" i="67" s="1"/>
  <c r="J5" i="15"/>
  <c r="J24" i="15" s="1"/>
  <c r="E484" i="3"/>
  <c r="E544" i="3"/>
  <c r="E292" i="3"/>
  <c r="E152" i="3"/>
  <c r="E479" i="3"/>
  <c r="E517" i="3"/>
  <c r="E255" i="3"/>
  <c r="E466" i="3"/>
  <c r="E499" i="3"/>
  <c r="E212" i="3"/>
  <c r="E467" i="3"/>
  <c r="E59" i="3"/>
  <c r="E349" i="3"/>
  <c r="E258" i="3"/>
  <c r="E37" i="3"/>
  <c r="E491" i="3"/>
  <c r="AP6" i="3"/>
  <c r="E430" i="3"/>
  <c r="E502" i="3"/>
  <c r="E286" i="3"/>
  <c r="T36" i="71"/>
  <c r="D36" i="71"/>
  <c r="T40" i="71"/>
  <c r="D40" i="71"/>
  <c r="C26" i="71"/>
  <c r="D26" i="71" s="1"/>
  <c r="D27" i="71"/>
  <c r="T32" i="71"/>
  <c r="D3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C6" i="69" s="1"/>
  <c r="C7" i="69" s="1"/>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10" i="40"/>
  <c r="W10" i="40"/>
  <c r="AC10" i="39"/>
  <c r="U7" i="37"/>
  <c r="G67" i="39"/>
  <c r="F69" i="39"/>
  <c r="I53" i="34"/>
  <c r="J53" i="34" s="1"/>
  <c r="F58" i="21"/>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41" i="15"/>
  <c r="M27" i="67"/>
  <c r="M27" i="15"/>
  <c r="R37" i="36" l="1"/>
  <c r="C37" i="36" s="1"/>
  <c r="AA10" i="40"/>
  <c r="C47" i="68"/>
  <c r="D45" i="68" s="1"/>
  <c r="F45" i="68"/>
  <c r="AB10" i="39"/>
  <c r="F25" i="12"/>
  <c r="C26" i="12" s="1"/>
  <c r="D25" i="12" s="1"/>
  <c r="AC6" i="3"/>
  <c r="E6" i="3" s="1"/>
  <c r="D116" i="43"/>
  <c r="F22" i="68"/>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F34" i="68" s="1"/>
  <c r="C36" i="68" s="1"/>
  <c r="L16" i="1"/>
  <c r="G42" i="43"/>
  <c r="I42" i="43" s="1"/>
  <c r="H67" i="39"/>
  <c r="G69" i="39"/>
  <c r="E41" i="43"/>
  <c r="C6" i="68" s="1"/>
  <c r="C7" i="68" s="1"/>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G58" i="21"/>
  <c r="C60" i="15"/>
  <c r="C66" i="67"/>
  <c r="C60" i="67"/>
  <c r="D10" i="69"/>
  <c r="C34" i="69"/>
  <c r="D10" i="68"/>
  <c r="C17" i="15"/>
  <c r="C17" i="67"/>
  <c r="C14" i="67"/>
  <c r="C36" i="36" l="1"/>
  <c r="C44" i="11"/>
  <c r="D41" i="11" s="1"/>
  <c r="C44" i="68"/>
  <c r="D41" i="68" s="1"/>
  <c r="C26" i="68"/>
  <c r="D22" i="68" s="1"/>
  <c r="F41" i="68"/>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8" i="69" l="1"/>
  <c r="C5" i="69" s="1"/>
  <c r="C23" i="69" s="1"/>
  <c r="B29" i="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2" i="12" l="1"/>
  <c r="C27" i="12" s="1"/>
  <c r="C25" i="12" s="1"/>
  <c r="C20" i="68"/>
  <c r="C28" i="68" s="1"/>
  <c r="C27" i="68"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F35" i="67"/>
  <c r="M21" i="15"/>
  <c r="F35" i="15"/>
  <c r="C30" i="12" l="1"/>
  <c r="C28" i="12" s="1"/>
  <c r="C32" i="12" s="1"/>
  <c r="B2" i="12" s="1"/>
  <c r="B3" i="12" s="1"/>
  <c r="C25" i="68"/>
  <c r="C22" i="68" s="1"/>
  <c r="C31" i="68"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52" i="68" l="1"/>
  <c r="B2" i="68" s="1"/>
  <c r="B3" i="68" s="1"/>
  <c r="B3" i="69"/>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35" i="9"/>
  <c r="D34" i="9"/>
  <c r="D2" i="21"/>
  <c r="C57" i="68" l="1"/>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4"/>
  <c r="D2" i="36"/>
  <c r="D19" i="9"/>
  <c r="L51" i="15"/>
  <c r="D102" i="9" l="1"/>
  <c r="D21" i="9"/>
  <c r="C8" i="71"/>
  <c r="D9" i="71"/>
  <c r="Q57" i="67"/>
  <c r="Q62" i="67" s="1"/>
  <c r="Q66" i="67"/>
  <c r="Q75" i="67" s="1"/>
  <c r="B3" i="67"/>
  <c r="L57" i="15"/>
  <c r="L60" i="15" s="1"/>
  <c r="Q57" i="15" s="1"/>
  <c r="Q67" i="15"/>
  <c r="B2" i="36"/>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19" i="9"/>
  <c r="AO7" i="1"/>
  <c r="AO8" i="1"/>
  <c r="AO11" i="1"/>
  <c r="D20" i="9"/>
  <c r="AO12" i="1"/>
  <c r="AO10" i="1"/>
  <c r="AO9" i="1"/>
  <c r="C102" i="9" l="1"/>
  <c r="C21" i="9"/>
  <c r="D22" i="9"/>
  <c r="G19" i="9"/>
  <c r="G21" i="9" s="1"/>
  <c r="B3" i="36"/>
  <c r="D103" i="9"/>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AO6" i="1"/>
  <c r="D14" i="74" l="1"/>
  <c r="G14" i="74" s="1"/>
  <c r="C103" i="9"/>
  <c r="G20" i="9"/>
  <c r="E14" i="74"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G4" i="52" s="1"/>
  <c r="B52" i="72" s="1"/>
  <c r="I118" i="9"/>
  <c r="H102" i="9" s="1"/>
  <c r="H118" i="9" l="1"/>
  <c r="H4" i="52" s="1"/>
  <c r="C5" i="74"/>
  <c r="D7" i="53"/>
  <c r="B21" i="72" s="1"/>
  <c r="I4" i="52"/>
  <c r="F118" i="9"/>
  <c r="C105" i="9"/>
  <c r="E118" i="9"/>
  <c r="C104" i="9" l="1"/>
  <c r="H119" i="9"/>
  <c r="H5" i="52" s="1"/>
  <c r="H101" i="9"/>
  <c r="D45" i="9" s="1"/>
  <c r="E4" i="52"/>
  <c r="B48" i="72" s="1"/>
  <c r="D118" i="9"/>
  <c r="F4" i="52"/>
  <c r="B51" i="72" s="1"/>
  <c r="F119" i="9"/>
  <c r="F5" i="52" s="1"/>
  <c r="B53" i="72" s="1"/>
  <c r="H107" i="9" l="1"/>
  <c r="D122" i="9" s="1"/>
  <c r="M48" i="9"/>
  <c r="D5" i="53"/>
  <c r="D6" i="53" s="1"/>
  <c r="B22" i="72" s="1"/>
  <c r="D4" i="52"/>
  <c r="B47" i="72" s="1"/>
  <c r="D119" i="9"/>
  <c r="D5" i="52" s="1"/>
  <c r="B49" i="72" s="1"/>
  <c r="D52" i="9"/>
  <c r="C64" i="9"/>
  <c r="C63" i="9" s="1"/>
  <c r="C67" i="9" s="1"/>
  <c r="C78" i="9"/>
  <c r="C73" i="9" s="1"/>
  <c r="C85" i="9"/>
  <c r="C72" i="9"/>
  <c r="D55" i="9"/>
  <c r="M53" i="9" s="1"/>
  <c r="D53" i="9"/>
  <c r="C93" i="9"/>
  <c r="C86" i="9" s="1"/>
  <c r="M49" i="9" l="1"/>
  <c r="L67" i="9" s="1"/>
  <c r="M67" i="9" s="1"/>
  <c r="D13" i="53"/>
  <c r="D14" i="53" s="1"/>
  <c r="B32" i="72" s="1"/>
  <c r="H108" i="9"/>
  <c r="D15" i="53" s="1"/>
  <c r="B31" i="72" s="1"/>
  <c r="B20" i="72"/>
  <c r="C79" i="9"/>
  <c r="C80" i="9" s="1"/>
  <c r="E80" i="9" s="1"/>
  <c r="E81" i="9" s="1"/>
  <c r="C95" i="9"/>
  <c r="D123" i="9"/>
  <c r="D9" i="52" s="1"/>
  <c r="D8" i="52"/>
  <c r="D59" i="9"/>
  <c r="M55" i="9" s="1"/>
  <c r="C68" i="9"/>
  <c r="D54" i="9" s="1"/>
  <c r="B30" i="72" l="1"/>
  <c r="L66" i="9"/>
  <c r="M66" i="9" s="1"/>
  <c r="L64" i="9"/>
  <c r="M64" i="9" s="1"/>
  <c r="C6" i="74"/>
  <c r="L65" i="9"/>
  <c r="M65" i="9" s="1"/>
  <c r="L63" i="9"/>
  <c r="M63" i="9" s="1"/>
  <c r="L68" i="9"/>
  <c r="M68" i="9" s="1"/>
  <c r="C96" i="9"/>
  <c r="E96" i="9" s="1"/>
  <c r="E97" i="9" s="1"/>
  <c r="C81" i="9"/>
  <c r="M69" i="9" l="1"/>
  <c r="N69" i="9" s="1"/>
  <c r="C97" i="9"/>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<sst xmlns="http://schemas.openxmlformats.org/spreadsheetml/2006/main" count="8305" uniqueCount="3566">
  <si>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</si>
  <si>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</si>
  <si>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</si>
  <si>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</si>
  <si>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</si>
  <si>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</si>
  <si>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</si>
  <si>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</si>
  <si>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</si>
  <si>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</si>
  <si>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</si>
  <si>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</si>
  <si>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</si>
  <si>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</si>
  <si>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</si>
  <si>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</si>
  <si>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</si>
  <si>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</si>
  <si>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</si>
  <si>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</si>
  <si>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</si>
  <si>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</si>
  <si>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</si>
  <si>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</si>
  <si>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</si>
  <si>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</si>
  <si>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</si>
  <si>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</si>
  <si>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</si>
  <si>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</si>
  <si>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</si>
  <si>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</si>
  <si>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</si>
  <si>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</si>
  <si>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</si>
  <si>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</si>
  <si>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</si>
  <si>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</si>
  <si>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</si>
  <si>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</si>
  <si>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</si>
  <si>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</si>
  <si>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</si>
  <si>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</si>
  <si>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</si>
  <si>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</si>
  <si>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</si>
  <si>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</si>
  <si>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</si>
  <si>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</si>
  <si>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</si>
  <si>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</si>
  <si>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</si>
  <si>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</si>
  <si>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</si>
  <si>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</si>
  <si>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</si>
  <si>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</si>
  <si>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</si>
  <si>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</si>
  <si>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</si>
  <si>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</si>
  <si>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</si>
  <si>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</si>
  <si>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</si>
  <si>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</si>
  <si>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</si>
  <si>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</si>
  <si>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</si>
  <si>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</si>
  <si>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</si>
  <si>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</si>
  <si>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</si>
  <si>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</si>
  <si>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</si>
  <si>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</si>
  <si>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</si>
  <si>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</si>
  <si>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</si>
  <si>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</si>
  <si>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</si>
  <si>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</si>
  <si>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</si>
  <si>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</si>
  <si>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</si>
  <si>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</si>
  <si>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</si>
  <si>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</si>
  <si>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</si>
  <si>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</si>
  <si>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</si>
  <si>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</si>
  <si>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</si>
  <si>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</si>
  <si>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</si>
  <si>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</si>
  <si>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</si>
  <si>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</si>
  <si>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</si>
  <si>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</si>
  <si>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</si>
  <si>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</si>
  <si>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</si>
  <si>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</si>
  <si>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</si>
  <si>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</si>
  <si>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</si>
  <si>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</si>
  <si>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</si>
  <si>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</si>
  <si>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</si>
  <si>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</si>
  <si>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</si>
  <si>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</si>
  <si>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</si>
  <si>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</si>
  <si>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</si>
  <si>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</si>
  <si>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</si>
  <si>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</si>
  <si>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</si>
  <si>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</si>
  <si>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</si>
  <si>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</si>
  <si>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</si>
  <si>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</si>
  <si>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</si>
  <si>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</si>
  <si>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</si>
  <si>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</si>
  <si>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</si>
  <si>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</si>
  <si>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</si>
  <si>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</si>
  <si>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</si>
  <si>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</si>
  <si>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</si>
  <si>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</si>
  <si>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</si>
  <si>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</si>
  <si>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</si>
  <si>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</si>
  <si>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</si>
  <si>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</si>
  <si>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</si>
  <si>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</si>
  <si>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</si>
  <si>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</si>
  <si>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</si>
  <si>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</si>
  <si>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</si>
  <si>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</si>
  <si>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</si>
  <si>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</si>
  <si>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</si>
  <si>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</si>
  <si>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</si>
  <si>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</si>
  <si>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</si>
  <si>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</si>
  <si>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</si>
  <si>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</si>
  <si>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</si>
  <si>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</si>
  <si>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</si>
  <si>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</si>
  <si>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</si>
  <si>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</si>
  <si>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</si>
  <si>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</si>
  <si>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</si>
  <si>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</si>
  <si>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</si>
  <si>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</si>
  <si>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</si>
  <si>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</si>
  <si>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</si>
  <si>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</si>
  <si>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</si>
  <si>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</si>
  <si>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</si>
  <si>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</si>
  <si>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</si>
  <si>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</si>
  <si>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</si>
  <si>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</si>
  <si>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</si>
  <si>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</si>
  <si>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</si>
  <si>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</si>
  <si>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</si>
  <si>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</si>
  <si>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</si>
  <si>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</si>
  <si>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</si>
  <si>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</si>
  <si>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</si>
  <si>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</si>
  <si>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</si>
  <si>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</si>
  <si>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</si>
  <si>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</si>
  <si>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</si>
  <si>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</si>
  <si>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</si>
  <si>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</si>
  <si>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</si>
  <si>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</si>
  <si>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</si>
  <si>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</si>
  <si>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</si>
  <si>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</si>
  <si>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</si>
  <si>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</si>
  <si>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</si>
  <si>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</si>
  <si>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</si>
  <si>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</si>
  <si>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</si>
  <si>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</si>
  <si>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</si>
  <si>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</si>
  <si>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</si>
  <si>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</si>
  <si>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</si>
  <si>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</si>
  <si>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</si>
  <si>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</si>
  <si>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</si>
  <si>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</si>
  <si>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</si>
  <si>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</si>
  <si>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</si>
  <si>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</si>
  <si>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</si>
  <si>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</si>
  <si>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</si>
  <si>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</si>
  <si>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</si>
  <si>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</si>
  <si>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</si>
  <si>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</si>
  <si>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</si>
  <si>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</si>
  <si>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</si>
  <si>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</si>
  <si>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</si>
  <si>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</si>
  <si>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</si>
  <si>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</si>
  <si>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</si>
  <si>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</si>
  <si>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</si>
  <si>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</si>
  <si>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</si>
  <si>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</si>
  <si>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</si>
  <si>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</si>
  <si>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</si>
  <si>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</si>
  <si>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</si>
  <si>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</si>
  <si>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</si>
  <si>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</si>
  <si>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</si>
  <si>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</si>
  <si>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</si>
  <si>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</si>
  <si>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</si>
  <si>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</si>
  <si>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</si>
  <si>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</si>
  <si>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</si>
  <si>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</si>
  <si>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</si>
  <si>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</si>
  <si>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</si>
  <si>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</si>
  <si>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</si>
  <si>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</si>
  <si>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</si>
  <si>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</si>
  <si>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</si>
  <si>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</si>
  <si>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</si>
  <si>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</si>
  <si>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</si>
  <si>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</si>
  <si>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</si>
  <si>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</si>
  <si>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</si>
  <si>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</si>
  <si>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</si>
  <si>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</si>
  <si>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</si>
  <si>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</si>
  <si>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</si>
  <si>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</si>
  <si>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</si>
  <si>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</si>
  <si>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</si>
  <si>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</si>
  <si>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</si>
  <si>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</si>
  <si>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</si>
  <si>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</si>
  <si>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</si>
  <si>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</si>
  <si>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</si>
  <si>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</si>
  <si>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</si>
  <si>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</si>
  <si>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</si>
  <si>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</si>
  <si>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</si>
  <si>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</si>
  <si>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</si>
  <si>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</si>
  <si>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</si>
  <si>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</si>
  <si>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</si>
  <si>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</si>
  <si>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</si>
  <si>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</si>
  <si>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</si>
  <si>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</si>
  <si>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</si>
  <si>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</si>
  <si>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</si>
  <si>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</si>
  <si>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</si>
  <si>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</si>
  <si>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</si>
  <si>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</si>
  <si>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</si>
  <si>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</si>
  <si>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</si>
  <si>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</si>
  <si>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</si>
  <si>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</si>
  <si>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</si>
  <si>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</si>
  <si>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</si>
  <si>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</si>
  <si>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</si>
  <si>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</si>
  <si>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</si>
  <si>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</si>
  <si>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</si>
  <si>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</si>
  <si>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</si>
  <si>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</si>
  <si>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</si>
  <si>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</si>
  <si>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</si>
  <si>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</si>
  <si>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</si>
  <si>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</si>
  <si>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</si>
  <si>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</si>
  <si>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</si>
  <si>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</si>
  <si>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</si>
  <si>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</si>
  <si>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</si>
  <si>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</si>
  <si>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</si>
  <si>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</si>
  <si>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</si>
  <si>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</si>
  <si>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</si>
  <si>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</si>
  <si>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</si>
  <si>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</si>
  <si>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</si>
  <si>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</si>
  <si>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</si>
  <si>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</si>
  <si>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</si>
  <si>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</si>
  <si>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</si>
  <si>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</si>
  <si>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</si>
  <si>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</si>
  <si>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</si>
  <si>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</si>
  <si>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</si>
  <si>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</si>
  <si>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</si>
  <si>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</si>
  <si>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</si>
  <si>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</si>
  <si>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</si>
  <si>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</si>
  <si>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</si>
  <si>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</si>
  <si>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</si>
  <si>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</si>
  <si>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</si>
  <si>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</si>
  <si>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</si>
  <si>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</si>
  <si>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</si>
  <si>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</si>
  <si>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</si>
  <si>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</si>
  <si>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</si>
  <si>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</si>
  <si>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</si>
  <si>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</si>
  <si>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</si>
  <si>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</si>
  <si>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</si>
  <si>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</si>
  <si>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</si>
  <si>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</si>
  <si>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</si>
  <si>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</si>
  <si>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</si>
  <si>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</si>
  <si>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</si>
  <si>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</si>
  <si>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</si>
  <si>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</si>
  <si>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</si>
  <si>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</si>
  <si>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</si>
  <si>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</si>
  <si>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</si>
  <si>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</si>
  <si>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</si>
  <si>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</si>
  <si>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</si>
  <si>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</si>
  <si>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</si>
  <si>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</si>
  <si>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</si>
  <si>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</si>
  <si>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</si>
  <si>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</si>
  <si>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</si>
  <si>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</si>
  <si>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</si>
  <si>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</si>
  <si>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</si>
  <si>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</si>
  <si>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</si>
  <si>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</si>
  <si>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</si>
  <si>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</si>
  <si>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</si>
  <si>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</si>
  <si>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</si>
  <si>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</si>
  <si>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</si>
  <si>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</si>
  <si>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</si>
  <si>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</si>
  <si>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</si>
  <si>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</si>
  <si>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</si>
  <si>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</si>
  <si>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</si>
  <si>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</si>
  <si>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</si>
  <si>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</si>
  <si>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</si>
  <si>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</si>
  <si>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</si>
  <si>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</si>
  <si>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</si>
  <si>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</si>
  <si>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</si>
  <si>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</si>
  <si>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</si>
  <si>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</si>
  <si>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</si>
  <si>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</si>
  <si>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</si>
  <si>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</si>
  <si>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</si>
  <si>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</si>
  <si>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</si>
  <si>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</si>
  <si>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</si>
  <si>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</si>
  <si>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</si>
  <si>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</si>
  <si>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</si>
  <si>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</si>
  <si>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</si>
  <si>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</si>
  <si>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</si>
  <si>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</si>
  <si>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</si>
  <si>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</si>
  <si>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</si>
  <si>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</si>
  <si>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</si>
  <si>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</si>
  <si>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</si>
  <si>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</si>
  <si>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</si>
  <si>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</si>
  <si>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</si>
  <si>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</si>
  <si>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</si>
  <si>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</si>
  <si>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</si>
  <si>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</si>
  <si>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</si>
  <si>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</si>
  <si>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</si>
  <si>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</si>
  <si>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</si>
  <si>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</si>
  <si>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</si>
  <si>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</si>
  <si>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</si>
  <si>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</si>
  <si>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</si>
  <si>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</si>
  <si>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</si>
  <si>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</si>
  <si>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</si>
  <si>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</si>
  <si>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</si>
  <si>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</si>
  <si>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</si>
  <si>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</si>
  <si>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</si>
  <si>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</si>
  <si>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</si>
  <si>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</si>
  <si>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</si>
  <si>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</si>
  <si>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</si>
  <si>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</si>
  <si>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</si>
  <si>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</si>
  <si>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</si>
  <si>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</si>
  <si>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</si>
  <si>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</si>
  <si>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</si>
  <si>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</si>
  <si>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</si>
  <si>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</si>
  <si>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</si>
  <si>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</si>
  <si>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</si>
  <si>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</si>
  <si>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</si>
  <si>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</si>
  <si>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</si>
  <si>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</si>
  <si>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</si>
  <si>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</si>
  <si>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</si>
  <si>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</si>
  <si>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</si>
  <si>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</si>
  <si>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</si>
  <si>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</si>
  <si>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</si>
  <si>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</si>
  <si>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</si>
  <si>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</si>
  <si>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</si>
  <si>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</si>
  <si>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</si>
  <si>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</si>
  <si>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</si>
  <si>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</si>
  <si>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</si>
  <si>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</si>
  <si>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</si>
  <si>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</si>
  <si>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</si>
  <si>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</si>
  <si>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</si>
  <si>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</si>
  <si>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</si>
  <si>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</si>
  <si>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</si>
  <si>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</si>
  <si>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</si>
  <si>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</si>
  <si>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</si>
  <si>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</si>
  <si>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</si>
  <si>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</si>
  <si>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</si>
  <si>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</si>
  <si>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</si>
  <si>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</si>
  <si>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</si>
  <si>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</si>
  <si>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</si>
  <si>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</si>
  <si>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</si>
  <si>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</si>
  <si>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</si>
  <si>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</si>
  <si>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</si>
  <si>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</si>
  <si>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</si>
  <si>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</si>
  <si>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</si>
  <si>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</si>
  <si>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</si>
  <si>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</si>
  <si>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</si>
  <si>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</si>
  <si>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</si>
  <si>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</si>
  <si>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</si>
  <si>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</si>
  <si>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</si>
  <si>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</si>
  <si>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</si>
  <si>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</si>
  <si>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</si>
  <si>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</si>
  <si>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</si>
  <si>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</si>
  <si>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</si>
  <si>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</si>
  <si>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</si>
  <si>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</si>
  <si>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</si>
  <si>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</si>
  <si>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</si>
  <si>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</si>
  <si>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</si>
  <si>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</si>
  <si>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</si>
  <si>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</si>
  <si>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</si>
  <si>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</si>
  <si>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</si>
  <si>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</si>
  <si>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</si>
  <si>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</si>
  <si>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</si>
  <si>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</si>
  <si>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</si>
  <si>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</si>
  <si>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</si>
  <si>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</si>
  <si>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</si>
  <si>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</si>
  <si>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</si>
  <si>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</si>
  <si>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</si>
  <si>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</si>
  <si>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</si>
  <si>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</si>
  <si>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</si>
  <si>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</si>
  <si>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</si>
  <si>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</si>
  <si>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</si>
  <si>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</si>
  <si>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</si>
  <si>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</si>
  <si>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</si>
  <si>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</si>
  <si>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</si>
  <si>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</si>
  <si>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</si>
  <si>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</si>
  <si>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</si>
  <si>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</si>
  <si>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</si>
  <si>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</si>
  <si>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</si>
  <si>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</si>
  <si>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</si>
  <si>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</si>
  <si>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</si>
  <si>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</si>
  <si>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</si>
  <si>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</si>
  <si>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</si>
  <si>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</si>
  <si>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</si>
  <si>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</si>
  <si>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</si>
  <si>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</si>
  <si>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</si>
  <si>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</si>
  <si>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</si>
  <si>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</si>
  <si>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</si>
  <si>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</si>
  <si>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</si>
  <si>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</si>
  <si>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</si>
  <si>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</si>
  <si>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</si>
  <si>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</si>
  <si>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</si>
  <si>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</si>
  <si>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</si>
  <si>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</si>
  <si>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</si>
  <si>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</si>
  <si>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</si>
  <si>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</si>
  <si>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</si>
  <si>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</si>
  <si>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</si>
  <si>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</si>
  <si>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</si>
  <si>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</si>
  <si>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</si>
  <si>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</si>
  <si>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</si>
  <si>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</si>
  <si>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</si>
  <si>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</si>
  <si>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</si>
  <si>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</si>
  <si>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</si>
  <si>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</si>
  <si>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</si>
  <si>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</si>
  <si>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</si>
  <si>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</si>
  <si>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</si>
  <si>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</si>
  <si>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</si>
  <si>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</si>
  <si>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</si>
  <si>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</si>
  <si>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</si>
  <si>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</si>
  <si>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</si>
  <si>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</si>
  <si>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</si>
  <si>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</si>
  <si>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</si>
  <si>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</si>
  <si>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</si>
  <si>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</si>
  <si>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</si>
  <si>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</si>
  <si>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</si>
  <si>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</si>
  <si>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</si>
  <si>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</si>
  <si>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</si>
  <si>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</si>
  <si>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</si>
  <si>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</si>
  <si>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</si>
  <si>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</si>
  <si>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</si>
  <si>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</si>
  <si>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</si>
  <si>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</si>
  <si>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</si>
  <si>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</si>
  <si>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</si>
  <si>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</si>
  <si>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</si>
  <si>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</si>
  <si>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</si>
  <si>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</si>
  <si>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</si>
  <si>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</si>
  <si>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</si>
  <si>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</si>
  <si>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</si>
  <si>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</si>
  <si>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</si>
  <si>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</si>
  <si>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</si>
  <si>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</si>
  <si>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</si>
  <si>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</si>
  <si>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</si>
  <si>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</si>
  <si>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</si>
  <si>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</si>
  <si>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</si>
  <si>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</si>
  <si>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</si>
  <si>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</si>
  <si>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</si>
  <si>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</si>
  <si>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</si>
  <si>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</si>
  <si>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</si>
  <si>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</si>
  <si>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</si>
  <si>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</si>
  <si>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</si>
  <si>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</si>
  <si>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</si>
  <si>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</si>
  <si>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</si>
  <si>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</si>
  <si>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</si>
  <si>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</si>
  <si>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</si>
  <si>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</si>
  <si>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</si>
  <si>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</si>
  <si>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</si>
  <si>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</si>
  <si>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</si>
  <si>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</si>
  <si>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</si>
  <si>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</si>
  <si>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</si>
  <si>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</si>
  <si>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</si>
  <si>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</si>
  <si>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</si>
  <si>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</si>
  <si>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</si>
  <si>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</si>
  <si>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</si>
  <si>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</si>
  <si>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</si>
  <si>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</si>
  <si>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</si>
  <si>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</si>
  <si>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</si>
  <si>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</si>
  <si>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</si>
  <si>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</si>
  <si>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</si>
  <si>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</si>
  <si>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</si>
  <si>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</si>
  <si>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</si>
  <si>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</si>
  <si>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</si>
  <si>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</si>
  <si>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</si>
  <si>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</si>
  <si>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</si>
  <si>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</si>
  <si>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</si>
  <si>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</si>
  <si>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</si>
  <si>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</si>
  <si>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</si>
  <si>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</si>
  <si>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</si>
  <si>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</si>
  <si>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</si>
  <si>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</si>
  <si>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</si>
  <si>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</si>
  <si>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</si>
  <si>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</si>
  <si>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</si>
  <si>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</si>
  <si>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</si>
  <si>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</si>
  <si>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</si>
  <si>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</si>
  <si>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</si>
  <si>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</si>
  <si>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</si>
  <si>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</si>
  <si>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</si>
  <si>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</si>
  <si>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</si>
  <si>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</si>
  <si>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</si>
  <si>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</si>
  <si>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</si>
  <si>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</si>
  <si>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</si>
  <si>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</si>
  <si>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</si>
  <si>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</si>
  <si>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</si>
  <si>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</si>
  <si>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</si>
  <si>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</si>
  <si>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</si>
  <si>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</si>
  <si>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</si>
  <si>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</si>
  <si>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</si>
  <si>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</si>
  <si>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</si>
  <si>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</si>
  <si>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</si>
  <si>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</si>
  <si>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</si>
  <si>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</si>
  <si>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</si>
  <si>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</si>
  <si>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</si>
  <si>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</si>
  <si>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</si>
  <si>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</si>
  <si>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</si>
  <si>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</si>
  <si>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</si>
  <si>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</si>
  <si>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</si>
  <si>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</si>
  <si>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</si>
  <si>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</si>
  <si>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</si>
  <si>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</si>
  <si>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</si>
  <si>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</si>
  <si>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</si>
  <si>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</si>
  <si>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</si>
  <si>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</si>
  <si>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</si>
  <si>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</si>
  <si>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</si>
  <si>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</si>
  <si>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</si>
  <si>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</si>
  <si>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</si>
  <si>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</si>
  <si>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</si>
  <si>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</si>
  <si>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</si>
  <si>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</si>
  <si>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</si>
  <si>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</si>
  <si>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</si>
  <si>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</si>
  <si>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</si>
  <si>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</si>
  <si>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</si>
  <si>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</si>
  <si>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</si>
  <si>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</si>
  <si>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</si>
  <si>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</si>
  <si>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</si>
  <si>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</si>
  <si>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</si>
  <si>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</si>
  <si>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</si>
  <si>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</si>
  <si>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</si>
  <si>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</si>
  <si>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</si>
  <si>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</si>
  <si>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</si>
  <si>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</si>
  <si>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</si>
  <si>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</si>
  <si>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</si>
  <si>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</si>
  <si>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</si>
  <si>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</si>
  <si>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</si>
  <si>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</si>
  <si>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</si>
  <si>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</si>
  <si>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</si>
  <si>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</si>
  <si>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</si>
  <si>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</si>
  <si>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</si>
  <si>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</si>
  <si>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</si>
  <si>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</si>
  <si>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</si>
  <si>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</si>
  <si>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</si>
  <si>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</si>
  <si>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</si>
  <si>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</si>
  <si>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</si>
  <si>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</si>
  <si>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</si>
  <si>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</si>
  <si>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</si>
  <si>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</si>
  <si>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</si>
  <si>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</si>
  <si>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</si>
  <si>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</si>
  <si>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</si>
  <si>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</si>
  <si>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</si>
  <si>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</si>
  <si>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</si>
  <si>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</si>
  <si>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</si>
  <si>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</si>
  <si>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</si>
  <si>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</si>
  <si>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</si>
  <si>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</si>
  <si>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</si>
  <si>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</si>
  <si>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</si>
  <si>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</si>
  <si>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</si>
  <si>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</si>
  <si>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</si>
  <si>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</si>
  <si>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</si>
  <si>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</si>
  <si>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</si>
  <si>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</si>
  <si>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</si>
  <si>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</si>
  <si>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</si>
  <si>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</si>
  <si>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</si>
  <si>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</si>
  <si>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</si>
  <si>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</si>
  <si>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</si>
  <si>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</si>
  <si>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</si>
  <si>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</si>
  <si>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</si>
  <si>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</si>
  <si>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</si>
  <si>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</si>
  <si>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</si>
  <si>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</si>
  <si>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</si>
  <si>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</si>
  <si>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</si>
  <si>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</si>
  <si>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</si>
  <si>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</si>
  <si>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</si>
  <si>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</si>
  <si>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</si>
  <si>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</si>
  <si>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</si>
  <si>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</si>
  <si>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</si>
  <si>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</si>
  <si>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</si>
  <si>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</si>
  <si>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</si>
  <si>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</si>
  <si>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</si>
  <si>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</si>
  <si>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</si>
  <si>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</si>
  <si>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</si>
  <si>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</si>
  <si>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</si>
  <si>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</si>
  <si>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</si>
  <si>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</si>
  <si>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</si>
  <si>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</si>
  <si>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</si>
  <si>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</si>
  <si>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</si>
  <si>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</si>
  <si>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</si>
  <si>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</si>
  <si>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</si>
  <si>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</si>
  <si>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</si>
  <si>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</si>
  <si>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</si>
  <si>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</si>
  <si>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</si>
  <si>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</si>
  <si>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</si>
  <si>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</si>
  <si>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</si>
  <si>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</si>
  <si>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</si>
  <si>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</si>
  <si>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</si>
  <si>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</si>
  <si>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</si>
  <si>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</si>
  <si>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</si>
  <si>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</si>
  <si>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</si>
  <si>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</si>
  <si>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</si>
  <si>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</si>
  <si>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</si>
  <si>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</si>
  <si>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</si>
  <si>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</si>
  <si>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</si>
  <si>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</si>
  <si>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</si>
  <si>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</si>
  <si>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</si>
  <si>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</si>
  <si>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</si>
  <si>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</si>
  <si>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</si>
  <si>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</si>
  <si>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</si>
  <si>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</si>
  <si>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</si>
  <si>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</si>
  <si>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</si>
  <si>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</si>
  <si>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</si>
  <si>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</si>
  <si>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</si>
  <si>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</si>
  <si>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</si>
  <si>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</si>
  <si>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</si>
  <si>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</si>
  <si>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</si>
  <si>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</si>
  <si>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</si>
  <si>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</si>
  <si>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</si>
  <si>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</si>
  <si>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</si>
  <si>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</si>
  <si>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</si>
  <si>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</si>
  <si>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</si>
  <si>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</si>
  <si>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</si>
  <si>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</si>
  <si>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</si>
  <si>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</si>
  <si>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</si>
  <si>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</si>
  <si>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</si>
  <si>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</si>
  <si>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</si>
  <si>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</si>
  <si>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</si>
  <si>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</si>
  <si>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</si>
  <si>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</si>
  <si>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</si>
  <si>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</si>
  <si>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</si>
  <si>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</si>
  <si>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</si>
  <si>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</si>
  <si>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</si>
  <si>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</si>
  <si>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</si>
  <si>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</si>
  <si>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</si>
  <si>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</si>
  <si>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</si>
  <si>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</si>
  <si>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</si>
  <si>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</si>
  <si>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</si>
  <si>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</si>
  <si>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</si>
  <si>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</si>
  <si>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</si>
  <si>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</si>
  <si>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</si>
  <si>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</si>
  <si>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</si>
  <si>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</si>
  <si>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</si>
  <si>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</si>
  <si>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</si>
  <si>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</si>
  <si>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</si>
  <si>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</si>
  <si>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</si>
  <si>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</si>
  <si>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</si>
  <si>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</si>
  <si>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</si>
  <si>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</si>
  <si>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</si>
  <si>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</si>
  <si>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</si>
  <si>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</si>
  <si>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</si>
  <si>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</si>
  <si>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</si>
  <si>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</si>
  <si>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</si>
  <si>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</si>
  <si>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</si>
  <si>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</si>
  <si>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</si>
  <si>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</si>
  <si>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</si>
  <si>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</si>
  <si>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</si>
  <si>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</si>
  <si>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</si>
  <si>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</si>
  <si>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</si>
  <si>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</si>
  <si>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</si>
  <si>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</si>
  <si>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</si>
  <si>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</si>
  <si>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</si>
  <si>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</si>
  <si>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</si>
  <si>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</si>
  <si>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</si>
  <si>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</si>
  <si>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</si>
  <si>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</si>
  <si>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</si>
  <si>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</si>
  <si>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</si>
  <si>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</si>
  <si>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</si>
  <si>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</si>
  <si>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</si>
  <si>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</si>
  <si>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</si>
  <si>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</si>
  <si>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</si>
  <si>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</si>
  <si>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</si>
  <si>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</si>
  <si>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</si>
  <si>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</si>
  <si>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</si>
  <si>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</si>
  <si>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</si>
  <si>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</si>
  <si>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</si>
  <si>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</si>
  <si>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</si>
  <si>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</si>
  <si>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</si>
  <si>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</si>
  <si>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</si>
  <si>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</si>
  <si>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</si>
  <si>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</si>
  <si>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</si>
  <si>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</si>
  <si>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</si>
  <si>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</si>
  <si>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</si>
  <si>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</si>
  <si>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</si>
  <si>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</si>
  <si>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</si>
  <si>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</si>
  <si>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</si>
  <si>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</si>
  <si>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</si>
  <si>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</si>
  <si>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</si>
  <si>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</si>
  <si>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</si>
  <si>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</si>
  <si>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</si>
  <si>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</si>
  <si>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</si>
  <si>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</si>
  <si>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</si>
  <si>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</si>
  <si>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</si>
  <si>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</si>
  <si>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</si>
  <si>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</si>
  <si>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</si>
  <si>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</si>
  <si>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</si>
  <si>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</si>
  <si>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</si>
  <si>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</si>
  <si>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</si>
  <si>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</si>
  <si>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</si>
  <si>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</si>
  <si>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</si>
  <si>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</si>
  <si>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</si>
  <si>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</si>
  <si>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</si>
  <si>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</si>
  <si>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</si>
  <si>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</si>
  <si>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</si>
  <si>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</si>
  <si>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</si>
  <si>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</si>
  <si>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</si>
  <si>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</si>
  <si>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</si>
  <si>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</si>
  <si>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</si>
  <si>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</si>
  <si>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</si>
  <si>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</si>
  <si>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</si>
  <si>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</si>
  <si>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</si>
  <si>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</si>
  <si>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</si>
  <si>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</si>
  <si>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</si>
  <si>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</si>
  <si>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</si>
  <si>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</si>
  <si>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</si>
  <si>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</si>
  <si>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</si>
  <si>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</si>
  <si>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</si>
  <si>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</si>
  <si>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</si>
  <si>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</si>
  <si>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</si>
  <si>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</si>
  <si>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</si>
  <si>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</si>
  <si>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</si>
  <si>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</si>
  <si>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</si>
  <si>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</si>
  <si>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</si>
  <si>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</si>
  <si>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</si>
  <si>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</si>
  <si>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</si>
  <si>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</si>
  <si>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</si>
  <si>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</si>
  <si>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</si>
  <si>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</si>
  <si>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</si>
  <si>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</si>
  <si>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</si>
  <si>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</si>
  <si>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</si>
  <si>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</si>
  <si>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</si>
  <si>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</si>
  <si>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</si>
  <si>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</si>
  <si>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</si>
  <si>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</si>
  <si>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</si>
  <si>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</si>
  <si>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</si>
  <si>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</si>
  <si>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</si>
  <si>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</si>
  <si>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</si>
  <si>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</si>
  <si>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</si>
  <si>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</si>
  <si>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</si>
  <si>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</si>
  <si>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</si>
  <si>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</si>
  <si>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</si>
  <si>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</si>
  <si>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</si>
  <si>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</si>
  <si>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</si>
  <si>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</si>
  <si>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</si>
  <si>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</si>
  <si>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</si>
  <si>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</si>
  <si>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</si>
  <si>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</si>
  <si>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</si>
  <si>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</si>
  <si>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</si>
  <si>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</si>
  <si>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</si>
  <si>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</si>
  <si>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</si>
  <si>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</si>
  <si>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</si>
  <si>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</si>
  <si>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</si>
  <si>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</si>
  <si>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</si>
  <si>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</si>
  <si>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</si>
  <si>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</si>
  <si>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</si>
  <si>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</si>
  <si>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</si>
  <si>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</si>
  <si>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</si>
  <si>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</si>
  <si>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</si>
  <si>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</si>
  <si>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</si>
  <si>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</si>
  <si>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</si>
  <si>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</si>
  <si>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</si>
  <si>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</si>
  <si>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</si>
  <si>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</si>
  <si>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</si>
  <si>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</si>
  <si>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</si>
  <si>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</si>
  <si>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</si>
  <si>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</si>
  <si>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</si>
  <si>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</si>
  <si>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</si>
  <si>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</si>
  <si>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</si>
  <si>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</si>
  <si>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</si>
  <si>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</si>
  <si>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</si>
  <si>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</si>
  <si>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</si>
  <si>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</si>
  <si>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</si>
  <si>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</si>
  <si>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</si>
  <si>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</si>
  <si>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</si>
  <si>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</si>
  <si>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</si>
  <si>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</si>
  <si>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</si>
  <si>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</si>
  <si>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</si>
  <si>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</si>
  <si>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</si>
  <si>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</si>
  <si>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</si>
  <si>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</si>
  <si>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</si>
  <si>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</si>
  <si>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</si>
  <si>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</si>
  <si>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</si>
  <si>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</si>
  <si>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</si>
  <si>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</si>
  <si>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</si>
  <si>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</si>
  <si>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</si>
  <si>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</si>
  <si>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</si>
  <si>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</si>
  <si>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</si>
  <si>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</si>
  <si>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</si>
  <si>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</si>
  <si>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</si>
  <si>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</si>
  <si>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</si>
  <si>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</si>
  <si>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</si>
  <si>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</si>
  <si>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</si>
  <si>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</si>
  <si>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</si>
  <si>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</si>
  <si>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</si>
  <si>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</si>
  <si>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</si>
  <si>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</si>
  <si>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</si>
  <si>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</si>
  <si>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</si>
  <si>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</si>
  <si>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</si>
  <si>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</si>
  <si>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</si>
  <si>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</si>
  <si>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</si>
  <si>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</si>
  <si>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</si>
  <si>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</si>
  <si>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</si>
  <si>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</si>
  <si>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</si>
  <si>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</si>
  <si>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</si>
  <si>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</si>
  <si>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</si>
  <si>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</si>
  <si>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</si>
  <si>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</si>
  <si>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</si>
  <si>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</si>
  <si>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</si>
  <si>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</si>
  <si>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</si>
  <si>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</si>
  <si>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</si>
  <si>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</si>
  <si>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</si>
  <si>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</si>
  <si>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</si>
  <si>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</si>
  <si>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</si>
  <si>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</si>
  <si>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</si>
  <si>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</si>
  <si>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</si>
  <si>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</si>
  <si>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</si>
  <si>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</si>
  <si>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</si>
  <si>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</si>
  <si>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</si>
  <si>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</si>
  <si>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</si>
  <si>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</si>
  <si>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</si>
  <si>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</si>
  <si>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</si>
  <si>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</si>
  <si>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</si>
  <si>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</si>
  <si>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</si>
  <si>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</si>
  <si>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</si>
  <si>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</si>
  <si>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</si>
  <si>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</si>
  <si>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</si>
  <si>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</si>
  <si>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</si>
  <si>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</si>
  <si>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</si>
  <si>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</si>
  <si>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</si>
  <si>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</si>
  <si>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</si>
  <si>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</si>
  <si>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</si>
  <si>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</si>
  <si>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</si>
  <si>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</si>
  <si>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</si>
  <si>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</si>
  <si>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</si>
  <si>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</si>
  <si>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</si>
  <si>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</si>
  <si>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</si>
  <si>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</si>
  <si>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</si>
  <si>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</si>
  <si>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</si>
  <si>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</si>
  <si>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</si>
  <si>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</si>
  <si>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</si>
  <si>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</si>
  <si>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</si>
  <si>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</si>
  <si>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</si>
  <si>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</si>
  <si>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</si>
  <si>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</si>
  <si>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</si>
  <si>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</si>
  <si>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</si>
  <si>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</si>
  <si>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</si>
  <si>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</si>
  <si>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</si>
  <si>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</si>
  <si>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</si>
  <si>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</si>
  <si>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</si>
  <si>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</si>
  <si>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</si>
  <si>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</si>
  <si>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</si>
  <si>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</si>
  <si>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</si>
  <si>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</si>
  <si>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</si>
  <si>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</si>
  <si>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</si>
  <si>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</si>
  <si>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</si>
  <si>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</si>
  <si>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</si>
  <si>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</si>
  <si>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</si>
  <si>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</si>
  <si>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</si>
  <si>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</si>
  <si>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</si>
  <si>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</si>
  <si>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</si>
  <si>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</si>
  <si>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</si>
  <si>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</si>
  <si>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</si>
  <si>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</si>
  <si>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</si>
  <si>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</si>
  <si>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</si>
  <si>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</si>
  <si>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</si>
  <si>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</si>
  <si>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</si>
  <si>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</si>
  <si>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</si>
  <si>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</si>
  <si>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</si>
  <si>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</si>
  <si>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</si>
  <si>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</si>
  <si>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</si>
  <si>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</si>
  <si>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</si>
  <si>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</si>
  <si>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</si>
  <si>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</si>
  <si>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</si>
  <si>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</si>
  <si>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</si>
  <si>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</si>
  <si>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</si>
  <si>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</si>
  <si>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</si>
  <si>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</si>
  <si>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</si>
  <si>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</si>
  <si>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</si>
  <si>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</si>
  <si>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</si>
  <si>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</si>
  <si>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</si>
  <si>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</si>
  <si>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</si>
  <si>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</si>
  <si>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</si>
  <si>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</si>
  <si>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</si>
  <si>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</si>
  <si>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</si>
  <si>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</si>
  <si>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</si>
  <si>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</si>
  <si>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</si>
  <si>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</si>
  <si>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</si>
  <si>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</si>
  <si>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</si>
  <si>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</si>
  <si>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</si>
  <si>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</si>
  <si>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</si>
  <si>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</si>
  <si>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</si>
  <si>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</si>
  <si>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</si>
  <si>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</si>
  <si>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</si>
  <si>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</si>
  <si>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</si>
  <si>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</si>
  <si>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</si>
  <si>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</si>
  <si>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</si>
  <si>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</si>
  <si>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</si>
  <si>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</si>
  <si>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</si>
  <si>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</si>
  <si>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</si>
  <si>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</si>
  <si>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</si>
  <si>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</si>
  <si>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</si>
  <si>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</si>
  <si>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</si>
  <si>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</si>
  <si>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</si>
  <si>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</si>
  <si>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</si>
  <si>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</si>
  <si>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</si>
  <si>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</si>
  <si>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</si>
  <si>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</si>
  <si>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</si>
  <si>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</si>
  <si>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</si>
  <si>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</si>
  <si>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</si>
  <si>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</si>
  <si>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</si>
  <si>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</si>
  <si>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</si>
  <si>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</si>
  <si>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</si>
  <si>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</si>
  <si>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</si>
  <si>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</si>
  <si>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</si>
  <si>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</si>
  <si>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</si>
  <si>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</si>
  <si>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</si>
  <si>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</si>
  <si>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</si>
  <si>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</si>
  <si>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</si>
  <si>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</si>
  <si>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</si>
  <si>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</si>
  <si>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</si>
  <si>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</si>
  <si>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</si>
  <si>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</si>
  <si>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</si>
  <si>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</si>
  <si>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</si>
  <si>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</si>
  <si>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</si>
  <si>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</si>
  <si>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</si>
  <si>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</si>
  <si>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</si>
  <si>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</si>
  <si>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</si>
  <si>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</si>
  <si>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</si>
  <si>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</si>
  <si>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</si>
  <si>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</si>
  <si>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</si>
  <si>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</si>
  <si>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</si>
  <si>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</si>
  <si>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</si>
  <si>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</si>
  <si>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</si>
  <si>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</si>
  <si>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</si>
  <si>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</si>
  <si>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</si>
  <si>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</si>
  <si>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</si>
  <si>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</si>
  <si>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</si>
  <si>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</si>
  <si>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</si>
  <si>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</si>
  <si>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</si>
  <si>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</si>
  <si>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</si>
  <si>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</si>
  <si>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</si>
  <si>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</si>
  <si>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</si>
  <si>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</si>
  <si>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</si>
  <si>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</si>
  <si>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</si>
  <si>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</si>
  <si>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</si>
  <si>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</si>
  <si>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</si>
  <si>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</si>
  <si>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</si>
  <si>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</si>
  <si>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</si>
  <si>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</si>
  <si>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</si>
  <si>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</si>
  <si>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</si>
  <si>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</si>
  <si>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</si>
  <si>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</si>
  <si>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</si>
  <si>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</si>
  <si>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</si>
  <si>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</si>
  <si>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</si>
  <si>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</si>
  <si>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</si>
  <si>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</si>
  <si>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</si>
  <si>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</si>
  <si>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</si>
  <si>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</si>
  <si>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</si>
  <si>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</si>
  <si>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</si>
  <si>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</si>
  <si>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</si>
  <si>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</si>
  <si>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</si>
  <si>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</si>
  <si>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</si>
  <si>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</si>
  <si>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</si>
  <si>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</si>
  <si>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</si>
  <si>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</si>
  <si>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</si>
  <si>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</si>
  <si>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</si>
  <si>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</si>
  <si>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</si>
  <si>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</si>
  <si>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</si>
  <si>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</si>
  <si>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</si>
  <si>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</si>
  <si>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</si>
  <si>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</si>
  <si>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</si>
  <si>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</si>
  <si>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</si>
  <si>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</si>
  <si>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</si>
  <si>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</si>
  <si>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</si>
  <si>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</si>
  <si>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</si>
  <si>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</si>
  <si>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</si>
  <si>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</si>
  <si>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</si>
  <si>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</si>
  <si>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</si>
  <si>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</si>
  <si>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</si>
  <si>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</si>
  <si>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</si>
  <si>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</si>
  <si>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</si>
  <si>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</si>
  <si>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</si>
  <si>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</si>
  <si>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</si>
  <si>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</si>
  <si>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</si>
  <si>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</si>
  <si>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</si>
  <si>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</si>
  <si>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</si>
  <si>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</si>
  <si>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</si>
  <si>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</si>
  <si>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</si>
  <si>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</si>
  <si>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</si>
  <si>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</si>
  <si>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</si>
  <si>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</si>
  <si>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</si>
  <si>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</si>
  <si>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</si>
  <si>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</si>
  <si>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</si>
  <si>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</si>
  <si>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</si>
  <si>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</si>
  <si>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</si>
  <si>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</si>
  <si>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</si>
  <si>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</si>
  <si>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</si>
  <si>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</si>
  <si>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</si>
  <si>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</si>
  <si>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</si>
  <si>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</si>
  <si>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</si>
  <si>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</si>
  <si>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</si>
  <si>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</si>
  <si>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</si>
  <si>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</si>
  <si>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</si>
  <si>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</si>
  <si>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</si>
  <si>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</si>
  <si>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</si>
  <si>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</si>
  <si>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</si>
  <si>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</si>
  <si>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</si>
  <si>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</si>
  <si>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</si>
  <si>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</si>
  <si>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</si>
  <si>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</si>
  <si>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</si>
  <si>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</si>
  <si>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</si>
  <si>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</si>
  <si>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</si>
  <si>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</si>
  <si>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</si>
  <si>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</si>
  <si>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</si>
  <si>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</si>
  <si>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</si>
  <si>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</si>
  <si>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</si>
  <si>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</si>
  <si>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</si>
  <si>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</si>
  <si>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</si>
  <si>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</si>
  <si>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</si>
  <si>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</si>
  <si>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</si>
  <si>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</si>
  <si>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</si>
  <si>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</si>
  <si>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</si>
  <si>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</si>
  <si>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</si>
  <si>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</si>
  <si>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</si>
  <si>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</si>
  <si>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</si>
  <si>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</si>
  <si>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</si>
  <si>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</si>
  <si>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</si>
  <si>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</si>
  <si>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</si>
  <si>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</si>
  <si>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</si>
  <si>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</si>
  <si>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</si>
  <si>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</si>
  <si>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</si>
  <si>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</si>
  <si>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</si>
  <si>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</si>
  <si>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</si>
  <si>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</si>
  <si>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</si>
  <si>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</si>
  <si>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</si>
  <si>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</si>
  <si>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</si>
  <si>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</si>
  <si>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</si>
  <si>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</si>
  <si>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</si>
  <si>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</si>
  <si>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</si>
  <si>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</si>
  <si>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</si>
  <si>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</si>
  <si>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</si>
  <si>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</si>
  <si>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</si>
  <si>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</si>
  <si>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</si>
  <si>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</si>
  <si>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</si>
  <si>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</si>
  <si>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</si>
  <si>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</si>
  <si>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</si>
  <si>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</si>
  <si>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</si>
  <si>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</si>
  <si>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</si>
  <si>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</si>
  <si>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</si>
  <si>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</si>
  <si>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</si>
  <si>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</si>
  <si>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</si>
  <si>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</si>
  <si>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</si>
  <si>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</si>
  <si>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</si>
  <si>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</si>
  <si>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</si>
  <si>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</si>
  <si>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</si>
  <si>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</si>
  <si>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</si>
  <si>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</si>
  <si>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</si>
  <si>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</si>
  <si>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</si>
  <si>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</si>
  <si>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</si>
  <si>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</si>
  <si>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</si>
  <si>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</si>
  <si>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</si>
  <si>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</si>
  <si>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</si>
  <si>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</si>
  <si>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</si>
  <si>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</si>
  <si>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</si>
  <si>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</si>
  <si>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</si>
  <si>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</si>
  <si>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</si>
  <si>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</si>
  <si>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</si>
  <si>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</si>
  <si>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</si>
  <si>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</si>
  <si>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</si>
  <si>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</si>
  <si>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</si>
  <si>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</si>
  <si>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</si>
  <si>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</si>
  <si>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</si>
  <si>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</si>
  <si>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</si>
  <si>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</si>
  <si>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</si>
  <si>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</si>
  <si>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</si>
  <si>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</si>
  <si>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</si>
  <si>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</si>
  <si>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</si>
  <si>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</si>
  <si>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</si>
  <si>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</si>
  <si>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</si>
  <si>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</si>
  <si>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</si>
  <si>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</si>
  <si>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</si>
  <si>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</si>
  <si>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</si>
  <si>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</si>
  <si>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</si>
  <si>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</si>
  <si>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</si>
  <si>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</si>
  <si>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</si>
  <si>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</si>
  <si>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</si>
  <si>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</si>
  <si>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</si>
  <si>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</si>
  <si>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</si>
  <si>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</si>
  <si>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</si>
  <si>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</si>
  <si>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</si>
  <si>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</si>
  <si>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</si>
  <si>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</si>
  <si>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</si>
  <si>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</si>
  <si>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</si>
  <si>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</si>
  <si>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</si>
  <si>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</si>
  <si>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</si>
  <si>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</si>
  <si>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</si>
  <si>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</si>
  <si>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</si>
  <si>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</si>
  <si>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</si>
  <si>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</si>
  <si>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</si>
  <si>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</si>
  <si>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</si>
  <si>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</si>
  <si>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</si>
  <si>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</si>
  <si>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</si>
  <si>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</si>
  <si>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</si>
  <si>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</si>
  <si>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</si>
  <si>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</si>
  <si>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</si>
  <si>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</si>
  <si>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</si>
  <si>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</si>
  <si>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</si>
  <si>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</si>
  <si>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</si>
  <si>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</si>
  <si>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</si>
  <si>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</si>
  <si>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</si>
  <si>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</si>
  <si>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</si>
  <si>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</si>
  <si>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</si>
  <si>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</si>
  <si>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</si>
  <si>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</si>
  <si>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</si>
  <si>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</si>
  <si>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</si>
  <si>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</si>
  <si>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</si>
  <si>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</si>
  <si>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</si>
  <si>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</si>
  <si>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</si>
  <si>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</si>
  <si>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</si>
  <si>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</si>
  <si>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</si>
  <si>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</si>
  <si>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</si>
  <si>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</si>
  <si>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</si>
  <si>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</si>
  <si>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</si>
  <si>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</si>
  <si>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</si>
  <si>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</si>
  <si>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</si>
  <si>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</si>
  <si>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</si>
  <si>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</si>
  <si>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</si>
  <si>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</si>
  <si>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</si>
  <si>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</si>
  <si>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</si>
  <si>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</si>
  <si>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</si>
  <si>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</si>
  <si>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</si>
  <si>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</si>
  <si>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</si>
  <si>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</si>
  <si>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</si>
  <si>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</si>
  <si>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</si>
  <si>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</si>
  <si>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</si>
  <si>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</si>
  <si>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</si>
  <si>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</si>
  <si>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</si>
  <si>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</si>
  <si>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</si>
  <si>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</si>
  <si>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</si>
  <si>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</si>
  <si>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</si>
  <si>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</si>
  <si>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</si>
  <si>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</si>
  <si>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</si>
  <si>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</si>
  <si>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</si>
  <si>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</si>
  <si>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</si>
  <si>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</si>
  <si>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</si>
  <si>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</si>
  <si>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</si>
  <si>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</si>
  <si>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</si>
  <si>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</si>
  <si>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</si>
  <si>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</si>
  <si>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</si>
  <si>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</si>
  <si>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</si>
  <si>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</si>
  <si>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</si>
  <si>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</si>
  <si>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</si>
  <si>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</si>
  <si>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</si>
  <si>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</si>
  <si>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</si>
  <si>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</si>
  <si>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</si>
  <si>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</si>
  <si>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</si>
  <si>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</si>
  <si>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</si>
  <si>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</si>
  <si>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</si>
  <si>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</si>
  <si>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</si>
  <si>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</si>
  <si>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</si>
  <si>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</si>
  <si>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</si>
  <si>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</si>
  <si>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</si>
  <si>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</si>
  <si>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</si>
  <si>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</si>
  <si>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</si>
  <si>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</si>
  <si>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</si>
  <si>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</si>
  <si>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</si>
  <si>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</si>
  <si>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</si>
  <si>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</si>
  <si>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</si>
  <si>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</si>
  <si>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</si>
  <si>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</si>
  <si>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</si>
  <si>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</si>
  <si>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</si>
  <si>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</si>
  <si>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</si>
  <si>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</si>
  <si>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</si>
  <si>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</si>
  <si>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</si>
  <si>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</si>
  <si>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</si>
  <si>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</si>
  <si>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</si>
  <si>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</si>
  <si>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</si>
  <si>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</si>
  <si>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</si>
  <si>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</si>
  <si>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</si>
  <si>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</si>
  <si>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</si>
  <si>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</si>
  <si>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</si>
  <si>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</si>
  <si>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</si>
  <si>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</si>
  <si>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</si>
  <si>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</si>
  <si>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</si>
  <si>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</si>
  <si>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</si>
  <si>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</si>
  <si>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</si>
  <si>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</si>
  <si>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</si>
  <si>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</si>
  <si>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</si>
  <si>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</si>
  <si>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</si>
  <si>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</si>
  <si>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</si>
  <si>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</si>
  <si>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</si>
  <si>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</si>
  <si>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</si>
  <si>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</si>
  <si>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</si>
  <si>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</si>
  <si>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</si>
  <si>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</si>
  <si>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</si>
  <si>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</si>
  <si>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</si>
  <si>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</si>
  <si>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</si>
  <si>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</si>
  <si>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</si>
  <si>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</si>
  <si>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</si>
  <si>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</si>
  <si>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</si>
  <si>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</si>
  <si>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</si>
  <si>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</si>
  <si>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</si>
  <si>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</si>
  <si>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</si>
  <si>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</si>
  <si>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</si>
  <si>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</si>
  <si>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</si>
  <si>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</si>
  <si>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</si>
  <si>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</si>
  <si>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</si>
  <si>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</si>
  <si>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</si>
  <si>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</si>
  <si>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</si>
  <si>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</si>
  <si>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</si>
  <si>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</si>
  <si>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</si>
  <si>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</si>
  <si>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</si>
  <si>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</si>
  <si>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</si>
  <si>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</si>
  <si>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</si>
  <si>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</si>
  <si>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</si>
  <si>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</si>
  <si>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</si>
  <si>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</si>
  <si>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</si>
  <si>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</si>
  <si>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</si>
  <si>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</si>
  <si>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</si>
  <si>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</si>
  <si>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</si>
  <si>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</si>
  <si>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</si>
  <si>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</si>
  <si>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</si>
  <si>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</si>
  <si>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</si>
  <si>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</si>
  <si>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</si>
  <si>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</si>
  <si>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</si>
  <si>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</si>
  <si>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</si>
  <si>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</si>
  <si>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</si>
  <si>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</si>
  <si>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</si>
  <si>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</si>
  <si>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</si>
  <si>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</si>
  <si>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</si>
  <si>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</si>
  <si>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</si>
  <si>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</si>
  <si>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</si>
  <si>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</si>
  <si>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</si>
  <si>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</si>
  <si>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</si>
  <si>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</si>
  <si>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</si>
  <si>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</si>
  <si>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</si>
  <si>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</si>
  <si>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</si>
  <si>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</si>
  <si>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</si>
  <si>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</si>
  <si>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</si>
  <si>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</si>
  <si>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</si>
  <si>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</si>
  <si>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</si>
  <si>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</si>
  <si>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</si>
  <si>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</si>
  <si>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</si>
  <si>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</si>
  <si>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</si>
  <si>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</si>
  <si>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</si>
  <si>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</si>
  <si>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</si>
  <si>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</si>
  <si>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</si>
  <si>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</si>
  <si>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</si>
  <si>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</si>
  <si>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</si>
  <si>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</si>
  <si>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</si>
  <si>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</si>
  <si>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</si>
  <si>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</si>
  <si>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</si>
  <si>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</si>
  <si>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</si>
  <si>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</si>
  <si>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</si>
  <si>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</si>
  <si>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</si>
  <si>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</si>
  <si>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</si>
  <si>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</si>
  <si>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</si>
  <si>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</si>
  <si>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</si>
  <si>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</si>
  <si>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</si>
  <si>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</si>
  <si>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</si>
  <si>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</si>
  <si>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</si>
  <si>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</si>
  <si>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</si>
  <si>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</si>
  <si>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</si>
  <si>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</si>
  <si>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</si>
  <si>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</si>
  <si>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</si>
  <si>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</si>
  <si>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</si>
  <si>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</si>
  <si>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</si>
  <si>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</si>
  <si>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</si>
  <si>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</si>
  <si>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</si>
  <si>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</si>
  <si>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</si>
  <si>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</si>
  <si>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</si>
  <si>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</si>
  <si>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</si>
  <si>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</si>
  <si>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</si>
  <si>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</si>
  <si>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</si>
  <si>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</si>
  <si>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</si>
  <si>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</si>
  <si>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</si>
  <si>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</si>
  <si>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</si>
  <si>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</si>
  <si>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</si>
  <si>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</si>
  <si>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</si>
  <si>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</si>
  <si>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</si>
  <si>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</si>
  <si>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</si>
  <si>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</si>
  <si>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</si>
  <si>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</si>
  <si>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</si>
  <si>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</si>
  <si>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</si>
  <si>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</si>
  <si>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</si>
  <si>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</si>
  <si>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</si>
  <si>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</si>
  <si>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</si>
  <si>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</si>
  <si>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</si>
  <si>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</si>
  <si>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</si>
  <si>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</si>
  <si>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</si>
  <si>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</si>
  <si>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</si>
  <si>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</si>
  <si>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</si>
  <si>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</si>
  <si>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</si>
  <si>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</si>
  <si>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</si>
  <si>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</si>
  <si>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</si>
  <si>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</si>
  <si>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</si>
  <si>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</si>
  <si>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</si>
  <si>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</si>
  <si>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</si>
  <si>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</si>
  <si>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</si>
  <si>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</si>
  <si>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</si>
  <si>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</si>
  <si>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</si>
  <si>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</si>
  <si>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</si>
  <si>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</si>
  <si>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</si>
  <si>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</si>
  <si>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</si>
  <si>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</si>
  <si>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</si>
  <si>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</si>
  <si>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</si>
  <si>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</si>
  <si>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</si>
  <si>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</si>
  <si>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</si>
  <si>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</si>
  <si>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</si>
  <si>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</si>
  <si>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</si>
  <si>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</si>
  <si>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</si>
  <si>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</si>
  <si>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</si>
  <si>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</si>
  <si>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</si>
  <si>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</si>
  <si>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</si>
  <si>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</si>
  <si>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</si>
  <si>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</si>
  <si>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</si>
  <si>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</si>
  <si>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</si>
  <si>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</si>
  <si>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</si>
  <si>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</si>
  <si>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</si>
  <si>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</si>
  <si>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</si>
  <si>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</si>
  <si>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</si>
  <si>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</si>
  <si>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</si>
  <si>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</si>
  <si>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</si>
  <si>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</si>
  <si>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</si>
  <si>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</si>
  <si>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</si>
  <si>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</si>
  <si>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</si>
  <si>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</si>
  <si>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</si>
  <si>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</si>
  <si>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</si>
  <si>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</si>
  <si>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</si>
  <si>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</si>
  <si>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</si>
  <si>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</si>
  <si>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</si>
  <si>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</si>
  <si>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</si>
  <si>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</si>
  <si>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</si>
  <si>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</si>
  <si>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</si>
  <si>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</si>
  <si>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</si>
  <si>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</si>
  <si>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</si>
  <si>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</si>
  <si>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</si>
  <si>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</si>
  <si>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</si>
  <si>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</si>
  <si>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</si>
  <si>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</si>
  <si>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</si>
  <si>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</si>
  <si>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</si>
  <si>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</si>
  <si>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</si>
  <si>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</si>
  <si>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</si>
  <si>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</si>
  <si>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</si>
  <si>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</si>
  <si>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</si>
  <si>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</si>
  <si>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</si>
  <si>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</si>
  <si>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</si>
  <si>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</si>
  <si>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</si>
  <si>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</si>
  <si>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</si>
  <si>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</si>
  <si>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</si>
  <si>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</si>
  <si>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</si>
  <si>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</si>
  <si>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</si>
  <si>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</si>
  <si>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</si>
  <si>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</si>
  <si>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</si>
  <si>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</si>
  <si>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</si>
  <si>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</si>
  <si>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</si>
  <si>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</si>
  <si>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</si>
  <si>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</si>
  <si>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</si>
  <si>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</si>
  <si>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</si>
  <si>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</si>
  <si>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</si>
  <si>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</si>
  <si>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</si>
  <si>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</si>
  <si>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</si>
  <si>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</si>
  <si>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</si>
  <si>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</si>
  <si>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</si>
  <si>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</si>
  <si>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</si>
  <si>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</si>
  <si>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</si>
  <si>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</si>
  <si>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</si>
  <si>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</si>
  <si>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</si>
  <si>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</si>
  <si>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</si>
  <si>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</si>
  <si>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</si>
  <si>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</si>
  <si>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</si>
  <si>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</si>
  <si>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</si>
  <si>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</si>
  <si>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</si>
  <si>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</si>
  <si>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</si>
  <si>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</si>
  <si>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</si>
  <si>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</si>
  <si>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</si>
  <si>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</si>
  <si>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</si>
  <si>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</si>
  <si>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</si>
  <si>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</si>
  <si>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</si>
  <si>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</si>
  <si>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</si>
  <si>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</si>
  <si>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</si>
  <si>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</si>
  <si>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</si>
  <si>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</si>
  <si>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</si>
  <si>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</si>
  <si>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</si>
  <si>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</si>
  <si>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</si>
  <si>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</si>
  <si>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</si>
  <si>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</si>
  <si>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</si>
  <si>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</si>
  <si>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</si>
  <si>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</si>
  <si>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</si>
  <si>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</si>
  <si>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</si>
  <si>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</si>
  <si>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</si>
  <si>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</si>
  <si>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</si>
  <si>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</si>
  <si>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</si>
  <si>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</si>
  <si>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</si>
  <si>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</si>
  <si>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</si>
  <si>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</si>
  <si>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</si>
  <si>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</si>
  <si>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</si>
  <si>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</si>
  <si>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</si>
  <si>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</si>
  <si>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</si>
  <si>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</si>
  <si>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</si>
  <si>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</si>
  <si>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</si>
  <si>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</si>
  <si>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</si>
  <si>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</si>
  <si>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</si>
  <si>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</si>
  <si>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</si>
  <si>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</si>
  <si>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</si>
  <si>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</si>
  <si>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</si>
  <si>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</si>
  <si>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</si>
  <si>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</si>
  <si>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</si>
  <si>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</si>
  <si>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</si>
  <si>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</si>
  <si>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</si>
  <si>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</si>
  <si>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</si>
  <si>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</si>
  <si>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</si>
  <si>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</si>
  <si>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</si>
  <si>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</si>
  <si>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</si>
  <si>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</si>
  <si>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</si>
  <si>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</si>
  <si>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</si>
  <si>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</si>
  <si>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</si>
  <si>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</si>
  <si>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</si>
  <si>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</si>
  <si>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</si>
  <si>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</si>
  <si>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</si>
  <si>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</si>
  <si>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</si>
  <si>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</si>
  <si>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</si>
  <si>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</si>
  <si>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</si>
  <si>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</si>
  <si>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</si>
  <si>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</si>
  <si>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</si>
  <si>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</si>
  <si>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</si>
  <si>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</si>
  <si>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</si>
  <si>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</si>
  <si>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</si>
  <si>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</si>
  <si>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</si>
  <si>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</si>
  <si>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</si>
  <si>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</si>
  <si>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</si>
  <si>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</si>
  <si>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</si>
  <si>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</si>
  <si>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</si>
  <si>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</si>
  <si>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</si>
  <si>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</si>
  <si>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</si>
  <si>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</si>
  <si>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</si>
  <si>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</si>
  <si>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</si>
  <si>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</si>
  <si>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</si>
  <si>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</si>
  <si>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</si>
  <si>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</si>
  <si>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</si>
  <si>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</si>
  <si>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</si>
  <si>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</si>
  <si>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</si>
  <si>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</si>
  <si>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</si>
  <si>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</si>
  <si>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</si>
  <si>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</si>
  <si>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</si>
  <si>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</si>
  <si>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</si>
  <si>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</si>
  <si>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</si>
  <si>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</si>
  <si>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</si>
  <si>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</si>
  <si>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</si>
  <si>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</si>
  <si>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</si>
  <si>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</si>
  <si>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</si>
  <si>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</si>
  <si>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</si>
  <si>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</si>
  <si>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</si>
  <si>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</si>
  <si>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</si>
  <si>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</si>
  <si>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</si>
  <si>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</si>
  <si>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</si>
  <si>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</si>
  <si>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</si>
  <si>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</si>
  <si>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</si>
  <si>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</si>
  <si>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</si>
  <si>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</si>
  <si>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</si>
  <si>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</si>
  <si>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</si>
  <si>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</si>
  <si>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</si>
  <si>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</si>
  <si>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</si>
  <si>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</si>
  <si>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</si>
  <si>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</si>
  <si>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</si>
  <si>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</si>
  <si>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</si>
  <si>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</si>
  <si>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</si>
  <si>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</si>
  <si>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</si>
  <si>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</si>
  <si>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</si>
  <si>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</si>
  <si>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</si>
  <si>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</si>
  <si>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</si>
  <si>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</si>
  <si>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</si>
  <si>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</si>
  <si>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</si>
  <si>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</si>
  <si>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</si>
  <si>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</si>
  <si>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</si>
  <si>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</si>
  <si>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</si>
  <si>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</si>
  <si>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</si>
  <si>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</si>
  <si>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</si>
  <si>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</si>
  <si>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</si>
  <si>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</si>
  <si>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</si>
  <si>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</si>
  <si>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</si>
  <si>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</si>
  <si>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</si>
  <si>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</si>
  <si>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</si>
  <si>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</si>
  <si>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</si>
  <si>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</si>
  <si>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</si>
  <si>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</si>
  <si>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</si>
  <si>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</si>
  <si>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</si>
  <si>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</si>
  <si>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</si>
  <si>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</si>
  <si>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</si>
  <si>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</si>
  <si>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</si>
  <si>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</si>
  <si>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</si>
  <si>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</si>
  <si>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</si>
  <si>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</si>
  <si>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</si>
  <si>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</si>
  <si>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</si>
  <si>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</si>
  <si>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</si>
  <si>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</si>
  <si>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</si>
  <si>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</si>
  <si>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</si>
  <si>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</si>
  <si>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</si>
  <si>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</si>
  <si>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</si>
  <si>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</si>
  <si>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</si>
  <si>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</si>
  <si>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</si>
  <si>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</si>
  <si>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</si>
  <si>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</si>
  <si>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</si>
  <si>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</si>
  <si>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</si>
  <si>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</si>
  <si>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</si>
  <si>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</si>
  <si>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</si>
  <si>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</si>
  <si>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</si>
  <si>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</si>
  <si>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</si>
  <si>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</si>
  <si>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</si>
  <si>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</si>
  <si>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</si>
  <si>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</si>
  <si>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</si>
  <si>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</si>
  <si>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</si>
  <si>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</si>
  <si>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</si>
  <si>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</si>
  <si>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</si>
  <si>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</si>
  <si>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</si>
  <si>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</si>
  <si>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</si>
  <si>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</si>
  <si>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</si>
  <si>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</si>
  <si>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</si>
  <si>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</si>
  <si>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</si>
  <si>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</si>
  <si>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</si>
  <si>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</si>
  <si>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</si>
  <si>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</si>
  <si>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</si>
  <si>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</si>
  <si>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</si>
  <si>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</si>
  <si>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</si>
  <si>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</si>
  <si>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</si>
  <si>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</si>
  <si>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</si>
  <si>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</si>
  <si>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</si>
  <si>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</si>
  <si>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</si>
  <si>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</si>
  <si>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</si>
  <si>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</si>
  <si>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</si>
  <si>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</si>
  <si>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</si>
  <si>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</si>
  <si>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</si>
  <si>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</si>
  <si>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</si>
  <si>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</si>
  <si>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</si>
  <si>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</si>
  <si>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</si>
  <si>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</si>
  <si>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</si>
  <si>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</si>
  <si>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</si>
  <si>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</si>
  <si>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</si>
  <si>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</si>
  <si>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</si>
  <si>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</si>
  <si>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</si>
  <si>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</si>
  <si>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</si>
  <si>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</si>
  <si>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</si>
  <si>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</si>
  <si>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</si>
  <si>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</si>
  <si>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</si>
  <si>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</si>
  <si>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</si>
  <si>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</si>
  <si>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</si>
  <si>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</si>
  <si>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</si>
  <si>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</si>
  <si>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</si>
  <si>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</si>
  <si>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</si>
  <si>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</si>
  <si>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</si>
  <si>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</si>
  <si>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</si>
  <si>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</si>
  <si>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</si>
  <si>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</si>
  <si>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</si>
  <si>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</si>
  <si>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</si>
  <si>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</si>
  <si>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</si>
  <si>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</si>
  <si>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</si>
  <si>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</si>
  <si>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</si>
  <si>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</si>
  <si>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</si>
  <si>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</si>
  <si>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</si>
  <si>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</si>
  <si>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</si>
  <si>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</si>
  <si>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</si>
  <si>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</si>
  <si>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</si>
  <si>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</si>
  <si>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</si>
  <si>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</si>
  <si>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</si>
  <si>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</si>
  <si>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</si>
  <si>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</si>
  <si>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</si>
  <si>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</si>
  <si>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</si>
  <si>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</si>
  <si>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</si>
  <si>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</si>
  <si>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</si>
  <si>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</si>
  <si>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</si>
  <si>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</si>
  <si>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</si>
  <si>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</si>
  <si>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</si>
  <si>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</si>
  <si>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</si>
  <si>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</si>
  <si>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</si>
  <si>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</si>
  <si>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</si>
  <si>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</si>
  <si>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</si>
  <si>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</si>
  <si>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</si>
  <si>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</si>
  <si>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</si>
  <si>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</si>
  <si>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</si>
  <si>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</si>
  <si>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</si>
  <si>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</si>
  <si>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</si>
  <si>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</si>
  <si>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</si>
  <si>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</si>
  <si>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</si>
  <si>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</si>
  <si>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</si>
  <si>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</si>
  <si>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</si>
  <si>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</si>
  <si>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</si>
  <si>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</si>
  <si>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</si>
  <si>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</si>
  <si>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</si>
  <si>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</si>
  <si>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</si>
  <si>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</si>
  <si>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</si>
  <si>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</si>
  <si>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</si>
  <si>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</si>
  <si>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</si>
  <si>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</si>
  <si>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</si>
  <si>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</si>
  <si>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</si>
  <si>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</si>
  <si>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</si>
  <si>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</si>
  <si>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</si>
  <si>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</si>
  <si>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</si>
  <si>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</si>
  <si>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</si>
  <si>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</si>
  <si>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</si>
  <si>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</si>
  <si>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</si>
  <si>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</si>
  <si>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</si>
  <si>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</si>
  <si>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</si>
  <si>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</si>
  <si>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</si>
  <si>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</si>
  <si>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</si>
  <si>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</si>
  <si>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</si>
  <si>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</si>
  <si>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</si>
  <si>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</si>
  <si>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</si>
  <si>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</si>
  <si>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</si>
  <si>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</si>
  <si>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</si>
  <si>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</si>
  <si>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</si>
  <si>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</si>
  <si>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</si>
  <si>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</si>
  <si>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</si>
  <si>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</si>
  <si>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</si>
  <si>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</si>
  <si>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</si>
  <si>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</si>
  <si>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</si>
  <si>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</si>
  <si>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</si>
  <si>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</si>
  <si>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</si>
  <si>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</si>
  <si>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</si>
  <si>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</si>
  <si>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</si>
  <si>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</si>
  <si>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</si>
  <si>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</si>
  <si>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</si>
  <si>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</si>
  <si>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</si>
  <si>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</si>
  <si>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</si>
  <si>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</si>
  <si>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</si>
  <si>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</si>
  <si>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</si>
  <si>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</si>
  <si>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</si>
  <si>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</si>
  <si>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</si>
  <si>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</si>
  <si>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</si>
  <si>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</si>
  <si>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</si>
  <si>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</si>
  <si>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</si>
  <si>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</si>
  <si>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</si>
  <si>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</si>
  <si>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</si>
  <si>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</si>
  <si>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</si>
  <si>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</si>
  <si>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</si>
  <si>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</si>
  <si>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</si>
  <si>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</si>
  <si>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</si>
  <si>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</si>
  <si>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</si>
  <si>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</si>
  <si>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</si>
  <si>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</si>
  <si>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</si>
  <si>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</si>
  <si>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</si>
  <si>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</si>
  <si>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</si>
  <si>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</si>
  <si>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</si>
  <si>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</si>
  <si>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</si>
  <si>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</si>
  <si>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</si>
  <si>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</si>
  <si>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</si>
  <si>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</si>
  <si>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</si>
  <si>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</si>
  <si>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</si>
  <si>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</si>
  <si>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</si>
  <si>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</si>
  <si>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</si>
  <si>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</si>
  <si>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</si>
  <si>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</si>
  <si>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</si>
  <si>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</si>
  <si>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</si>
  <si>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</si>
  <si>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</si>
  <si>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</si>
  <si>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</si>
  <si>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</si>
  <si>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</si>
  <si>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</si>
  <si>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</si>
  <si>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</si>
  <si>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</si>
  <si>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</si>
  <si>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</si>
  <si>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</si>
  <si>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</si>
  <si>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</si>
  <si>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</si>
  <si>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</si>
  <si>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</si>
  <si>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</si>
  <si>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</si>
  <si>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</si>
  <si>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</si>
  <si>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</si>
  <si>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</si>
  <si>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</si>
  <si>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</si>
  <si>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</si>
  <si>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</si>
  <si>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</si>
  <si>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</si>
  <si>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</si>
  <si>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</si>
  <si>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</si>
  <si>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</si>
  <si>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</si>
  <si>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</si>
  <si>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</si>
  <si>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</si>
  <si>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</si>
  <si>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</si>
  <si>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</si>
  <si>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</si>
  <si>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</si>
  <si>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</si>
  <si>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</si>
  <si>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</si>
  <si>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</si>
  <si>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</si>
  <si>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</si>
  <si>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</si>
  <si>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</si>
  <si>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</si>
  <si>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</si>
  <si>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</si>
  <si>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</si>
  <si>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</si>
  <si>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</si>
  <si>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</si>
  <si>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</si>
  <si>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</si>
  <si>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</si>
  <si>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</si>
  <si>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</si>
  <si>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</si>
  <si>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</si>
  <si>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</si>
  <si>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</si>
  <si>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</si>
  <si>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</si>
  <si>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</si>
  <si>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</si>
  <si>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</si>
  <si>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</si>
  <si>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</si>
  <si>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</si>
  <si>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</si>
  <si>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</si>
  <si>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</si>
  <si>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</si>
  <si>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</si>
  <si>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</si>
  <si>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</si>
  <si>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</si>
  <si>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</si>
  <si>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</si>
  <si>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</si>
  <si>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</si>
  <si>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</si>
  <si>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</si>
  <si>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</si>
  <si>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</si>
  <si>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</si>
  <si>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</si>
  <si>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</si>
  <si>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</si>
  <si>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</si>
  <si>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</si>
  <si>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</si>
  <si>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</si>
  <si>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</si>
  <si>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</si>
  <si>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</si>
  <si>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</si>
  <si>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</si>
  <si>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</si>
  <si>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</si>
  <si>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</si>
  <si>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</si>
  <si>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</si>
  <si>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</si>
  <si>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</si>
  <si>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</si>
  <si>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</si>
  <si>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</si>
  <si>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</si>
  <si>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</si>
  <si>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</si>
  <si>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</si>
  <si>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</si>
  <si>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</si>
  <si>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</si>
  <si>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</si>
  <si>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</si>
  <si>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</si>
  <si>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</si>
  <si>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</si>
  <si>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</si>
  <si>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</si>
  <si>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</si>
  <si>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</si>
  <si>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</si>
  <si>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</si>
  <si>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</si>
  <si>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</si>
  <si>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</si>
  <si>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</si>
  <si>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</si>
  <si>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</si>
  <si>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</si>
  <si>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</si>
  <si>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</si>
  <si>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</si>
  <si>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</si>
  <si>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</si>
  <si>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</si>
  <si>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</si>
  <si>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</si>
  <si>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</si>
  <si>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</si>
  <si>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</si>
  <si>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</si>
  <si>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</si>
  <si>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</si>
  <si>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</si>
  <si>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</si>
  <si>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</si>
  <si>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</si>
  <si>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</si>
  <si>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</si>
  <si>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</si>
  <si>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</si>
  <si>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</si>
  <si>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</si>
  <si>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</si>
  <si>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</si>
  <si>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</si>
  <si>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</si>
  <si>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</si>
  <si>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</si>
  <si>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</si>
  <si>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</si>
  <si>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</si>
  <si>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</si>
  <si>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</si>
  <si>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</si>
  <si>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</si>
  <si>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</si>
  <si>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</si>
  <si>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</si>
  <si>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</si>
  <si>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</si>
  <si>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</si>
  <si>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</si>
  <si>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</si>
  <si>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</si>
  <si>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</si>
  <si>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</si>
  <si>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</si>
  <si>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</si>
  <si>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</si>
  <si>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</si>
  <si>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</si>
  <si>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</si>
  <si>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</si>
  <si>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</si>
  <si>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</si>
  <si>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</si>
  <si>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</si>
  <si>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</si>
  <si>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</si>
  <si>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</si>
  <si>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</si>
  <si>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</si>
  <si>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</si>
  <si>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</si>
  <si>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</si>
  <si>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</si>
  <si>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</si>
  <si>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</si>
  <si>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</si>
  <si>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</si>
  <si>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</si>
  <si>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</si>
  <si>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</si>
  <si>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</si>
  <si>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</si>
  <si>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</si>
  <si>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</si>
  <si>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</si>
  <si>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</si>
  <si>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</si>
  <si>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</si>
  <si>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</si>
  <si>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</si>
  <si>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</si>
  <si>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</si>
  <si>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</si>
  <si>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</si>
  <si>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</si>
  <si>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</si>
  <si>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</si>
  <si>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否</t>
  </si>
  <si>
    <t>是</t>
  </si>
  <si>
    <t>地下</t>
  </si>
  <si>
    <t>戊类库房</t>
  </si>
  <si>
    <t>居住项目</t>
  </si>
  <si>
    <t>无</t>
  </si>
  <si>
    <t>现房</t>
  </si>
  <si>
    <t>Ⅷ-兴1</t>
  </si>
  <si>
    <t>地下仓储-戊类库房</t>
  </si>
  <si>
    <t>地下仓储-戊类库房</t>
    <phoneticPr fontId="7" type="noConversion"/>
  </si>
  <si>
    <t>成新度</t>
  </si>
  <si>
    <t>北臧村镇</t>
    <phoneticPr fontId="3" type="noConversion"/>
  </si>
  <si>
    <r>
      <rPr>
        <sz val="10"/>
        <color indexed="8"/>
        <rFont val="宋体"/>
        <family val="3"/>
        <charset val="134"/>
      </rPr>
      <t>年租金</t>
    </r>
    <r>
      <rPr>
        <sz val="10"/>
        <color indexed="8"/>
        <rFont val="Arial"/>
        <family val="2"/>
      </rPr>
      <t>100</t>
    </r>
    <r>
      <rPr>
        <sz val="10"/>
        <color indexed="8"/>
        <rFont val="宋体"/>
        <family val="3"/>
        <charset val="134"/>
      </rPr>
      <t>万，日租金</t>
    </r>
    <r>
      <rPr>
        <sz val="10"/>
        <color indexed="8"/>
        <rFont val="Arial"/>
        <family val="2"/>
      </rPr>
      <t>1.6</t>
    </r>
    <r>
      <rPr>
        <sz val="10"/>
        <color indexed="8"/>
        <rFont val="宋体"/>
        <family val="3"/>
        <charset val="134"/>
      </rPr>
      <t>块</t>
    </r>
    <phoneticPr fontId="3" type="noConversion"/>
  </si>
  <si>
    <t>押一</t>
  </si>
  <si>
    <t>钢混</t>
  </si>
  <si>
    <t>非生产用房</t>
  </si>
  <si>
    <t>自定义容积率</t>
  </si>
  <si>
    <t>不临65条商业街</t>
  </si>
  <si>
    <t>通路</t>
  </si>
  <si>
    <t>通电</t>
  </si>
  <si>
    <t>通讯</t>
  </si>
  <si>
    <t>通上水</t>
  </si>
  <si>
    <t>通下水</t>
  </si>
  <si>
    <t>平整</t>
  </si>
  <si>
    <t>与级别开发程度一致</t>
  </si>
  <si>
    <t>中心城区以外</t>
  </si>
  <si>
    <t>较好</t>
  </si>
  <si>
    <t>一般</t>
  </si>
  <si>
    <t>未包含在土地购买价格中</t>
  </si>
  <si>
    <t>全部缴纳</t>
  </si>
  <si>
    <t>已包含在土地取得成本中</t>
  </si>
  <si>
    <t>成本法 (元)</t>
  </si>
  <si>
    <t>收益法 (元)</t>
  </si>
  <si>
    <t>楼面单价</t>
  </si>
  <si>
    <t>成本比率</t>
  </si>
  <si>
    <t>区县：大兴区；分析周期：2024年08月 至 2025年08月；物业类型：储物间,仓储</t>
  </si>
  <si>
    <t>项目名称</t>
  </si>
  <si>
    <t>区县</t>
  </si>
  <si>
    <t>板块</t>
  </si>
  <si>
    <t>成交套数</t>
  </si>
  <si>
    <t>成交面积(㎡)</t>
  </si>
  <si>
    <t>成交价格</t>
  </si>
  <si>
    <t>成交金额(万元)</t>
  </si>
  <si>
    <t>批准上市套数</t>
  </si>
  <si>
    <t>批准上市面积(㎡)</t>
  </si>
  <si>
    <t>可售套数</t>
  </si>
  <si>
    <t>可售面积(㎡)</t>
  </si>
  <si>
    <t>雅居乐京华雅郡</t>
    <phoneticPr fontId="134" type="noConversion"/>
  </si>
  <si>
    <t>大兴区</t>
  </si>
  <si>
    <t>亦庄核心区北部</t>
  </si>
  <si>
    <t/>
  </si>
  <si>
    <t>橡树湾（红橡润园）</t>
  </si>
  <si>
    <t>西红门镇东</t>
  </si>
  <si>
    <t>晓月和风</t>
  </si>
  <si>
    <t>黄村</t>
  </si>
  <si>
    <t>星光都荟合苑</t>
  </si>
  <si>
    <t>和悦璞云</t>
  </si>
  <si>
    <t>榆垡镇</t>
  </si>
  <si>
    <t>中海兴叁號院</t>
  </si>
  <si>
    <t>旧宫北</t>
  </si>
  <si>
    <t>保利绿城·和锦诚园</t>
  </si>
  <si>
    <t>德茂</t>
  </si>
  <si>
    <t>兴城之星</t>
    <phoneticPr fontId="134" type="noConversion"/>
  </si>
  <si>
    <t>大兴新城物流基地</t>
  </si>
  <si>
    <t>中建玖玥府</t>
  </si>
  <si>
    <t>京能｜电建·洺悦湾</t>
  </si>
  <si>
    <t>小红门</t>
  </si>
  <si>
    <t>中国铁建·花语金郡</t>
    <phoneticPr fontId="134" type="noConversion"/>
  </si>
  <si>
    <t>德贤华府</t>
    <phoneticPr fontId="134" type="noConversion"/>
  </si>
  <si>
    <t>生物医药北区</t>
  </si>
  <si>
    <t>金地·悦风华</t>
  </si>
  <si>
    <t>团河</t>
  </si>
  <si>
    <t>和悦华锦</t>
  </si>
  <si>
    <t>河西区南部</t>
  </si>
  <si>
    <t>中建鄂旅投·星光里</t>
  </si>
  <si>
    <t>大兴南部农场</t>
  </si>
  <si>
    <t>庞各庄镇</t>
  </si>
  <si>
    <t>金隅学府</t>
  </si>
  <si>
    <t>熙悦雲上</t>
  </si>
  <si>
    <t>中铁兴创·逸境</t>
  </si>
  <si>
    <t>航城壹号</t>
  </si>
  <si>
    <t>万和斐丽</t>
  </si>
  <si>
    <t>瀛海</t>
  </si>
  <si>
    <t>壹品兴创御璟星城</t>
  </si>
  <si>
    <t>路劲·御合院</t>
  </si>
  <si>
    <t>采育镇</t>
  </si>
  <si>
    <t>熙悦宸著</t>
  </si>
  <si>
    <t>中海寰宇时代</t>
  </si>
  <si>
    <t>中铁华侨城·和园</t>
  </si>
  <si>
    <t>大兴金茂悦</t>
  </si>
  <si>
    <t>魏善庄镇</t>
  </si>
  <si>
    <t>林悦和苑</t>
  </si>
  <si>
    <t>中旅·亦府</t>
  </si>
  <si>
    <t>瑞福园</t>
  </si>
  <si>
    <t>合生me悦</t>
  </si>
  <si>
    <t>鲁能领寓</t>
  </si>
  <si>
    <t>金融街·金色漫香林</t>
  </si>
  <si>
    <t>路东区北部</t>
  </si>
  <si>
    <t>金林家园</t>
  </si>
  <si>
    <t>瀛海府</t>
  </si>
  <si>
    <t>融创·公园壹号</t>
    <phoneticPr fontId="134" type="noConversion"/>
  </si>
  <si>
    <t>魏善庄北</t>
  </si>
  <si>
    <t>住星嘉园</t>
    <phoneticPr fontId="134" type="noConversion"/>
  </si>
  <si>
    <t>海悦公馆</t>
  </si>
  <si>
    <t>大兴新城</t>
  </si>
  <si>
    <t>兴创荣墅</t>
  </si>
  <si>
    <t>龙熙旭辉·6號院</t>
  </si>
  <si>
    <t>中骏金辉·未来云城</t>
  </si>
  <si>
    <t>中冶·德贤公馆</t>
  </si>
  <si>
    <t>运通博远阁</t>
  </si>
  <si>
    <t>新华联丽景珊瑚湾</t>
    <phoneticPr fontId="134" type="noConversion"/>
  </si>
  <si>
    <t>高米店</t>
  </si>
  <si>
    <t>天恒·旭辉7号院</t>
  </si>
  <si>
    <t>北臧村北</t>
  </si>
  <si>
    <t>福兴雅筑</t>
  </si>
  <si>
    <t>亦生悦</t>
  </si>
  <si>
    <t>四季盛景园</t>
  </si>
  <si>
    <t>金悦府</t>
  </si>
  <si>
    <t>中海京叁號院</t>
  </si>
  <si>
    <t>中国铁建·国际公馆</t>
  </si>
  <si>
    <t>盛兴园</t>
  </si>
  <si>
    <t>亦城亦景家园</t>
  </si>
  <si>
    <t>住总如院</t>
  </si>
  <si>
    <t>单套模式</t>
  </si>
  <si>
    <t>售价</t>
  </si>
  <si>
    <t>兴源幸福城</t>
    <phoneticPr fontId="3" type="noConversion"/>
  </si>
  <si>
    <t>正常</t>
  </si>
  <si>
    <t>兴宏雅苑</t>
    <phoneticPr fontId="134" type="noConversion"/>
  </si>
  <si>
    <t>仓储</t>
    <phoneticPr fontId="31" type="noConversion"/>
  </si>
  <si>
    <r>
      <rPr>
        <sz val="11"/>
        <color indexed="8"/>
        <rFont val="宋体"/>
        <family val="3"/>
        <charset val="134"/>
      </rPr>
      <t>负</t>
    </r>
    <r>
      <rPr>
        <sz val="11"/>
        <color indexed="8"/>
        <rFont val="Arial"/>
        <family val="2"/>
      </rPr>
      <t>1</t>
    </r>
    <r>
      <rPr>
        <sz val="11"/>
        <color indexed="8"/>
        <rFont val="宋体"/>
        <family val="3"/>
        <charset val="134"/>
      </rPr>
      <t>层</t>
    </r>
    <phoneticPr fontId="31" type="noConversion"/>
  </si>
  <si>
    <r>
      <rPr>
        <sz val="11"/>
        <color indexed="8"/>
        <rFont val="宋体"/>
        <family val="3"/>
        <charset val="134"/>
      </rPr>
      <t>负</t>
    </r>
    <r>
      <rPr>
        <sz val="11"/>
        <color indexed="8"/>
        <rFont val="Arial"/>
        <family val="2"/>
      </rPr>
      <t>2</t>
    </r>
    <r>
      <rPr>
        <sz val="11"/>
        <color indexed="8"/>
        <rFont val="宋体"/>
        <family val="3"/>
        <charset val="134"/>
      </rPr>
      <t>层</t>
    </r>
    <phoneticPr fontId="31" type="noConversion"/>
  </si>
  <si>
    <t>负1层</t>
  </si>
  <si>
    <t>兴念雅苑</t>
    <phoneticPr fontId="134" type="noConversion"/>
  </si>
  <si>
    <t>兴念雅苑</t>
    <phoneticPr fontId="31" type="noConversion"/>
  </si>
  <si>
    <t>负2层</t>
  </si>
  <si>
    <t>中海云筑</t>
    <phoneticPr fontId="134" type="noConversion"/>
  </si>
  <si>
    <t>中海云筑</t>
    <phoneticPr fontId="3" type="noConversion"/>
  </si>
  <si>
    <t>比较法-仓储</t>
  </si>
  <si>
    <t>兴宏雅苑</t>
    <phoneticPr fontId="3" type="noConversion"/>
  </si>
  <si>
    <t>七通</t>
  </si>
  <si>
    <r>
      <t>50</t>
    </r>
    <r>
      <rPr>
        <sz val="11"/>
        <rFont val="宋体"/>
        <family val="3"/>
        <charset val="134"/>
      </rPr>
      <t>（含）</t>
    </r>
    <r>
      <rPr>
        <sz val="11"/>
        <rFont val="Arial"/>
        <family val="2"/>
      </rPr>
      <t>-35</t>
    </r>
    <phoneticPr fontId="31" type="noConversion"/>
  </si>
  <si>
    <r>
      <t>35</t>
    </r>
    <r>
      <rPr>
        <sz val="11"/>
        <rFont val="宋体"/>
        <family val="3"/>
        <charset val="134"/>
      </rPr>
      <t>（含）</t>
    </r>
    <r>
      <rPr>
        <sz val="11"/>
        <rFont val="Arial"/>
        <family val="2"/>
      </rPr>
      <t>-20</t>
    </r>
    <phoneticPr fontId="31" type="noConversion"/>
  </si>
  <si>
    <r>
      <t>20</t>
    </r>
    <r>
      <rPr>
        <sz val="11"/>
        <rFont val="宋体"/>
        <family val="3"/>
        <charset val="134"/>
      </rPr>
      <t>（含）以下</t>
    </r>
    <phoneticPr fontId="31" type="noConversion"/>
  </si>
  <si>
    <r>
      <rPr>
        <sz val="10"/>
        <color theme="9" tint="-0.249977111117893"/>
        <rFont val="宋体"/>
        <family val="3"/>
        <charset val="134"/>
      </rPr>
      <t>大兴区天水街</t>
    </r>
    <r>
      <rPr>
        <sz val="10"/>
        <color theme="9" tint="-0.249977111117893"/>
        <rFont val="Arial"/>
        <family val="2"/>
      </rPr>
      <t>16</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号楼负</t>
    </r>
    <r>
      <rPr>
        <sz val="10"/>
        <color theme="9" tint="-0.249977111117893"/>
        <rFont val="Arial"/>
        <family val="2"/>
      </rPr>
      <t>1</t>
    </r>
    <r>
      <rPr>
        <sz val="10"/>
        <color theme="9" tint="-0.249977111117893"/>
        <rFont val="宋体"/>
        <family val="3"/>
        <charset val="134"/>
      </rPr>
      <t>层地下仓储用房</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</si>
</sst>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11"/>
      <color rgb="FFFF0000"/>
      <name val="宋体"/>
      <family val="2"/>
      <scheme val="minor"/>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4" fillId="0" borderId="0"/>
  </cellStyleXfs>
  <cellXfs count="38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179" fontId="128" fillId="12" borderId="0" xfId="0" applyNumberFormat="1" applyFont="1" applyFill="1" applyAlignment="1" applyProtection="1">
      <alignment vertical="center"/>
      <protection locked="0"/>
    </xf>
    <xf numFmtId="0" fontId="95" fillId="0" borderId="0" xfId="19" applyNumberFormat="1" applyFont="1" applyAlignment="1">
      <alignment horizontal="left" vertical="center"/>
    </xf>
    <xf numFmtId="0" fontId="159" fillId="0" borderId="0" xfId="19" applyNumberFormat="1" applyFont="1" applyAlignment="1">
      <alignment horizontal="left" vertical="center"/>
    </xf>
    <xf numFmtId="0" fontId="273" fillId="0" borderId="0" xfId="19" applyNumberFormat="1" applyFont="1" applyAlignment="1">
      <alignment horizontal="left" vertical="center"/>
    </xf>
    <xf numFmtId="0" fontId="272" fillId="0" borderId="0" xfId="19" applyNumberFormat="1" applyFont="1" applyAlignment="1">
      <alignment horizontal="left" vertical="center"/>
    </xf>
    <xf numFmtId="0" fontId="95" fillId="5" borderId="0" xfId="19" applyNumberFormat="1" applyFont="1" applyFill="1" applyAlignment="1">
      <alignment horizontal="left" vertical="center"/>
    </xf>
    <xf numFmtId="0" fontId="272" fillId="5" borderId="0" xfId="19" applyNumberFormat="1" applyFont="1" applyFill="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159" fillId="0" borderId="0" xfId="19" applyNumberFormat="1" applyFont="1" applyAlignment="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8" fillId="0" borderId="51" xfId="0" applyNumberFormat="1"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99</xdr:row>
      <xdr:rowOff>85725</xdr:rowOff>
    </xdr:from>
    <xdr:to>
      <xdr:col>11</xdr:col>
      <xdr:colOff>247650</xdr:colOff>
      <xdr:row>138</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059275"/>
          <a:ext cx="12401550" cy="6648450"/>
        </a:xfrm>
        <a:prstGeom prst="rect">
          <a:avLst/>
        </a:prstGeom>
      </xdr:spPr>
    </xdr:pic>
    <xdr:clientData/>
  </xdr:twoCellAnchor>
  <xdr:twoCellAnchor editAs="oneCell">
    <xdr:from>
      <xdr:col>0</xdr:col>
      <xdr:colOff>0</xdr:colOff>
      <xdr:row>139</xdr:row>
      <xdr:rowOff>104775</xdr:rowOff>
    </xdr:from>
    <xdr:to>
      <xdr:col>11</xdr:col>
      <xdr:colOff>171450</xdr:colOff>
      <xdr:row>180</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3936325"/>
          <a:ext cx="12325350" cy="6943725"/>
        </a:xfrm>
        <a:prstGeom prst="rect">
          <a:avLst/>
        </a:prstGeom>
      </xdr:spPr>
    </xdr:pic>
    <xdr:clientData/>
  </xdr:twoCellAnchor>
  <xdr:twoCellAnchor editAs="oneCell">
    <xdr:from>
      <xdr:col>0</xdr:col>
      <xdr:colOff>0</xdr:colOff>
      <xdr:row>210</xdr:row>
      <xdr:rowOff>161925</xdr:rowOff>
    </xdr:from>
    <xdr:to>
      <xdr:col>10</xdr:col>
      <xdr:colOff>1085850</xdr:colOff>
      <xdr:row>250</xdr:row>
      <xdr:rowOff>133350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6166425"/>
          <a:ext cx="12144375" cy="6829425"/>
        </a:xfrm>
        <a:prstGeom prst="rect">
          <a:avLst/>
        </a:prstGeom>
      </xdr:spPr>
    </xdr:pic>
    <xdr:clientData/>
  </xdr:twoCellAnchor>
  <xdr:twoCellAnchor editAs="oneCell">
    <xdr:from>
      <xdr:col>0</xdr:col>
      <xdr:colOff>0</xdr:colOff>
      <xdr:row>59</xdr:row>
      <xdr:rowOff>0</xdr:rowOff>
    </xdr:from>
    <xdr:to>
      <xdr:col>11</xdr:col>
      <xdr:colOff>247650</xdr:colOff>
      <xdr:row>98</xdr:row>
      <xdr:rowOff>142875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115550"/>
          <a:ext cx="12401550" cy="6829425"/>
        </a:xfrm>
        <a:prstGeom prst="rect">
          <a:avLst/>
        </a:prstGeom>
      </xdr:spPr>
    </xdr:pic>
    <xdr:clientData/>
  </xdr:twoCellAnchor>
  <xdr:twoCellAnchor editAs="oneCell">
    <xdr:from>
      <xdr:col>0</xdr:col>
      <xdr:colOff>0</xdr:colOff>
      <xdr:row>181</xdr:row>
      <xdr:rowOff>0</xdr:rowOff>
    </xdr:from>
    <xdr:to>
      <xdr:col>11</xdr:col>
      <xdr:colOff>133350</xdr:colOff>
      <xdr:row>209</xdr:row>
      <xdr:rowOff>95250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31032450"/>
          <a:ext cx="12287250" cy="4895850"/>
        </a:xfrm>
        <a:prstGeom prst="rect">
          <a:avLst/>
        </a:prstGeom>
      </xdr:spPr>
    </xdr:pic>
    <xdr:clientData/>
  </xdr:twoCellAnchor>
  <xdr:twoCellAnchor editAs="oneCell">
    <xdr:from>
      <xdr:col>0</xdr:col>
      <xdr:colOff>0</xdr:colOff>
      <xdr:row>252</xdr:row>
      <xdr:rowOff>0</xdr:rowOff>
    </xdr:from>
    <xdr:to>
      <xdr:col>11</xdr:col>
      <xdr:colOff>219075</xdr:colOff>
      <xdr:row>278</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43205400"/>
          <a:ext cx="12372975" cy="4610100"/>
        </a:xfrm>
        <a:prstGeom prst="rect">
          <a:avLst/>
        </a:prstGeom>
      </xdr:spPr>
    </xdr:pic>
    <xdr:clientData/>
  </xdr:twoCellAnchor>
  <xdr:twoCellAnchor editAs="oneCell">
    <xdr:from>
      <xdr:col>0</xdr:col>
      <xdr:colOff>0</xdr:colOff>
      <xdr:row>280</xdr:row>
      <xdr:rowOff>0</xdr:rowOff>
    </xdr:from>
    <xdr:to>
      <xdr:col>11</xdr:col>
      <xdr:colOff>142875</xdr:colOff>
      <xdr:row>306</xdr:row>
      <xdr:rowOff>66675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48006000"/>
          <a:ext cx="12296775" cy="4524375"/>
        </a:xfrm>
        <a:prstGeom prst="rect">
          <a:avLst/>
        </a:prstGeom>
      </xdr:spPr>
    </xdr:pic>
    <xdr:clientData/>
  </xdr:twoCellAnchor>
  <xdr:twoCellAnchor editAs="oneCell">
    <xdr:from>
      <xdr:col>11</xdr:col>
      <xdr:colOff>0</xdr:colOff>
      <xdr:row>212</xdr:row>
      <xdr:rowOff>0</xdr:rowOff>
    </xdr:from>
    <xdr:to>
      <xdr:col>18</xdr:col>
      <xdr:colOff>1428750</xdr:colOff>
      <xdr:row>252</xdr:row>
      <xdr:rowOff>28575</xdr:rowOff>
    </xdr:to>
    <xdr:pic>
      <xdr:nvPicPr>
        <xdr:cNvPr id="9" name="图片 8"/>
        <xdr:cNvPicPr>
          <a:picLocks noChangeAspect="1"/>
        </xdr:cNvPicPr>
      </xdr:nvPicPr>
      <xdr:blipFill>
        <a:blip xmlns:r="http://schemas.openxmlformats.org/officeDocument/2006/relationships" r:embed="rId8"/>
        <a:stretch>
          <a:fillRect/>
        </a:stretch>
      </xdr:blipFill>
      <xdr:spPr>
        <a:xfrm>
          <a:off x="12153900" y="36347400"/>
          <a:ext cx="12096750" cy="6886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94039</xdr:colOff>
      <xdr:row>29</xdr:row>
      <xdr:rowOff>27972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695239" cy="4828572"/>
        </a:xfrm>
        <a:prstGeom prst="rect">
          <a:avLst/>
        </a:prstGeom>
      </xdr:spPr>
    </xdr:pic>
    <xdr:clientData/>
  </xdr:twoCellAnchor>
  <xdr:twoCellAnchor editAs="oneCell">
    <xdr:from>
      <xdr:col>0</xdr:col>
      <xdr:colOff>0</xdr:colOff>
      <xdr:row>30</xdr:row>
      <xdr:rowOff>0</xdr:rowOff>
    </xdr:from>
    <xdr:to>
      <xdr:col>14</xdr:col>
      <xdr:colOff>408324</xdr:colOff>
      <xdr:row>58</xdr:row>
      <xdr:rowOff>132734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43500"/>
          <a:ext cx="10009524" cy="4933334"/>
        </a:xfrm>
        <a:prstGeom prst="rect">
          <a:avLst/>
        </a:prstGeom>
      </xdr:spPr>
    </xdr:pic>
    <xdr:clientData/>
  </xdr:twoCellAnchor>
  <xdr:twoCellAnchor editAs="oneCell">
    <xdr:from>
      <xdr:col>0</xdr:col>
      <xdr:colOff>0</xdr:colOff>
      <xdr:row>59</xdr:row>
      <xdr:rowOff>0</xdr:rowOff>
    </xdr:from>
    <xdr:to>
      <xdr:col>14</xdr:col>
      <xdr:colOff>332134</xdr:colOff>
      <xdr:row>90</xdr:row>
      <xdr:rowOff>151717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115550"/>
          <a:ext cx="9933334" cy="5466667"/>
        </a:xfrm>
        <a:prstGeom prst="rect">
          <a:avLst/>
        </a:prstGeom>
      </xdr:spPr>
    </xdr:pic>
    <xdr:clientData/>
  </xdr:twoCellAnchor>
  <xdr:twoCellAnchor editAs="oneCell">
    <xdr:from>
      <xdr:col>0</xdr:col>
      <xdr:colOff>0</xdr:colOff>
      <xdr:row>92</xdr:row>
      <xdr:rowOff>0</xdr:rowOff>
    </xdr:from>
    <xdr:to>
      <xdr:col>14</xdr:col>
      <xdr:colOff>255944</xdr:colOff>
      <xdr:row>123</xdr:row>
      <xdr:rowOff>75527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773400"/>
          <a:ext cx="9857144" cy="53904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522353</xdr:colOff>
      <xdr:row>31</xdr:row>
      <xdr:rowOff>142193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180953" cy="5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北京市大兴区天水街16号院1号楼负1层地下仓储用房房地产抵押价值预评估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受贵公司委托，我公司对北京市大兴区天水街16号院1号楼负1层地下仓储用房房地产抵押价值进行了预评估。</v>
      </c>
    </row>
    <row r="7" spans="1:2" s="1203" customFormat="1">
      <c r="A7" s="1201" t="s">
        <v>566</v>
      </c>
      <c r="B7" s="1202" t="str">
        <f>'预评函-1'!A7</f>
        <v>估价对象为北京市大兴区天水街16号院1号楼负1层地下仓储用房房地产，为所有。根据《国有土地使用证》[]，估价对象（分摊）出让国有建设用地使用权面积为0平方米，建筑面积为1674.92平方米。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大兴区天水街16号院1号楼负1层地下仓储用房房地产,属开发建设的居住项目，该项目尚在开发建设中。根据《国有土地使用证》[]，估价对象（分摊）出让国有建设用地使用权面积为0平方米，规划建筑面积为1674.92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大兴区天水街16号院1号楼负1层地下仓储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2025年8月22日（评估专业人员实地查勘之日）</v>
      </c>
    </row>
    <row r="13" spans="1:2" s="1203" customFormat="1">
      <c r="A13" s="1201" t="s">
        <v>529</v>
      </c>
      <c r="B13" s="1202" t="str">
        <f>'预评函-1'!A18</f>
        <v>本次估价的“房地产价值”是指在正常市场情况下，在价值时点2025年8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829</v>
      </c>
    </row>
    <row r="21" spans="1:2" s="1203" customFormat="1">
      <c r="A21" s="1201" t="s">
        <v>537</v>
      </c>
      <c r="B21" s="1202">
        <f ca="1">'预评函-2'!D7</f>
        <v>4947</v>
      </c>
    </row>
    <row r="22" spans="1:2" s="1203" customFormat="1">
      <c r="A22" s="1201" t="s">
        <v>538</v>
      </c>
      <c r="B22" s="1202" t="str">
        <f ca="1">'预评函-2'!D6</f>
        <v>捌佰贰拾玖万元整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829</v>
      </c>
    </row>
    <row r="31" spans="1:2" s="1203" customFormat="1">
      <c r="A31" s="1201" t="s">
        <v>576</v>
      </c>
      <c r="B31" s="1202">
        <f ca="1">'预评函-2'!D15</f>
        <v>4947</v>
      </c>
    </row>
    <row r="32" spans="1:2" s="1203" customFormat="1">
      <c r="A32" s="1201" t="s">
        <v>543</v>
      </c>
      <c r="B32" s="1202" t="str">
        <f ca="1">'预评函-2'!D14</f>
        <v>捌佰贰拾玖万元整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北京市大兴区天水街16号院1号楼负1层地下仓储用房房地产</v>
      </c>
    </row>
    <row r="42" spans="1:2" s="1203" customFormat="1">
      <c r="A42" s="1201" t="s">
        <v>590</v>
      </c>
      <c r="B42" s="1202" t="str">
        <f>'预评函-3'!B2</f>
        <v>建筑面积</v>
      </c>
    </row>
    <row r="43" spans="1:2" s="1203" customFormat="1">
      <c r="A43" s="1201" t="s">
        <v>591</v>
      </c>
      <c r="B43" s="1202">
        <f>'预评函-3'!B4</f>
        <v>1674.92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185</v>
      </c>
    </row>
    <row r="48" spans="1:2" s="1203" customFormat="1">
      <c r="A48" s="1201" t="s">
        <v>549</v>
      </c>
      <c r="B48" s="1202">
        <f ca="1">'预评函-3'!E4</f>
        <v>1103</v>
      </c>
    </row>
    <row r="49" spans="1:2" s="1203" customFormat="1">
      <c r="A49" s="1201" t="s">
        <v>550</v>
      </c>
      <c r="B49" s="1202" t="str">
        <f ca="1">'预评函-3'!D5</f>
        <v>壹佰捌拾伍万元整</v>
      </c>
    </row>
    <row r="50" spans="1:2" s="1203" customFormat="1">
      <c r="A50" s="1201" t="s">
        <v>574</v>
      </c>
      <c r="B50" s="1202" t="str">
        <f>'预评函-3'!F2</f>
        <v>在建建筑物价值</v>
      </c>
    </row>
    <row r="51" spans="1:2" s="1203" customFormat="1">
      <c r="A51" s="1201" t="s">
        <v>551</v>
      </c>
      <c r="B51" s="1202">
        <f ca="1">'预评函-3'!F4</f>
        <v>644</v>
      </c>
    </row>
    <row r="52" spans="1:2" s="1203" customFormat="1">
      <c r="A52" s="1201" t="s">
        <v>552</v>
      </c>
      <c r="B52" s="1202">
        <f ca="1">'预评函-3'!G4</f>
        <v>3844</v>
      </c>
    </row>
    <row r="53" spans="1:2" s="1203" customFormat="1">
      <c r="A53" s="1201" t="s">
        <v>580</v>
      </c>
      <c r="B53" s="1202" t="str">
        <f ca="1">'预评函-3'!F5</f>
        <v>陆佰肆拾肆万元整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3406</v>
      </c>
      <c r="AA1" s="1542" t="s">
        <v>3405</v>
      </c>
      <c r="AB1" s="1542" t="s">
        <v>3</v>
      </c>
    </row>
    <row r="2" spans="1:28">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3413</v>
      </c>
      <c r="Z2" s="1551" t="s">
        <v>2452</v>
      </c>
      <c r="AA2" s="1551" t="s">
        <v>3414</v>
      </c>
      <c r="AB2" s="1551" t="s">
        <v>2479</v>
      </c>
    </row>
    <row r="3" spans="1:28">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3415</v>
      </c>
    </row>
    <row r="6" spans="1:28">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3341</v>
      </c>
      <c r="X7" s="1551" t="s">
        <v>2449</v>
      </c>
      <c r="Z7" s="1551" t="s">
        <v>2462</v>
      </c>
      <c r="AB7" s="1551" t="s">
        <v>2488</v>
      </c>
    </row>
    <row r="8" spans="1:28">
      <c r="A8" s="1546" t="s">
        <v>1026</v>
      </c>
      <c r="B8" s="1546" t="s">
        <v>1027</v>
      </c>
      <c r="C8" s="1547" t="s">
        <v>319</v>
      </c>
      <c r="F8" s="1548" t="s">
        <v>1028</v>
      </c>
      <c r="H8" s="1548" t="s">
        <v>2577</v>
      </c>
      <c r="I8" s="1548" t="s">
        <v>3342</v>
      </c>
      <c r="X8" s="1551" t="s">
        <v>3416</v>
      </c>
      <c r="Z8" s="1551" t="s">
        <v>2464</v>
      </c>
      <c r="AB8" s="1551" t="s">
        <v>2490</v>
      </c>
    </row>
    <row r="9" spans="1:28">
      <c r="A9" s="1546" t="s">
        <v>1029</v>
      </c>
      <c r="B9" s="1546" t="s">
        <v>1030</v>
      </c>
      <c r="C9" s="1547" t="s">
        <v>320</v>
      </c>
      <c r="F9" s="1548" t="s">
        <v>1031</v>
      </c>
      <c r="H9" s="1548"/>
      <c r="I9" s="1551" t="s">
        <v>3343</v>
      </c>
      <c r="X9" s="1551" t="s">
        <v>3417</v>
      </c>
      <c r="Z9" s="1551" t="s">
        <v>2466</v>
      </c>
      <c r="AB9" s="1551" t="s">
        <v>2492</v>
      </c>
    </row>
    <row r="10" spans="1:28">
      <c r="A10" s="1546" t="s">
        <v>1032</v>
      </c>
      <c r="B10" s="1546" t="s">
        <v>1033</v>
      </c>
      <c r="C10" s="1547" t="s">
        <v>321</v>
      </c>
      <c r="F10" s="1548" t="s">
        <v>2578</v>
      </c>
      <c r="I10" s="1551" t="s">
        <v>3344</v>
      </c>
      <c r="Z10" s="1551" t="s">
        <v>2468</v>
      </c>
      <c r="AB10" s="1551" t="s">
        <v>2494</v>
      </c>
    </row>
    <row r="11" spans="1:28">
      <c r="A11" s="1546" t="s">
        <v>1034</v>
      </c>
      <c r="B11" s="1546" t="s">
        <v>1035</v>
      </c>
      <c r="C11" s="1547" t="s">
        <v>322</v>
      </c>
      <c r="F11" s="1548" t="s">
        <v>13</v>
      </c>
      <c r="I11" s="1551" t="s">
        <v>3345</v>
      </c>
      <c r="Z11" s="1551" t="s">
        <v>2470</v>
      </c>
      <c r="AB11" s="1551" t="s">
        <v>2496</v>
      </c>
    </row>
    <row r="12" spans="1:28">
      <c r="A12" s="1546" t="s">
        <v>1036</v>
      </c>
      <c r="B12" s="1546" t="s">
        <v>1037</v>
      </c>
      <c r="C12" s="1547" t="s">
        <v>323</v>
      </c>
      <c r="I12" s="1551" t="s">
        <v>3346</v>
      </c>
      <c r="Z12" s="1551" t="s">
        <v>2472</v>
      </c>
      <c r="AB12" s="1551" t="s">
        <v>2498</v>
      </c>
    </row>
    <row r="13" spans="1:28">
      <c r="A13" s="1546" t="s">
        <v>1038</v>
      </c>
      <c r="B13" s="1546" t="s">
        <v>1039</v>
      </c>
      <c r="C13" s="1547" t="s">
        <v>324</v>
      </c>
      <c r="I13" s="1551" t="s">
        <v>3347</v>
      </c>
      <c r="Z13" s="1551" t="s">
        <v>2474</v>
      </c>
    </row>
    <row r="14" spans="1:28">
      <c r="A14" s="1546" t="s">
        <v>1040</v>
      </c>
      <c r="B14" s="1546" t="s">
        <v>1041</v>
      </c>
      <c r="C14" s="1548" t="s">
        <v>13</v>
      </c>
      <c r="I14" s="1551" t="s">
        <v>3348</v>
      </c>
      <c r="Z14" s="1551" t="s">
        <v>2476</v>
      </c>
    </row>
    <row r="15" spans="1:28">
      <c r="A15" s="1546" t="s">
        <v>1042</v>
      </c>
      <c r="B15" s="1546" t="s">
        <v>1043</v>
      </c>
      <c r="C15" s="1547"/>
      <c r="I15" s="1551" t="s">
        <v>3349</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天水街16号院1号楼负1层地下仓储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5"/>
      <c r="B54" s="1554" t="s">
        <v>385</v>
      </c>
      <c r="C54" s="1551" t="s">
        <v>583</v>
      </c>
    </row>
    <row r="55" spans="1:4">
      <c r="A55" s="3525"/>
      <c r="B55" s="1554" t="s">
        <v>386</v>
      </c>
      <c r="C55" s="1551" t="s">
        <v>584</v>
      </c>
    </row>
    <row r="56" spans="1:4">
      <c r="A56" s="3525"/>
      <c r="B56" s="1554" t="s">
        <v>387</v>
      </c>
      <c r="C56" s="1551" t="s">
        <v>588</v>
      </c>
    </row>
    <row r="57" spans="1:4">
      <c r="A57" s="352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6" t="s">
        <v>2580</v>
      </c>
      <c r="J2" s="3526"/>
      <c r="K2" s="3526"/>
      <c r="L2" s="3526"/>
      <c r="M2" s="3526"/>
      <c r="N2" s="3526"/>
      <c r="O2" s="3526"/>
      <c r="P2" s="3526"/>
      <c r="Q2" s="3526"/>
      <c r="R2" s="3526"/>
    </row>
    <row r="3" spans="1:18">
      <c r="A3" s="3020" t="s">
        <v>2501</v>
      </c>
      <c r="B3" s="3021">
        <f>项目基本情况!D3</f>
        <v>45891</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1.32</v>
      </c>
      <c r="D5" s="3025">
        <f>IF(ISERROR(ROUND(POWER(1+E5,A5-C5)*(POWER(1+E5,C5)-1)/(POWER(1+E5,A5)-1),3)),0,ROUND(POWER(1+E5,A5-C5)*(POWER(1+E5,C5)-1)/(POWER(1+E5,A5)-1),4))</f>
        <v>6.3700000000000007E-2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11.33</v>
      </c>
      <c r="D6" s="3025">
        <f>IF(ISERROR(ROUND(POWER(1+E6,A6-C6)*(POWER(1+E6,C6)-1)/(POWER(1+E6,A6)-1),3)),0,ROUND(POWER(1+E6,A6-C6)*(POWER(1+E6,C6)-1)/(POWER(1+E6,A6)-1),4))</f>
        <v>0.41749999999999998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31.34</v>
      </c>
      <c r="D7" s="3025">
        <f>IF(ISERROR(ROUND(POWER(1+E7,A7-C7)*(POWER(1+E7,C7)-1)/(POWER(1+E7,A7)-1),3)),0,ROUND(POWER(1+E7,A7-C7)*(POWER(1+E7,C7)-1)/(POWER(1+E7,A7)-1),4))</f>
        <v>0.75600000000000001</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3386</v>
      </c>
    </row>
    <row r="50" spans="1:4">
      <c r="A50" s="3449" t="s">
        <v>3387</v>
      </c>
      <c r="B50" s="3449" t="s">
        <v>3388</v>
      </c>
      <c r="C50" s="3449" t="s">
        <v>3389</v>
      </c>
      <c r="D50" s="3449" t="s">
        <v>3390</v>
      </c>
    </row>
    <row r="51" spans="1:4">
      <c r="A51" s="3449" t="s">
        <v>3391</v>
      </c>
      <c r="B51" s="3022">
        <f>B52+B53</f>
        <v>15000</v>
      </c>
      <c r="C51" s="3450">
        <f>D51/B51</f>
        <v>2666.6666666666665</v>
      </c>
      <c r="D51" s="3022">
        <f>D52+D53</f>
        <v>40000000</v>
      </c>
    </row>
    <row r="52" spans="1:4">
      <c r="A52" s="3451" t="s">
        <v>3392</v>
      </c>
      <c r="B52" s="3452">
        <v>10000</v>
      </c>
      <c r="C52" s="3452">
        <v>1500</v>
      </c>
      <c r="D52" s="3453">
        <f>C52*B52</f>
        <v>15000000</v>
      </c>
    </row>
    <row r="53" spans="1:4">
      <c r="A53" s="3451" t="s">
        <v>3393</v>
      </c>
      <c r="B53" s="3452">
        <v>5000</v>
      </c>
      <c r="C53" s="3452">
        <v>5000</v>
      </c>
      <c r="D53" s="3453">
        <f>C53*B53</f>
        <v>25000000</v>
      </c>
    </row>
    <row r="54" spans="1:4">
      <c r="A54" s="3449" t="s">
        <v>3394</v>
      </c>
      <c r="B54" s="3022">
        <f>B51</f>
        <v>15000</v>
      </c>
      <c r="C54" s="3029">
        <v>700</v>
      </c>
      <c r="D54" s="3022">
        <f t="shared" ref="D54:D55" si="5">C54*B54</f>
        <v>10500000</v>
      </c>
    </row>
    <row r="55" spans="1:4">
      <c r="A55" s="3449" t="s">
        <v>3395</v>
      </c>
      <c r="B55" s="3022">
        <f>B51</f>
        <v>15000</v>
      </c>
      <c r="C55" s="3029">
        <v>1500</v>
      </c>
      <c r="D55" s="3022">
        <f t="shared" si="5"/>
        <v>22500000</v>
      </c>
    </row>
    <row r="56" spans="1:4">
      <c r="A56" s="3449" t="s">
        <v>3396</v>
      </c>
      <c r="B56" s="3022">
        <f>B51</f>
        <v>15000</v>
      </c>
      <c r="C56" s="3454">
        <f>C51+C54+C55</f>
        <v>4866.6666666666661</v>
      </c>
      <c r="D56" s="3022">
        <f>D51+D54+D55</f>
        <v>73000000</v>
      </c>
    </row>
    <row r="58" spans="1:4">
      <c r="A58" s="3449" t="s">
        <v>3397</v>
      </c>
      <c r="B58" s="3455">
        <v>0.05</v>
      </c>
      <c r="C58" s="3022">
        <f>C56*(1+B58)</f>
        <v>5110</v>
      </c>
      <c r="D58" s="3022">
        <f>D56*B58</f>
        <v>3650000</v>
      </c>
    </row>
    <row r="60" spans="1:4">
      <c r="A60" s="3449" t="s">
        <v>3398</v>
      </c>
      <c r="B60" s="3029">
        <v>3500</v>
      </c>
      <c r="C60" s="3029">
        <f>C53</f>
        <v>5000</v>
      </c>
      <c r="D60" s="3022">
        <f>C60*B60</f>
        <v>17500000</v>
      </c>
    </row>
    <row r="62" spans="1:4">
      <c r="A62" s="3449" t="s">
        <v>3399</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 sqref="B1:I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7" t="str">
        <f>IF(B10="北京市","北京市",C10)&amp;F10&amp;IF(结果表!G1="在建","出让国有建设用地使用权及在建建筑物",IF(结果表!G1="土地","出让国有建设用地使用权",))&amp;B9&amp;"预评估"</f>
        <v>北京市大兴区天水街16号院1号楼负1层地下仓储用房房地产抵押价值预评估</v>
      </c>
      <c r="C1" s="3528"/>
      <c r="D1" s="3528"/>
      <c r="E1" s="3528"/>
      <c r="F1" s="3528"/>
      <c r="G1" s="3528"/>
      <c r="H1" s="3528"/>
      <c r="I1" s="352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北京市大兴区天水街16号院1号楼负1层地下仓储用房房地产抵押价值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北京市大兴区天水街16号院1号楼负1层地下仓储用房房地产</v>
      </c>
      <c r="T2" s="1745"/>
      <c r="U2" s="1745"/>
      <c r="V2" s="1745"/>
      <c r="W2" s="1745"/>
      <c r="X2" s="1745"/>
      <c r="Y2" s="1745"/>
      <c r="Z2" s="1745"/>
      <c r="AA2" s="1745"/>
      <c r="AB2" s="1745"/>
    </row>
    <row r="3" spans="1:30">
      <c r="A3" s="302" t="s">
        <v>2170</v>
      </c>
      <c r="B3" s="2373">
        <v>45891</v>
      </c>
      <c r="C3" s="2374" t="s">
        <v>2171</v>
      </c>
      <c r="D3" s="2373">
        <f>B3</f>
        <v>45891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3418</v>
      </c>
      <c r="C8" s="2390"/>
      <c r="D8" s="3530" t="s">
        <v>2177</v>
      </c>
      <c r="E8" s="2391" t="s">
        <v>3419</v>
      </c>
      <c r="F8" s="2392"/>
      <c r="G8" s="2663"/>
      <c r="H8" s="2663"/>
      <c r="I8" s="2663"/>
      <c r="J8" s="2439"/>
      <c r="K8" s="2614"/>
      <c r="L8" s="2613"/>
      <c r="M8" s="2613"/>
      <c r="N8" s="2439"/>
      <c r="O8" s="2450"/>
      <c r="P8" s="2439"/>
      <c r="Q8" s="2439"/>
      <c r="R8" s="2439"/>
    </row>
    <row r="9" spans="1:30" ht="13.5" thickBot="1">
      <c r="A9" s="2393" t="s">
        <v>2178</v>
      </c>
      <c r="B9" s="2394" t="s">
        <v>3419</v>
      </c>
      <c r="C9" s="2395"/>
      <c r="D9" s="3531"/>
      <c r="E9" s="2394"/>
      <c r="F9" s="2396"/>
      <c r="G9" s="2665"/>
      <c r="H9" s="2665"/>
      <c r="I9" s="2665"/>
      <c r="J9" s="2439"/>
      <c r="K9" s="2616"/>
      <c r="L9" s="2613"/>
      <c r="M9" s="2613"/>
      <c r="N9" s="2439"/>
      <c r="O9" s="2450"/>
      <c r="P9" s="2439"/>
      <c r="Q9" s="2439"/>
      <c r="R9" s="2439"/>
    </row>
    <row r="10" spans="1:30" ht="13.5" thickTop="1">
      <c r="A10" s="2397" t="s">
        <v>2179</v>
      </c>
      <c r="B10" s="2398" t="s">
        <v>3420</v>
      </c>
      <c r="C10" s="2399"/>
      <c r="D10" s="2382"/>
      <c r="E10" s="2400" t="s">
        <v>2180</v>
      </c>
      <c r="F10" s="2666" t="s">
        <v>3565</v>
      </c>
      <c r="G10" s="2667"/>
      <c r="H10" s="2668"/>
      <c r="I10" s="2669"/>
      <c r="J10" s="2439"/>
      <c r="K10" s="2616"/>
      <c r="L10" s="2613"/>
      <c r="M10" s="2613"/>
      <c r="N10" s="2439"/>
      <c r="O10" s="2450"/>
      <c r="P10" s="2439"/>
      <c r="Q10" s="2439"/>
      <c r="R10" s="2439"/>
    </row>
    <row r="11" spans="1:30">
      <c r="A11" s="2401" t="s">
        <v>2181</v>
      </c>
      <c r="B11" s="2402" t="s">
        <v>3421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3331</v>
      </c>
      <c r="B13" s="2407" t="s">
        <v>2190</v>
      </c>
      <c r="C13" s="856">
        <v>68032</v>
      </c>
      <c r="D13" s="856">
        <v>57075</v>
      </c>
      <c r="E13" s="856"/>
      <c r="F13" s="856"/>
      <c r="G13" s="856">
        <v>60727</v>
      </c>
      <c r="H13" s="856"/>
      <c r="I13" s="856">
        <v>60727</v>
      </c>
      <c r="J13" s="3062"/>
      <c r="K13" s="2613"/>
      <c r="L13" s="2613"/>
      <c r="M13" s="2439"/>
      <c r="N13" s="2450"/>
      <c r="O13" s="2439"/>
      <c r="P13" s="2439"/>
      <c r="Q13" s="2439"/>
      <c r="AD13" s="1745"/>
    </row>
    <row r="14" spans="1:30">
      <c r="A14" s="1081"/>
      <c r="B14" s="2407" t="s">
        <v>2191</v>
      </c>
      <c r="C14" s="2408">
        <v>70</v>
      </c>
      <c r="D14" s="2408">
        <v>40</v>
      </c>
      <c r="E14" s="2408"/>
      <c r="F14" s="2408"/>
      <c r="G14" s="2408">
        <v>50</v>
      </c>
      <c r="H14" s="2408"/>
      <c r="I14" s="2408">
        <v>50</v>
      </c>
      <c r="J14" s="3063"/>
      <c r="K14" s="2613"/>
      <c r="L14" s="2613"/>
      <c r="M14" s="2439"/>
      <c r="N14" s="2450"/>
      <c r="O14" s="2439"/>
      <c r="P14" s="2439"/>
      <c r="Q14" s="2439"/>
      <c r="AD14" s="1745"/>
    </row>
    <row r="15" spans="1:30">
      <c r="A15" s="320"/>
      <c r="B15" s="2409" t="s">
        <v>2192</v>
      </c>
      <c r="C15" s="2410">
        <f>IF(A13="出让",IF(C13="","",ROUNDDOWN(MIN((C13-$D$3)/365,C14),2)),C14)</f>
        <v>60.66</v>
      </c>
      <c r="D15" s="2410">
        <f>IF(A13="出让",IF(D13="","",ROUNDDOWN(MIN((D13-$D$3)/365,D14),2)),D14)</f>
        <v>30.64</v>
      </c>
      <c r="E15" s="2410" t="str">
        <f>IF(A13="出让",IF(E13="","",ROUNDDOWN(MIN((E13-$D$3)/365,E14),2)),E14)</f>
        <v/>
      </c>
      <c r="F15" s="2410" t="str">
        <f>IF(A13="出让",IF(F13="","",ROUNDDOWN(MIN((F13-$D$3)/365,F14),2)),F14)</f>
        <v/>
      </c>
      <c r="G15" s="2410">
        <f>IF(A13="出让",IF(G13="","",ROUNDDOWN(MIN((G13-$D$3)/365,G14),2)),G14)</f>
        <v>40.64</v>
      </c>
      <c r="H15" s="2410" t="str">
        <f>IF(A13="出让",IF(H13="","",ROUNDDOWN(MIN((H13-$D$3)/365,H14),2)),H14)</f>
        <v/>
      </c>
      <c r="I15" s="2410">
        <f>IF(A13="出让",IF(I13="","",ROUNDDOWN(MIN((I13-$D$3)/365,I14),2)),I14)</f>
        <v>40.64</v>
      </c>
      <c r="J15" s="3064"/>
      <c r="K15" s="2451"/>
      <c r="L15" s="2451"/>
      <c r="M15" s="2509"/>
      <c r="N15" s="2451"/>
      <c r="O15" s="2509"/>
      <c r="P15" s="2439"/>
      <c r="Q15" s="2439"/>
      <c r="AD15" s="1745"/>
    </row>
    <row r="16" spans="1:30">
      <c r="A16" s="2400" t="s">
        <v>2193</v>
      </c>
      <c r="B16" s="3537"/>
      <c r="C16" s="3538"/>
      <c r="D16" s="3539"/>
      <c r="E16" s="2413" t="s">
        <v>2194</v>
      </c>
      <c r="F16" s="3540"/>
      <c r="G16" s="3541"/>
      <c r="H16" s="3541"/>
      <c r="I16" s="3542"/>
      <c r="J16" s="2439"/>
      <c r="K16" s="2617"/>
      <c r="L16" s="2451"/>
      <c r="M16" s="2451"/>
      <c r="N16" s="2509"/>
      <c r="O16" s="2451"/>
      <c r="P16" s="2509"/>
      <c r="Q16" s="2439"/>
      <c r="R16" s="2439"/>
    </row>
    <row r="17" spans="1:28">
      <c r="A17" s="313" t="s">
        <v>2195</v>
      </c>
      <c r="B17" s="302" t="s">
        <v>2196</v>
      </c>
      <c r="C17" s="8">
        <f>'数据-汇总表'!E3</f>
        <v>1674.92</v>
      </c>
      <c r="D17" s="2322" t="s">
        <v>2197</v>
      </c>
      <c r="E17" s="3543" t="s">
        <v>2198</v>
      </c>
      <c r="F17" s="3544"/>
      <c r="G17" s="3544"/>
      <c r="H17" s="3544"/>
      <c r="I17" s="354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46" t="s">
        <v>2202</v>
      </c>
      <c r="F18" s="3547"/>
      <c r="G18" s="3547"/>
      <c r="H18" s="3547"/>
      <c r="I18" s="354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3" t="s">
        <v>2206</v>
      </c>
      <c r="C20" s="3534"/>
      <c r="D20" s="3535" t="s">
        <v>2207</v>
      </c>
      <c r="E20" s="3536"/>
      <c r="F20" s="2647" t="s">
        <v>1056</v>
      </c>
      <c r="G20" s="2664"/>
      <c r="H20" s="2664"/>
      <c r="I20" s="2664"/>
      <c r="J20" s="2439"/>
      <c r="K20" s="353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50" t="s">
        <v>2214</v>
      </c>
      <c r="B27" s="320" t="s">
        <v>2215</v>
      </c>
      <c r="C27" s="2416" t="s">
        <v>3426</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50"/>
      <c r="B28" s="302" t="s">
        <v>2216</v>
      </c>
      <c r="C28" s="2418" t="s">
        <v>3427</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50"/>
      <c r="B29" s="302" t="s">
        <v>2217</v>
      </c>
      <c r="C29" s="2420" t="s">
        <v>3422</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1"/>
      <c r="B30" s="302" t="s">
        <v>2218</v>
      </c>
      <c r="C30" s="3552"/>
      <c r="D30" s="3553"/>
      <c r="E30" s="2664"/>
      <c r="F30" s="2664"/>
      <c r="G30" s="2664"/>
      <c r="H30" s="2664"/>
      <c r="I30" s="2664"/>
      <c r="J30" s="2439"/>
      <c r="K30" s="2616"/>
      <c r="L30" s="2613"/>
      <c r="M30" s="2613"/>
      <c r="N30" s="2439"/>
      <c r="O30" s="2450"/>
      <c r="P30" s="2439"/>
      <c r="Q30" s="2439"/>
      <c r="R30" s="2439"/>
      <c r="S30" s="2439"/>
      <c r="T30" s="2439"/>
      <c r="U30" s="2439"/>
      <c r="V30" s="2439"/>
    </row>
    <row r="31" spans="1:28">
      <c r="A31" s="3554" t="s">
        <v>2219</v>
      </c>
      <c r="B31" s="2422" t="s">
        <v>3428</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9" t="s">
        <v>2228</v>
      </c>
      <c r="T34" s="2428" t="str">
        <f>NUMBERSTRING(7-K34,1)&amp;"通"</f>
        <v>七通</v>
      </c>
      <c r="U34" s="2439"/>
      <c r="V34" s="2439"/>
    </row>
    <row r="35" spans="1:30">
      <c r="A35" s="2429"/>
      <c r="B35" s="3556" t="s">
        <v>2229</v>
      </c>
      <c r="C35" s="3556"/>
      <c r="D35" s="3556"/>
      <c r="E35" s="355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t="s">
        <v>305</v>
      </c>
      <c r="C37" s="2431"/>
      <c r="D37" s="2431" t="s">
        <v>305</v>
      </c>
      <c r="E37" s="2431" t="s">
        <v>305</v>
      </c>
      <c r="F37" s="2431" t="s">
        <v>305</v>
      </c>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3429</v>
      </c>
      <c r="C38" s="2432"/>
      <c r="D38" s="2432" t="s">
        <v>3429</v>
      </c>
      <c r="E38" s="2432" t="s">
        <v>3429</v>
      </c>
      <c r="F38" s="2432" t="s">
        <v>3429</v>
      </c>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7" sqref="L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1674.92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1674.92</v>
      </c>
      <c r="H5" s="13">
        <f t="shared" ref="H5:AT5" si="0">SUM(H13:H656)</f>
        <v>1674.92</v>
      </c>
      <c r="I5" s="13">
        <f t="shared" si="0"/>
        <v>1674.92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1674.92</v>
      </c>
      <c r="BA5" s="15">
        <f t="shared" si="1"/>
        <v>1674.92</v>
      </c>
      <c r="BB5" s="15">
        <f t="shared" si="1"/>
        <v>1674.92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3333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3425</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仓储</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戊类库房</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3423</v>
      </c>
      <c r="E13" s="13">
        <f>IF($C$3="是",ROUND($A$3*G13/$B$3,2),ROUND($A$3*(G13-AT13)/$B$3,2))</f>
        <v>0</v>
      </c>
      <c r="F13" s="29"/>
      <c r="G13" s="30">
        <f>H13+AC13+AT13</f>
        <v>1674.92</v>
      </c>
      <c r="H13" s="17">
        <f>SUMIF(I$12:AB$12,"总值",I13:AB13)</f>
        <v>1674.92</v>
      </c>
      <c r="I13" s="1626">
        <v>1674.92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1674.92</v>
      </c>
      <c r="BA13" s="13">
        <f>SUM(BB13:BK13)</f>
        <v>1674.92</v>
      </c>
      <c r="BB13" s="13">
        <f>IF($D13="是",I13-J13,0)</f>
        <v>1674.92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6" t="s">
        <v>1131</v>
      </c>
      <c r="B2" s="3566"/>
      <c r="C2" s="3566"/>
      <c r="D2" s="796" t="s">
        <v>1107</v>
      </c>
      <c r="E2" s="1639" t="s">
        <v>1108</v>
      </c>
      <c r="F2" s="2659"/>
      <c r="G2" s="2650"/>
      <c r="H2" s="2651"/>
      <c r="I2" s="2325" t="s">
        <v>1132</v>
      </c>
      <c r="J2" s="2659"/>
      <c r="K2" s="2659"/>
      <c r="L2" s="2659"/>
      <c r="M2" s="2659"/>
      <c r="N2" s="2661"/>
      <c r="O2" s="2659"/>
      <c r="P2" s="2659"/>
    </row>
    <row r="3" spans="1:16" ht="15.75" thickBot="1">
      <c r="A3" s="3567" t="s">
        <v>1105</v>
      </c>
      <c r="B3" s="3567"/>
      <c r="C3" s="3567"/>
      <c r="D3" s="43">
        <f>'数据-基础表'!AY6</f>
        <v>0</v>
      </c>
      <c r="E3" s="43">
        <f>'数据-基础表'!AZ5</f>
        <v>1674.92</v>
      </c>
      <c r="F3" s="2659"/>
      <c r="G3" s="1145"/>
      <c r="H3" s="1026" t="s">
        <v>1106</v>
      </c>
      <c r="I3" s="855" t="e">
        <f>ROUND('数据-基础表'!B3/'数据-基础表'!A3,2)</f>
        <v>#DIV/0!</v>
      </c>
      <c r="J3" s="2659"/>
      <c r="K3" s="2659"/>
      <c r="L3" s="2659"/>
      <c r="M3" s="2659"/>
      <c r="N3" s="2661"/>
      <c r="O3" s="2659"/>
      <c r="P3" s="2659"/>
    </row>
    <row r="4" spans="1:16" ht="15">
      <c r="A4" s="3568"/>
      <c r="B4" s="3569"/>
      <c r="C4" s="3570"/>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71" t="s">
        <v>1110</v>
      </c>
      <c r="C5" s="3571"/>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71" t="s">
        <v>1111</v>
      </c>
      <c r="C6" s="3571"/>
      <c r="D6" s="45">
        <f>ROUND($D$3*E6/$E$3,2)</f>
        <v>0</v>
      </c>
      <c r="E6" s="46">
        <f>E3-E5</f>
        <v>1674.92</v>
      </c>
      <c r="F6" s="2659"/>
      <c r="G6" s="2653" t="s">
        <v>1112</v>
      </c>
      <c r="H6" s="1146" t="s">
        <v>1113</v>
      </c>
      <c r="I6" s="2654" t="e">
        <f>ROUND(F31/D31,2)</f>
        <v>#DIV/0!</v>
      </c>
      <c r="J6" s="2659"/>
      <c r="K6" s="2659"/>
      <c r="L6" s="2659"/>
      <c r="M6" s="2659"/>
      <c r="N6" s="2659"/>
      <c r="O6" s="2659"/>
      <c r="P6" s="2659"/>
    </row>
    <row r="7" spans="1:16" ht="15.75" thickBot="1">
      <c r="A7" s="3563"/>
      <c r="B7" s="3564"/>
      <c r="C7" s="3565"/>
      <c r="D7" s="1641" t="s">
        <v>1107</v>
      </c>
      <c r="E7" s="1645" t="s">
        <v>1114</v>
      </c>
      <c r="F7" s="2659"/>
      <c r="G7" s="2655" t="s">
        <v>1115</v>
      </c>
      <c r="H7" s="2656"/>
      <c r="I7" s="2657">
        <v>1.5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1674.92</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1674.92</v>
      </c>
      <c r="F16" s="2659"/>
      <c r="G16" s="2660"/>
      <c r="H16" s="1648" t="s">
        <v>1135</v>
      </c>
      <c r="I16" s="1649"/>
      <c r="J16" s="1139"/>
      <c r="K16" s="3560" t="s">
        <v>1135</v>
      </c>
      <c r="L16" s="3561"/>
      <c r="M16" s="3561"/>
      <c r="N16" s="3561"/>
      <c r="O16" s="3561"/>
      <c r="P16" s="3562"/>
    </row>
    <row r="17" spans="1:19" ht="15">
      <c r="A17" s="1650" t="s">
        <v>1136</v>
      </c>
      <c r="B17" s="1651" t="s">
        <v>1137</v>
      </c>
      <c r="C17" s="1652" t="s">
        <v>1138</v>
      </c>
      <c r="D17" s="1653" t="s">
        <v>1126</v>
      </c>
      <c r="E17" s="1654" t="s">
        <v>1127</v>
      </c>
      <c r="F17" s="1655"/>
      <c r="G17" s="1656"/>
      <c r="H17" s="1657" t="s">
        <v>1139</v>
      </c>
      <c r="I17" s="1658" t="s">
        <v>1124</v>
      </c>
      <c r="J17" s="1139"/>
      <c r="K17" s="3557" t="s">
        <v>1140</v>
      </c>
      <c r="L17" s="3558"/>
      <c r="M17" s="3559"/>
      <c r="N17" s="3557" t="s">
        <v>1141</v>
      </c>
      <c r="O17" s="3558"/>
      <c r="P17" s="355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3431</v>
      </c>
      <c r="D19" s="45">
        <f>ROUND($D$3*E19/$E$3,2)</f>
        <v>0</v>
      </c>
      <c r="E19" s="53">
        <f t="shared" ref="E19:E26" si="1">SUM(F19:G19)</f>
        <v>1674.92</v>
      </c>
      <c r="F19" s="2795"/>
      <c r="G19" s="2796">
        <f>'数据-基础表'!I13</f>
        <v>1674.92</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1674.92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1674.92</v>
      </c>
      <c r="F27" s="1140">
        <f>IF(SUM(F19:F26)=E8,SUM(F19:F26),"地上面积有误")</f>
        <v>0</v>
      </c>
      <c r="G27" s="1142">
        <f>SUM(G19:G26)</f>
        <v>1674.92</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1674.92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1674.92</v>
      </c>
      <c r="F31" s="677">
        <f>F27+F30</f>
        <v>0</v>
      </c>
      <c r="G31" s="678">
        <f>G27+G30</f>
        <v>1674.92</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45891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3432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地下仓储-戊类库房</v>
      </c>
      <c r="B6" s="1713" t="str">
        <f>IF(A6=0,"","经营性")</f>
        <v>经营性</v>
      </c>
      <c r="C6" s="1714" t="s">
        <v>3406</v>
      </c>
      <c r="D6" s="858">
        <f>SUMIF(项目基本情况!C$12:I$12,C6,项目基本情况!C$14:I$14)</f>
        <v>50</v>
      </c>
      <c r="E6" s="857">
        <f>IF(B6="","",SUMIF(项目基本情况!C$12:I$12,C6,项目基本情况!C$13:I$13))</f>
        <v>60727</v>
      </c>
      <c r="F6" s="64">
        <f>SUMIF(项目基本情况!C$12:I$12,C6,项目基本情况!C$15:I$15)</f>
        <v>40.64</v>
      </c>
      <c r="G6" s="65">
        <f>IF(ISERROR(ROUND(POWER(1+H6,D6-F6)*(POWER(1+H6,F6)-1)/(POWER(1+H6,D6)-1),3)),0,ROUND(POWER(1+H6,D6-F6)*(POWER(1+H6,F6)-1)/(POWER(1+H6,D6)-1),3))</f>
        <v>0.93700000000000006</v>
      </c>
      <c r="H6" s="732">
        <v>4.4999999999999998E-2</v>
      </c>
      <c r="I6" s="732">
        <v>0.05</v>
      </c>
      <c r="J6" s="66">
        <v>7.0000000000000007E-2</v>
      </c>
      <c r="K6" s="1030">
        <f>SUMIF('数据-汇总表'!C$19:C$33,A6,'数据-汇总表'!E$19:E$33)</f>
        <v>1674.92</v>
      </c>
      <c r="L6" s="733">
        <v>3000</v>
      </c>
      <c r="M6" s="67">
        <f t="shared" ref="M6:M14" si="0">ROUND(K6*L6/10000,0)</f>
        <v>502</v>
      </c>
      <c r="N6" s="731">
        <f>ROUND(1-(1-0%)*(2025-N18)/60,2)</f>
        <v>0.88</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8">
        <v>1</v>
      </c>
      <c r="V6" s="70">
        <v>1.4999999999999999E-2</v>
      </c>
      <c r="W6" s="70">
        <v>0.15</v>
      </c>
      <c r="X6" s="1040"/>
      <c r="Y6" s="71">
        <f>N6</f>
        <v>0.88</v>
      </c>
      <c r="Z6" s="72"/>
      <c r="AA6" s="66"/>
      <c r="AB6" s="66"/>
      <c r="AC6" s="1040"/>
      <c r="AD6" s="73"/>
      <c r="AE6" s="1041">
        <f ca="1">IF(AN6="",0,SUMIF(INDIRECT("'"&amp;AN6&amp;"'"&amp;"!E:E"),$AE$5,INDIRECT("'"&amp;AN6&amp;"'"&amp;"!F:F")))</f>
        <v>40.64</v>
      </c>
      <c r="AF6" s="1348"/>
      <c r="AG6" s="138">
        <f>IF(AF6="",0,AE6-AF6)</f>
        <v>0</v>
      </c>
      <c r="AH6" s="74"/>
      <c r="AI6" s="76">
        <v>365</v>
      </c>
      <c r="AJ6" s="77"/>
      <c r="AK6" s="78">
        <v>2E-3</v>
      </c>
      <c r="AL6" s="79">
        <v>1E-3</v>
      </c>
      <c r="AM6" s="80">
        <v>0.02</v>
      </c>
      <c r="AN6" s="1715" t="s">
        <v>3454</v>
      </c>
      <c r="AO6" s="52">
        <f ca="1">SUMIF(INDIRECT("'"&amp;AN6&amp;"'"&amp;"!A:A"),"总价",INDIRECT("'"&amp;AN6&amp;"'"&amp;"!B:B"))</f>
        <v>875.35090000000002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0.93700000000000006</v>
      </c>
      <c r="H16" s="90">
        <f>ROUND(SUMPRODUCT(H6:H13,K6:K13)/SUMPRODUCT((H6:H13&gt;0)*(K6:K13)),3)</f>
        <v>4.4999999999999998E-2</v>
      </c>
      <c r="I16" s="91"/>
      <c r="J16" s="91"/>
      <c r="K16" s="92">
        <f>SUM(K6:K15)</f>
        <v>1674.92</v>
      </c>
      <c r="L16" s="93">
        <f>ROUND(M16*10000/SUM(K6:K14),0)</f>
        <v>2997</v>
      </c>
      <c r="M16" s="93">
        <f>SUM(M6:M14)</f>
        <v>502</v>
      </c>
      <c r="N16" s="94">
        <f>ROUND(SUMPRODUCT(M6:M14,N6:N14)/M16,3)</f>
        <v>0.88</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2018</v>
      </c>
      <c r="O18" s="2671"/>
      <c r="P18" s="2671"/>
      <c r="Q18" s="2671">
        <f>Q6/B20</f>
        <v>0.05</v>
      </c>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f>K6/20</f>
        <v>83.746000000000009</v>
      </c>
      <c r="L19" s="2672"/>
      <c r="M19" s="2671"/>
      <c r="N19" s="2671"/>
      <c r="O19" s="2671"/>
      <c r="P19" s="2671"/>
      <c r="Q19" s="2671"/>
      <c r="R19" s="2671"/>
      <c r="S19" s="2671"/>
      <c r="T19" s="2671"/>
      <c r="U19" s="2671" t="s">
        <v>3434</v>
      </c>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0</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2</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(元)'!C10/10000</f>
        <v>33.498399999999997</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3400</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3383</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3384</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3478" t="s">
        <v>3433</v>
      </c>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3385</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2" t="s">
        <v>2286</v>
      </c>
      <c r="B1" s="3573"/>
      <c r="C1" s="3573"/>
      <c r="D1" s="3573"/>
      <c r="E1" s="3573"/>
      <c r="F1" s="3573"/>
      <c r="G1" s="357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G6" sqref="G6"/>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1674.92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45891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829</v>
      </c>
      <c r="C5" s="2512">
        <f ca="1">IF(B5=D14,结果表!H102,ROUND(B5*10000/$B$1,0))</f>
        <v>4947</v>
      </c>
      <c r="D5" s="2512" t="e">
        <f ca="1">ROUND(B5*10000/$B$2,0)</f>
        <v>#DIV/0!</v>
      </c>
      <c r="E5" s="2686"/>
      <c r="F5" s="2687"/>
      <c r="G5" s="2687"/>
      <c r="H5" s="2688"/>
      <c r="I5" s="2688"/>
      <c r="J5" s="2688"/>
      <c r="K5" s="2688"/>
    </row>
    <row r="6" spans="1:11" ht="16.5">
      <c r="A6" s="2512" t="s">
        <v>656</v>
      </c>
      <c r="B6" s="2512">
        <f ca="1">SUM(G14:G23)</f>
        <v>829</v>
      </c>
      <c r="C6" s="2512">
        <f ca="1">IF(B6=G14,结果表!H108,ROUND(B6*10000/$B$1,0))</f>
        <v>4947</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3355</v>
      </c>
      <c r="D10" s="2512" t="s">
        <v>3356</v>
      </c>
      <c r="E10" s="3441"/>
      <c r="F10" s="3445" t="s">
        <v>3357</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'数据-汇总表'!G19</f>
        <v>1674.92</v>
      </c>
      <c r="C14" s="2518"/>
      <c r="D14" s="2518">
        <f ca="1">结果表!G19</f>
        <v>829</v>
      </c>
      <c r="E14" s="2518">
        <f ca="1">结果表!G20</f>
        <v>4947</v>
      </c>
      <c r="F14" s="2518" t="e">
        <f ca="1">ROUND(D14*10000/C14,0)</f>
        <v>#DIV/0!</v>
      </c>
      <c r="G14" s="2518">
        <f ca="1">D14</f>
        <v>829</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K23" sqref="K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42" t="str">
        <f>项目基本情况!S2</f>
        <v>北京市大兴区天水街16号院1号楼负1层地下仓储用房房地产</v>
      </c>
      <c r="B2" s="3643"/>
      <c r="C2" s="3643"/>
      <c r="D2" s="3643"/>
      <c r="E2" s="3643"/>
      <c r="F2" s="3643"/>
      <c r="G2" s="3643"/>
      <c r="H2" s="3643"/>
      <c r="I2" s="3644"/>
    </row>
    <row r="3" spans="1:12" ht="12.75">
      <c r="A3" s="3646" t="s">
        <v>1264</v>
      </c>
      <c r="B3" s="3647"/>
      <c r="C3" s="3647"/>
      <c r="D3" s="3647"/>
      <c r="E3" s="3647"/>
      <c r="F3" s="3647"/>
      <c r="G3" s="3647"/>
      <c r="H3" s="3647"/>
      <c r="I3" s="3647"/>
    </row>
    <row r="4" spans="1:12" ht="14.25">
      <c r="A4" s="1754" t="s">
        <v>1265</v>
      </c>
      <c r="B4" s="1755" t="s">
        <v>1266</v>
      </c>
      <c r="C4" s="1756" t="s">
        <v>3559</v>
      </c>
      <c r="D4" s="1756" t="s">
        <v>3454</v>
      </c>
      <c r="E4" s="3651" t="s">
        <v>1267</v>
      </c>
      <c r="F4" s="3652"/>
      <c r="G4" s="3652"/>
      <c r="H4" s="3652"/>
      <c r="I4" s="365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0" t="s">
        <v>1268</v>
      </c>
      <c r="B5" s="3645">
        <v>25</v>
      </c>
      <c r="C5" s="3648"/>
      <c r="D5" s="3636"/>
      <c r="E5" s="131" t="s">
        <v>1269</v>
      </c>
      <c r="F5" s="1757"/>
      <c r="G5" s="1757"/>
      <c r="H5" s="1757"/>
      <c r="I5" s="1373"/>
    </row>
    <row r="6" spans="1:12" ht="12.75">
      <c r="A6" s="3590"/>
      <c r="B6" s="3645"/>
      <c r="C6" s="3650"/>
      <c r="D6" s="3636"/>
      <c r="E6" s="131" t="s">
        <v>1270</v>
      </c>
      <c r="F6" s="1757"/>
      <c r="G6" s="1757"/>
      <c r="H6" s="1757"/>
      <c r="I6" s="1373"/>
    </row>
    <row r="7" spans="1:12" ht="12.75">
      <c r="A7" s="3590"/>
      <c r="B7" s="3645"/>
      <c r="C7" s="3649"/>
      <c r="D7" s="3636"/>
      <c r="E7" s="131" t="s">
        <v>1271</v>
      </c>
      <c r="F7" s="1757"/>
      <c r="G7" s="1757"/>
      <c r="H7" s="1757"/>
      <c r="I7" s="1373"/>
    </row>
    <row r="8" spans="1:12" ht="12.75">
      <c r="A8" s="3590" t="s">
        <v>1272</v>
      </c>
      <c r="B8" s="3645">
        <v>15</v>
      </c>
      <c r="C8" s="3648"/>
      <c r="D8" s="3636"/>
      <c r="E8" s="131" t="s">
        <v>1273</v>
      </c>
      <c r="F8" s="1757"/>
      <c r="G8" s="1757"/>
      <c r="H8" s="1757"/>
      <c r="I8" s="1373"/>
    </row>
    <row r="9" spans="1:12" ht="12.75">
      <c r="A9" s="3590"/>
      <c r="B9" s="3645"/>
      <c r="C9" s="3649"/>
      <c r="D9" s="3636"/>
      <c r="E9" s="131" t="s">
        <v>1274</v>
      </c>
      <c r="F9" s="1757"/>
      <c r="G9" s="1757"/>
      <c r="H9" s="1757"/>
      <c r="I9" s="1373"/>
    </row>
    <row r="10" spans="1:12" ht="12.75">
      <c r="A10" s="3590" t="s">
        <v>1275</v>
      </c>
      <c r="B10" s="3645">
        <v>15</v>
      </c>
      <c r="C10" s="3648"/>
      <c r="D10" s="3636"/>
      <c r="E10" s="131" t="s">
        <v>1276</v>
      </c>
      <c r="F10" s="1757"/>
      <c r="G10" s="1757"/>
      <c r="H10" s="1757"/>
      <c r="I10" s="1373"/>
    </row>
    <row r="11" spans="1:12" ht="12.75">
      <c r="A11" s="3590"/>
      <c r="B11" s="3645"/>
      <c r="C11" s="3649"/>
      <c r="D11" s="3636"/>
      <c r="E11" s="131" t="s">
        <v>1277</v>
      </c>
      <c r="F11" s="1757"/>
      <c r="G11" s="1757"/>
      <c r="H11" s="1757"/>
      <c r="I11" s="1373"/>
    </row>
    <row r="12" spans="1:12" ht="12.75">
      <c r="A12" s="3590" t="s">
        <v>1278</v>
      </c>
      <c r="B12" s="3645">
        <v>15</v>
      </c>
      <c r="C12" s="3648"/>
      <c r="D12" s="3636"/>
      <c r="E12" s="131" t="s">
        <v>1279</v>
      </c>
      <c r="F12" s="1757"/>
      <c r="G12" s="1757"/>
      <c r="H12" s="1757"/>
      <c r="I12" s="1373"/>
    </row>
    <row r="13" spans="1:12" ht="12.75">
      <c r="A13" s="3590"/>
      <c r="B13" s="3645"/>
      <c r="C13" s="3649"/>
      <c r="D13" s="3636"/>
      <c r="E13" s="131" t="s">
        <v>1280</v>
      </c>
      <c r="F13" s="1757"/>
      <c r="G13" s="1757"/>
      <c r="H13" s="1757"/>
      <c r="I13" s="1373"/>
    </row>
    <row r="14" spans="1:12" ht="12.75">
      <c r="A14" s="3590" t="s">
        <v>1281</v>
      </c>
      <c r="B14" s="3645">
        <v>30</v>
      </c>
      <c r="C14" s="3648">
        <v>5</v>
      </c>
      <c r="D14" s="3636">
        <v>5</v>
      </c>
      <c r="E14" s="131" t="s">
        <v>1282</v>
      </c>
      <c r="F14" s="1757"/>
      <c r="G14" s="1757"/>
      <c r="H14" s="1757"/>
      <c r="I14" s="1373"/>
    </row>
    <row r="15" spans="1:12" ht="12.75">
      <c r="A15" s="3590"/>
      <c r="B15" s="3645"/>
      <c r="C15" s="3650"/>
      <c r="D15" s="3636"/>
      <c r="E15" s="131" t="s">
        <v>1283</v>
      </c>
      <c r="F15" s="1757"/>
      <c r="G15" s="1757"/>
      <c r="H15" s="1757"/>
      <c r="I15" s="1373"/>
    </row>
    <row r="16" spans="1:12" ht="12.75">
      <c r="A16" s="3590"/>
      <c r="B16" s="3645"/>
      <c r="C16" s="3649"/>
      <c r="D16" s="363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67" t="s">
        <v>2131</v>
      </c>
      <c r="F18" s="3668"/>
      <c r="G18" s="3668"/>
      <c r="H18" s="3668"/>
      <c r="I18" s="3668"/>
      <c r="K18" s="302" t="s">
        <v>1289</v>
      </c>
      <c r="L18" s="302">
        <f>IF(C1="",'数据-汇总表'!E3,SUMIF(项目类型,C1,'数据-汇总表'!E17:E26)+SUMIF(项目类型,C1,'数据-汇总表'!I17:I26))</f>
        <v>1674.92</v>
      </c>
      <c r="M18" s="302">
        <f>IF(C1="",'数据-汇总表'!E3,SUMIF(项目类型,C1,'数据-汇总表'!E17:E26))</f>
        <v>1674.92</v>
      </c>
    </row>
    <row r="19" spans="1:36" ht="15">
      <c r="A19" s="1761" t="s">
        <v>1290</v>
      </c>
      <c r="B19" s="1762" t="s">
        <v>1291</v>
      </c>
      <c r="C19" s="134">
        <f ca="1">SUMIF(INDIRECT("'"&amp;C4&amp;"'"&amp;"!A:A"),结果表!B19,INDIRECT("'"&amp;C4&amp;"'"&amp;"!B:B"))</f>
        <v>781.68520000000001</v>
      </c>
      <c r="D19" s="135">
        <f ca="1">SUMIF(INDIRECT("'"&amp;D4&amp;"'"&amp;"!A:A"),结果表!B19,INDIRECT("'"&amp;D4&amp;"'"&amp;"!B:B"))</f>
        <v>875.35090000000002</v>
      </c>
      <c r="E19" s="1761" t="s">
        <v>1292</v>
      </c>
      <c r="F19" s="1762" t="s">
        <v>1291</v>
      </c>
      <c r="G19" s="136">
        <f ca="1">ROUND(C19*$C$18+D19*$D$18,0)</f>
        <v>829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4667</v>
      </c>
      <c r="D20" s="138">
        <f ca="1">SUMIF(INDIRECT("'"&amp;D4&amp;"'"&amp;"!A:A"),结果表!B20,INDIRECT("'"&amp;D4&amp;"'"&amp;"!B:B"))</f>
        <v>5226</v>
      </c>
      <c r="E20" s="1764"/>
      <c r="F20" s="1026" t="s">
        <v>1295</v>
      </c>
      <c r="G20" s="139">
        <f ca="1">ROUND(C20*$C$18+D20*$D$18,0)</f>
        <v>4947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0.11982534657174004</v>
      </c>
      <c r="E22" s="129"/>
      <c r="F22" s="129"/>
      <c r="G22" s="129"/>
      <c r="H22" s="129"/>
      <c r="I22" s="129"/>
    </row>
    <row r="23" spans="1:36" ht="13.5" thickBot="1">
      <c r="A23" s="1747"/>
      <c r="B23" s="1747"/>
      <c r="C23" s="1747"/>
      <c r="D23" s="1747"/>
      <c r="E23" s="129"/>
      <c r="F23" s="129"/>
      <c r="G23" s="129"/>
      <c r="H23" s="129"/>
      <c r="I23" s="129"/>
    </row>
    <row r="24" spans="1:36" ht="14.25">
      <c r="A24" s="3660" t="s">
        <v>1299</v>
      </c>
      <c r="B24" s="1762" t="s">
        <v>1291</v>
      </c>
      <c r="C24" s="136">
        <f>IF(B30=0,0,D30)</f>
        <v>0</v>
      </c>
      <c r="D24" s="1769"/>
      <c r="E24" s="129"/>
      <c r="F24" s="129"/>
      <c r="G24" s="129"/>
      <c r="H24" s="129"/>
      <c r="I24" s="129"/>
    </row>
    <row r="25" spans="1:36" ht="14.25">
      <c r="A25" s="366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4947</v>
      </c>
      <c r="D32" s="1775" t="s">
        <v>3455</v>
      </c>
      <c r="E32" s="129"/>
      <c r="F32" s="129"/>
      <c r="G32" s="129"/>
      <c r="H32" s="129"/>
      <c r="I32" s="129"/>
    </row>
    <row r="33" spans="1:15" ht="15">
      <c r="A33" s="786" t="s">
        <v>1306</v>
      </c>
      <c r="B33" s="1776"/>
      <c r="C33" s="1777" t="s">
        <v>3456</v>
      </c>
      <c r="D33" s="1778" t="s">
        <v>3453</v>
      </c>
      <c r="E33" s="1779" t="s">
        <v>1307</v>
      </c>
      <c r="F33" s="1780" t="str">
        <f>IF(D32="楼面单价","取值（单价）","取值（总价）")</f>
        <v>取值（单价）</v>
      </c>
      <c r="G33" s="129"/>
      <c r="H33" s="129"/>
      <c r="I33" s="129"/>
    </row>
    <row r="34" spans="1:15" ht="15">
      <c r="A34" s="1781"/>
      <c r="B34" s="1782" t="s">
        <v>1308</v>
      </c>
      <c r="C34" s="148">
        <f ca="1">IF(C33="自定义",F34,C32-C35)</f>
        <v>1103</v>
      </c>
      <c r="D34" s="861">
        <f ca="1">IF(C33="自定义",ROUND(C34/C32,3),IF(C33="收益比率",SUMIF(INDIRECT("'"&amp;D33&amp;"'"&amp;"!b:b"),"土地收益比率",INDIRECT("'"&amp;D33&amp;"'"&amp;"!c:c")),SUMIF(INDIRECT("'"&amp;D33&amp;"'"&amp;"!b:b"),"土地成本比率",INDIRECT("'"&amp;D33&amp;"'"&amp;"!c:c"))))</f>
        <v>0.22299999999999998</v>
      </c>
      <c r="E34" s="1783" t="s">
        <v>1309</v>
      </c>
      <c r="F34" s="1330"/>
      <c r="G34" s="129"/>
      <c r="H34" s="129"/>
      <c r="I34" s="129"/>
    </row>
    <row r="35" spans="1:15" ht="15.75" thickBot="1">
      <c r="A35" s="1784"/>
      <c r="B35" s="1785" t="s">
        <v>1310</v>
      </c>
      <c r="C35" s="1170">
        <f ca="1">IF(C33="自定义",F35,ROUND(C32*D35,0))</f>
        <v>3844</v>
      </c>
      <c r="D35" s="1171">
        <f ca="1">IF(C33="自定义",ROUND(C35/C32,3),IF(C33="收益比率",SUMIF(INDIRECT("'"&amp;D33&amp;"'"&amp;"!b:b"),"建筑物收益比率",INDIRECT("'"&amp;D33&amp;"'"&amp;"!c:c")),SUMIF(INDIRECT("'"&amp;D33&amp;"'"&amp;"!b:b"),"建筑物成本比率",INDIRECT("'"&amp;D33&amp;"'"&amp;"!c:c"))))</f>
        <v>0.77700000000000002</v>
      </c>
      <c r="E35" s="1786" t="s">
        <v>1311</v>
      </c>
      <c r="F35" s="154"/>
      <c r="G35" s="129"/>
      <c r="H35" s="129"/>
      <c r="I35" s="129"/>
    </row>
    <row r="36" spans="1:15" ht="15.75" thickBot="1">
      <c r="A36" s="3637" t="s">
        <v>1312</v>
      </c>
      <c r="B36" s="1787" t="s">
        <v>1313</v>
      </c>
      <c r="C36" s="145"/>
      <c r="D36" s="1788"/>
      <c r="E36" s="1789"/>
      <c r="F36" s="1790"/>
      <c r="G36" s="129"/>
      <c r="H36" s="129"/>
      <c r="I36" s="129"/>
    </row>
    <row r="37" spans="1:15" ht="15.75" thickBot="1">
      <c r="A37" s="3638"/>
      <c r="B37" s="1674" t="s">
        <v>1314</v>
      </c>
      <c r="C37" s="147"/>
      <c r="D37" s="1139"/>
      <c r="E37" s="1139"/>
      <c r="F37" s="1790"/>
      <c r="G37" s="129"/>
      <c r="H37" s="129"/>
      <c r="I37" s="129"/>
    </row>
    <row r="38" spans="1:15" ht="15.75" thickBot="1">
      <c r="A38" s="363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7" t="s">
        <v>1326</v>
      </c>
      <c r="B45" s="3658"/>
      <c r="C45" s="3659"/>
      <c r="D45" s="155">
        <f ca="1">ROUND(H101*F45,0)</f>
        <v>829</v>
      </c>
      <c r="E45" s="156" t="s">
        <v>1327</v>
      </c>
      <c r="F45" s="157">
        <v>1</v>
      </c>
      <c r="G45" s="158" t="s">
        <v>1328</v>
      </c>
      <c r="H45" s="129"/>
      <c r="I45" s="129"/>
      <c r="J45" s="3577" t="s">
        <v>1329</v>
      </c>
      <c r="K45" s="3577"/>
      <c r="L45" s="3577"/>
      <c r="M45" s="3577"/>
      <c r="N45" s="3577"/>
      <c r="O45" s="3577"/>
    </row>
    <row r="46" spans="1:15" ht="14.25" customHeight="1">
      <c r="A46" s="3654" t="s">
        <v>1330</v>
      </c>
      <c r="B46" s="3655"/>
      <c r="C46" s="3655"/>
      <c r="D46" s="3655"/>
      <c r="E46" s="3655"/>
      <c r="F46" s="3655"/>
      <c r="G46" s="3656"/>
      <c r="H46" s="1806"/>
      <c r="I46" s="159"/>
      <c r="J46" s="2523">
        <v>1</v>
      </c>
      <c r="K46" s="3578" t="s">
        <v>1331</v>
      </c>
      <c r="L46" s="3578"/>
      <c r="M46" s="3579"/>
      <c r="N46" s="3579"/>
      <c r="O46" s="3579"/>
    </row>
    <row r="47" spans="1:15" ht="12" customHeight="1">
      <c r="A47" s="160" t="s">
        <v>1332</v>
      </c>
      <c r="B47" s="161"/>
      <c r="C47" s="162"/>
      <c r="D47" s="1087" t="s">
        <v>1333</v>
      </c>
      <c r="E47" s="302" t="s">
        <v>1334</v>
      </c>
      <c r="F47" s="163" t="s">
        <v>1335</v>
      </c>
      <c r="G47" s="2546" t="s">
        <v>1336</v>
      </c>
      <c r="H47" s="2547"/>
      <c r="I47" s="159"/>
      <c r="J47" s="2523">
        <v>2</v>
      </c>
      <c r="K47" s="3578" t="s">
        <v>1337</v>
      </c>
      <c r="L47" s="3578"/>
      <c r="M47" s="3580">
        <f>'数据-取费表'!B2</f>
        <v>45891</v>
      </c>
      <c r="N47" s="3580"/>
      <c r="O47" s="3580"/>
    </row>
    <row r="48" spans="1:15" ht="25.5">
      <c r="A48" s="3640" t="s">
        <v>1338</v>
      </c>
      <c r="B48" s="3641"/>
      <c r="C48" s="3641"/>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78" t="s">
        <v>1340</v>
      </c>
      <c r="L48" s="3578"/>
      <c r="M48" s="3581">
        <f ca="1">H101</f>
        <v>829</v>
      </c>
      <c r="N48" s="3581"/>
      <c r="O48" s="3581"/>
    </row>
    <row r="49" spans="1:35" ht="25.5" customHeight="1">
      <c r="A49" s="2333" t="s">
        <v>1341</v>
      </c>
      <c r="B49" s="3626" t="s">
        <v>1342</v>
      </c>
      <c r="C49" s="3626"/>
      <c r="D49" s="1590">
        <v>0</v>
      </c>
      <c r="E49" s="324" t="s">
        <v>1343</v>
      </c>
      <c r="F49" s="2424" t="s">
        <v>28</v>
      </c>
      <c r="G49" s="3609"/>
      <c r="H49" s="2310" t="s">
        <v>2134</v>
      </c>
      <c r="I49" s="2311"/>
      <c r="J49" s="2523">
        <v>4</v>
      </c>
      <c r="K49" s="3578" t="str">
        <f>IF(项目基本情况!E8="房地产抵押价值","房地产抵押价值","抵押担保权已注销时的房地产抵押价值")</f>
        <v>房地产抵押价值</v>
      </c>
      <c r="L49" s="3578"/>
      <c r="M49" s="3581">
        <f ca="1">IF(项目基本情况!E8="房地产抵押价值",H107,H109)</f>
        <v>829</v>
      </c>
      <c r="N49" s="3581"/>
      <c r="O49" s="3581"/>
    </row>
    <row r="50" spans="1:35" ht="25.5" customHeight="1">
      <c r="A50" s="2551"/>
      <c r="B50" s="3626" t="s">
        <v>1344</v>
      </c>
      <c r="C50" s="3626"/>
      <c r="D50" s="2552"/>
      <c r="E50" s="332"/>
      <c r="F50" s="2424"/>
      <c r="G50" s="3610"/>
      <c r="H50" s="2312" t="s">
        <v>2135</v>
      </c>
      <c r="I50" s="2311"/>
      <c r="J50" s="3577" t="s">
        <v>1345</v>
      </c>
      <c r="K50" s="3577"/>
      <c r="L50" s="3577"/>
      <c r="M50" s="3577"/>
      <c r="N50" s="3577"/>
      <c r="O50" s="3577"/>
    </row>
    <row r="51" spans="1:35" ht="20.45" customHeight="1">
      <c r="A51" s="2553"/>
      <c r="B51" s="3626" t="s">
        <v>1346</v>
      </c>
      <c r="C51" s="3626"/>
      <c r="D51" s="1087"/>
      <c r="E51" s="327"/>
      <c r="F51" s="2424"/>
      <c r="G51" s="3611"/>
      <c r="H51" s="2312" t="s">
        <v>2136</v>
      </c>
      <c r="I51" s="2311"/>
      <c r="J51" s="2524" t="s">
        <v>1347</v>
      </c>
      <c r="K51" s="3578" t="s">
        <v>1348</v>
      </c>
      <c r="L51" s="3578"/>
      <c r="M51" s="2524" t="s">
        <v>1349</v>
      </c>
      <c r="N51" s="2524" t="s">
        <v>1350</v>
      </c>
      <c r="O51" s="2524" t="s">
        <v>1351</v>
      </c>
    </row>
    <row r="52" spans="1:35" ht="24" customHeight="1">
      <c r="A52" s="2335" t="s">
        <v>1352</v>
      </c>
      <c r="B52" s="3626" t="s">
        <v>1353</v>
      </c>
      <c r="C52" s="3626"/>
      <c r="D52" s="1087">
        <f ca="1">ROUND(D45*'数据-取费表'!B41/(1+'数据-取费表'!C42),0)</f>
        <v>43</v>
      </c>
      <c r="E52" s="2334" t="s">
        <v>1354</v>
      </c>
      <c r="F52" s="2554">
        <f>'数据-取费表'!B41</f>
        <v>5.5000000000000007E-2</v>
      </c>
      <c r="G52" s="2555"/>
      <c r="H52" s="2544"/>
      <c r="I52" s="1807"/>
      <c r="J52" s="2523">
        <v>1</v>
      </c>
      <c r="K52" s="3603" t="s">
        <v>1355</v>
      </c>
      <c r="L52" s="3603"/>
      <c r="M52" s="2525" t="b">
        <f>D48</f>
        <v>0</v>
      </c>
      <c r="N52" s="2523" t="str">
        <f>E48</f>
        <v>销售额×税（费）率</v>
      </c>
      <c r="O52" s="2526">
        <f>F48</f>
        <v>5.5000000000000007E-2</v>
      </c>
    </row>
    <row r="53" spans="1:35" ht="12" customHeight="1">
      <c r="A53" s="2335" t="s">
        <v>1356</v>
      </c>
      <c r="B53" s="3627" t="s">
        <v>2291</v>
      </c>
      <c r="C53" s="3628"/>
      <c r="D53" s="1087">
        <f ca="1">ROUND(D45*'数据-取费表'!B41/(1+'数据-取费表'!C42),0)</f>
        <v>43</v>
      </c>
      <c r="E53" s="2334" t="s">
        <v>1354</v>
      </c>
      <c r="F53" s="2554">
        <f>'数据-取费表'!B41</f>
        <v>5.5000000000000007E-2</v>
      </c>
      <c r="G53" s="2555"/>
      <c r="H53" s="2544"/>
      <c r="I53" s="1807"/>
      <c r="J53" s="2523">
        <v>2</v>
      </c>
      <c r="K53" s="3603" t="s">
        <v>1357</v>
      </c>
      <c r="L53" s="3603"/>
      <c r="M53" s="2525">
        <f t="shared" ref="M53:O54" ca="1" si="0">D55</f>
        <v>0</v>
      </c>
      <c r="N53" s="2523" t="str">
        <f t="shared" si="0"/>
        <v>销售额×税（费）率</v>
      </c>
      <c r="O53" s="2526" t="str">
        <f t="shared" si="0"/>
        <v>免征</v>
      </c>
    </row>
    <row r="54" spans="1:35" ht="12" customHeight="1">
      <c r="A54" s="2335" t="s">
        <v>1358</v>
      </c>
      <c r="B54" s="3627" t="s">
        <v>2292</v>
      </c>
      <c r="C54" s="3628"/>
      <c r="D54" s="1087">
        <f ca="1">C68</f>
        <v>43</v>
      </c>
      <c r="E54" s="327" t="s">
        <v>1359</v>
      </c>
      <c r="F54" s="2554">
        <f>'数据-取费表'!B41</f>
        <v>5.5000000000000007E-2</v>
      </c>
      <c r="G54" s="2555"/>
      <c r="H54" s="2556"/>
      <c r="I54" s="1807"/>
      <c r="J54" s="2523">
        <v>3</v>
      </c>
      <c r="K54" s="3603" t="s">
        <v>1360</v>
      </c>
      <c r="L54" s="3603"/>
      <c r="M54" s="2525">
        <f t="shared" ca="1" si="0"/>
        <v>470</v>
      </c>
      <c r="N54" s="2523" t="str">
        <f t="shared" si="0"/>
        <v>增值额×税（费）率</v>
      </c>
      <c r="O54" s="2527" t="str">
        <f t="shared" si="0"/>
        <v>免征</v>
      </c>
    </row>
    <row r="55" spans="1:35" ht="24" customHeight="1">
      <c r="A55" s="3663" t="s">
        <v>1361</v>
      </c>
      <c r="B55" s="3641"/>
      <c r="C55" s="3641"/>
      <c r="D55" s="2324">
        <f ca="1">IF(H55="个人住宅",0,ROUND(D45*I55,0))</f>
        <v>0</v>
      </c>
      <c r="E55" s="2334" t="s">
        <v>1362</v>
      </c>
      <c r="F55" s="2554" t="str">
        <f>IF(H55="正常",I55,"免征")</f>
        <v>免征</v>
      </c>
      <c r="G55" s="2555"/>
      <c r="H55" s="2550"/>
      <c r="I55" s="165">
        <f>'数据-取费表'!B49</f>
        <v>5.0000000000000001E-4</v>
      </c>
      <c r="J55" s="2523">
        <f>IF(H59="非个人房产","",4)</f>
        <v>4</v>
      </c>
      <c r="K55" s="3603" t="str">
        <f>IF(H59="非个人房产","——","个人所得税")</f>
        <v>个人所得税</v>
      </c>
      <c r="L55" s="3603"/>
      <c r="M55" s="2528">
        <f ca="1">D59</f>
        <v>8</v>
      </c>
      <c r="N55" s="2040" t="str">
        <f>E59</f>
        <v>差额计税</v>
      </c>
      <c r="O55" s="2529">
        <f>F59</f>
        <v>0.01</v>
      </c>
    </row>
    <row r="56" spans="1:35" ht="24.75">
      <c r="A56" s="3663" t="s">
        <v>1363</v>
      </c>
      <c r="B56" s="3641"/>
      <c r="C56" s="3641"/>
      <c r="D56" s="2324">
        <f ca="1">IF(H56="个人住宅",D57,D58)</f>
        <v>470</v>
      </c>
      <c r="E56" s="2334" t="s">
        <v>1364</v>
      </c>
      <c r="F56" s="2554" t="str">
        <f>IF(H56="正常",F58,"免征")</f>
        <v>免征</v>
      </c>
      <c r="G56" s="2557" t="s">
        <v>1365</v>
      </c>
      <c r="H56" s="2558"/>
      <c r="I56" s="1808"/>
      <c r="J56" s="2523" t="str">
        <f>IF(项目基本情况!K6="上海银行",IF(J55="",4,J55+1),"")</f>
        <v/>
      </c>
      <c r="K56" s="3584" t="str">
        <f>IF(项目基本情况!K6="上海银行","其他处置费用","")</f>
        <v/>
      </c>
      <c r="L56" s="3585"/>
      <c r="M56" s="2525" t="str">
        <f>IF(项目基本情况!K6="上海银行",M69,"")</f>
        <v/>
      </c>
      <c r="N56" s="3584" t="str">
        <f>IF(项目基本情况!K6="上海银行","包含处置中涉及的律师、诉讼、拍卖、评估等费用","")</f>
        <v/>
      </c>
      <c r="O56" s="3587"/>
    </row>
    <row r="57" spans="1:35" ht="12.75">
      <c r="A57" s="2335" t="s">
        <v>1341</v>
      </c>
      <c r="B57" s="3627" t="s">
        <v>1366</v>
      </c>
      <c r="C57" s="3628"/>
      <c r="D57" s="1590">
        <v>0</v>
      </c>
      <c r="E57" s="324" t="s">
        <v>1343</v>
      </c>
      <c r="F57" s="302"/>
      <c r="G57" s="2555"/>
      <c r="H57" s="2559"/>
      <c r="I57" s="1808"/>
      <c r="J57" s="3603">
        <f>IF(AND(J55="",J56=""),4,IF(项目基本情况!K6="上海银行",结果表!J56+1,结果表!J55+1))</f>
        <v>5</v>
      </c>
      <c r="K57" s="3603" t="s">
        <v>1367</v>
      </c>
      <c r="L57" s="2530" t="s">
        <v>1368</v>
      </c>
      <c r="M57" s="2531"/>
      <c r="N57" s="2532">
        <f ca="1">SUMIF(M52:M56,"&lt;9e307")</f>
        <v>478</v>
      </c>
      <c r="O57" s="2533"/>
      <c r="P57" s="2690">
        <f ca="1">N57/M49</f>
        <v>0.57659831121833538</v>
      </c>
    </row>
    <row r="58" spans="1:35" ht="24.75">
      <c r="A58" s="2335" t="s">
        <v>1352</v>
      </c>
      <c r="B58" s="3627" t="s">
        <v>1369</v>
      </c>
      <c r="C58" s="3626"/>
      <c r="D58" s="2324">
        <f ca="1">IF(H58="转让取得",C81,C97)</f>
        <v>470</v>
      </c>
      <c r="E58" s="2334" t="s">
        <v>1364</v>
      </c>
      <c r="F58" s="302" t="s">
        <v>28</v>
      </c>
      <c r="G58" s="2555"/>
      <c r="H58" s="2558"/>
      <c r="I58" s="1808"/>
      <c r="J58" s="3603"/>
      <c r="K58" s="3603"/>
      <c r="L58" s="2530" t="s">
        <v>1370</v>
      </c>
      <c r="M58" s="2534"/>
      <c r="N58" s="2535" t="str">
        <f ca="1">NUMBERSTRING(INT(N57*10000),2)&amp;"元整"</f>
        <v>肆佰柒拾捌万元整</v>
      </c>
      <c r="O58" s="2536"/>
    </row>
    <row r="59" spans="1:35" ht="24.75" thickBot="1">
      <c r="A59" s="3607" t="s">
        <v>1371</v>
      </c>
      <c r="B59" s="3608"/>
      <c r="C59" s="3608"/>
      <c r="D59" s="2560">
        <f ca="1">IF(H59="非个人房产","——",IF(H59="个人住宅（满五唯一有凭证）",0,IF(H59="个人其他（无凭证）",ROUND(D45*F59,0),ROUND(C67*F59,0))))</f>
        <v>8</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3" t="s">
        <v>1372</v>
      </c>
      <c r="L59" s="2523" t="s">
        <v>1368</v>
      </c>
      <c r="M59" s="2537"/>
      <c r="N59" s="2538">
        <f ca="1">M49-N57</f>
        <v>351</v>
      </c>
      <c r="O59" s="2539"/>
    </row>
    <row r="60" spans="1:35" ht="12" customHeight="1">
      <c r="A60" s="1809"/>
      <c r="B60" s="1747"/>
      <c r="C60" s="1747"/>
      <c r="D60" s="1747"/>
      <c r="E60" s="1578"/>
      <c r="F60" s="1808"/>
      <c r="G60" s="1808"/>
      <c r="H60" s="1810"/>
      <c r="I60" s="129"/>
      <c r="J60" s="3606"/>
      <c r="K60" s="3603"/>
      <c r="L60" s="2530" t="s">
        <v>1370</v>
      </c>
      <c r="M60" s="2534"/>
      <c r="N60" s="2535" t="str">
        <f ca="1">NUMBERSTRING(INT(N59*10000),2)&amp;"元整"</f>
        <v>叁佰伍拾壹万元整</v>
      </c>
      <c r="O60" s="2536"/>
    </row>
    <row r="61" spans="1:35" ht="13.5" thickBot="1">
      <c r="A61" s="3662" t="s">
        <v>1373</v>
      </c>
      <c r="B61" s="3662"/>
      <c r="C61" s="3662"/>
      <c r="D61" s="3662"/>
      <c r="E61" s="3662"/>
      <c r="F61" s="1808"/>
      <c r="G61" s="1808"/>
      <c r="H61" s="1810"/>
      <c r="I61" s="129"/>
      <c r="J61" s="2523">
        <f>J59+1</f>
        <v>7</v>
      </c>
      <c r="K61" s="3603" t="s">
        <v>1374</v>
      </c>
      <c r="L61" s="3603"/>
      <c r="M61" s="2540"/>
      <c r="N61" s="2541">
        <f ca="1">ROUND(N59*10000/'数据-汇总表'!E3,0)</f>
        <v>2096</v>
      </c>
      <c r="O61" s="2542"/>
    </row>
    <row r="62" spans="1:35" ht="12.75">
      <c r="A62" s="3622" t="s">
        <v>1375</v>
      </c>
      <c r="B62" s="3623"/>
      <c r="C62" s="2021"/>
      <c r="D62" s="2021" t="s">
        <v>1376</v>
      </c>
      <c r="E62" s="166" t="s">
        <v>1377</v>
      </c>
      <c r="F62" s="1808"/>
      <c r="G62" s="1808"/>
      <c r="H62" s="1810"/>
      <c r="I62" s="129"/>
    </row>
    <row r="63" spans="1:35" ht="12.75">
      <c r="A63" s="173" t="s">
        <v>330</v>
      </c>
      <c r="B63" s="167" t="s">
        <v>1378</v>
      </c>
      <c r="C63" s="2564">
        <f ca="1">ROUND((C64+C65)/(1+'数据-取费表'!C42),0)</f>
        <v>790</v>
      </c>
      <c r="D63" s="167"/>
      <c r="E63" s="168"/>
      <c r="F63" s="1808"/>
      <c r="G63" s="1808"/>
      <c r="H63" s="1810"/>
      <c r="I63" s="129"/>
      <c r="J63" s="3586" t="s">
        <v>1379</v>
      </c>
      <c r="K63" s="1332" t="s">
        <v>1380</v>
      </c>
      <c r="L63" s="1332">
        <f ca="1">IF(M49&gt;10000,M49*0.5%,IF(AND(M49&gt;1000,M49&lt;=10000),M49*1%,IF(AND(M49&gt;100,M49&lt;=1000),M49*3%,IF(AND(M49&gt;10,M49&lt;=100),M49*5%,M49*8%))))</f>
        <v>24.869999999999997</v>
      </c>
      <c r="M63" s="302">
        <f ca="1">ROUND(L63,1)</f>
        <v>24.9</v>
      </c>
      <c r="N63" s="2543"/>
      <c r="Z63" s="1752"/>
      <c r="AI63" s="1753"/>
    </row>
    <row r="64" spans="1:35" ht="14.25" customHeight="1">
      <c r="A64" s="169" t="s">
        <v>325</v>
      </c>
      <c r="B64" s="170" t="s">
        <v>1381</v>
      </c>
      <c r="C64" s="2565">
        <f ca="1">D45</f>
        <v>829</v>
      </c>
      <c r="D64" s="170" t="s">
        <v>26</v>
      </c>
      <c r="E64" s="172"/>
      <c r="F64" s="1808"/>
      <c r="G64" s="1808"/>
      <c r="H64" s="1810"/>
      <c r="I64" s="129"/>
      <c r="J64" s="3586"/>
      <c r="K64" s="1332" t="s">
        <v>1382</v>
      </c>
      <c r="L64" s="1332">
        <f ca="1">IF(M49&gt;2000,M49*0.5%,IF(AND(M49&gt;1000,M49&lt;=2000),M49*0.6%,IF(AND(M49&gt;500,M49&lt;=1000),M49*0.7%,IF(AND(M49&gt;200,M49&lt;=500),M49*0.8%,IF(AND(M49&gt;100,M49&lt;=200),M49*0.9%,IF(AND(M49&gt;50,M49&lt;=100),M49*1%,IF(AND(M49&gt;20,M49&lt;=50),M49*1.5%,IF(AND(M49&gt;10,M49&lt;=20),M49*2%,IF(AND(M49&gt;1,M49&lt;=10),M49*2.5%)))))))))</f>
        <v>5.802999999999999</v>
      </c>
      <c r="M64" s="302">
        <f t="shared" ref="M64:M65" ca="1" si="1">ROUND(L64,1)</f>
        <v>5.8</v>
      </c>
      <c r="N64" s="2544" t="s">
        <v>1383</v>
      </c>
      <c r="Z64" s="1752"/>
      <c r="AI64" s="1753"/>
    </row>
    <row r="65" spans="1:35" ht="14.25" customHeight="1">
      <c r="A65" s="169" t="s">
        <v>326</v>
      </c>
      <c r="B65" s="170" t="s">
        <v>1384</v>
      </c>
      <c r="C65" s="2566"/>
      <c r="D65" s="170"/>
      <c r="E65" s="172"/>
      <c r="F65" s="1808"/>
      <c r="G65" s="1808"/>
      <c r="H65" s="1810"/>
      <c r="I65" s="129"/>
      <c r="J65" s="3586"/>
      <c r="K65" s="1332" t="s">
        <v>1385</v>
      </c>
      <c r="L65" s="1332">
        <f ca="1">IF(M49&gt;1000,M49*0.1%,IF(AND(M49&gt;500,M49&lt;=1000),M49*0.5%,IF(AND(M49&gt;50,M49&lt;=500),M49*1%,IF(AND(M49&gt;1,M49&lt;=50),M49*1.5%))))</f>
        <v>4.1450000000000005</v>
      </c>
      <c r="M65" s="302">
        <f t="shared" ca="1" si="1"/>
        <v>4.0999999999999996</v>
      </c>
      <c r="N65" s="2544" t="s">
        <v>1383</v>
      </c>
      <c r="Z65" s="1752"/>
      <c r="AI65" s="1753"/>
    </row>
    <row r="66" spans="1:35" ht="14.25" customHeight="1">
      <c r="A66" s="173" t="s">
        <v>327</v>
      </c>
      <c r="B66" s="174" t="s">
        <v>1386</v>
      </c>
      <c r="C66" s="2567"/>
      <c r="D66" s="174" t="s">
        <v>26</v>
      </c>
      <c r="E66" s="1338" t="s">
        <v>671</v>
      </c>
      <c r="F66" s="1808"/>
      <c r="G66" s="1808"/>
      <c r="H66" s="1810"/>
      <c r="I66" s="129"/>
      <c r="J66" s="3586"/>
      <c r="K66" s="1332" t="s">
        <v>1387</v>
      </c>
      <c r="L66" s="1332">
        <f ca="1">M49*0.5%</f>
        <v>4.1450000000000005</v>
      </c>
      <c r="M66" s="302">
        <f ca="1">IF(L66&gt;0.5,0.5,ROUND(L66,0))</f>
        <v>0.5</v>
      </c>
      <c r="N66" s="2544" t="s">
        <v>1388</v>
      </c>
      <c r="Z66" s="1752"/>
      <c r="AI66" s="1753"/>
    </row>
    <row r="67" spans="1:35" ht="14.25" customHeight="1">
      <c r="A67" s="173" t="s">
        <v>328</v>
      </c>
      <c r="B67" s="174" t="s">
        <v>1389</v>
      </c>
      <c r="C67" s="2568">
        <f ca="1">C63-C66</f>
        <v>790</v>
      </c>
      <c r="D67" s="170" t="s">
        <v>26</v>
      </c>
      <c r="E67" s="172"/>
      <c r="F67" s="1808"/>
      <c r="G67" s="1808"/>
      <c r="H67" s="1810"/>
      <c r="I67" s="129"/>
      <c r="J67" s="3586"/>
      <c r="K67" s="1332" t="s">
        <v>1390</v>
      </c>
      <c r="L67" s="1332">
        <f ca="1">IF(M49&gt;=10000,(8.25+(M49-10000)*0.01%),IF(AND(M49&gt;=8000,M49&lt;10000),(7.85+(M49-8000)*0.02%),IF(AND(M49&gt;=5000,M49&lt;8000),(6.65+(M49-5000)*0.04%),IF(AND(M49&gt;=2000,M49&lt;5000),(4.25+(PM49-2000)*0.08%),IF(AND(M49&gt;=1000,M49&lt;2000),(2.75+(M49-1000)*0.15%),IF(AND(M49&gt;=100,M49&lt;1000),(0.5+(M49-100)*0.25%),IF(AND(M49&gt;0,M49&lt;100),M49*0.5%)))))))</f>
        <v>2.3224999999999998</v>
      </c>
      <c r="M67" s="302">
        <f ca="1">ROUND(L67*0.9,1)</f>
        <v>2.1</v>
      </c>
      <c r="N67" s="2543"/>
      <c r="Z67" s="1752"/>
      <c r="AI67" s="1753"/>
    </row>
    <row r="68" spans="1:35" ht="14.25" customHeight="1" thickBot="1">
      <c r="A68" s="176" t="s">
        <v>329</v>
      </c>
      <c r="B68" s="177" t="s">
        <v>1391</v>
      </c>
      <c r="C68" s="2569">
        <f ca="1">IF(C67&lt;=0,0,ROUND(C67*D68,0))</f>
        <v>43</v>
      </c>
      <c r="D68" s="2570">
        <f>'数据-取费表'!B41</f>
        <v>5.5000000000000007E-2</v>
      </c>
      <c r="E68" s="178"/>
      <c r="F68" s="1808"/>
      <c r="G68" s="1808"/>
      <c r="H68" s="1810"/>
      <c r="I68" s="129"/>
      <c r="J68" s="3586"/>
      <c r="K68" s="1332" t="s">
        <v>1392</v>
      </c>
      <c r="L68" s="1332">
        <f ca="1">IF(M49&gt;10000,M49*0.5%,IF(AND(M49&gt;5000,M49&lt;=10000),M49*1%,IF(AND(M49&gt;1000,M49&lt;=5000),M49*2%,IF(AND(M49&gt;200,M49&lt;=1000),M49*3%,M49*5%))))</f>
        <v>24.869999999999997</v>
      </c>
      <c r="M68" s="302">
        <f ca="1">ROUND(L68,1)</f>
        <v>24.9</v>
      </c>
      <c r="N68" s="2543"/>
      <c r="Z68" s="1752"/>
      <c r="AI68" s="1753"/>
    </row>
    <row r="69" spans="1:35" s="1772" customFormat="1" ht="16.5" customHeight="1">
      <c r="A69" s="1811"/>
      <c r="B69" s="1812"/>
      <c r="C69" s="1813"/>
      <c r="D69" s="1814"/>
      <c r="E69" s="1815"/>
      <c r="F69" s="1578"/>
      <c r="G69" s="1578"/>
      <c r="H69" s="1577"/>
      <c r="I69" s="1747"/>
      <c r="J69" s="3586"/>
      <c r="K69" s="1332" t="s">
        <v>1393</v>
      </c>
      <c r="L69" s="1332"/>
      <c r="M69" s="302">
        <f ca="1">ROUND(SUM(M63:M68),0)</f>
        <v>62</v>
      </c>
      <c r="N69" s="2545">
        <f ca="1">M69/M49</f>
        <v>7.478890229191798E-2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0" t="s">
        <v>1394</v>
      </c>
      <c r="B70" s="3631"/>
      <c r="C70" s="3631"/>
      <c r="D70" s="3631"/>
      <c r="E70" s="3631"/>
      <c r="F70" s="3631"/>
      <c r="G70" s="3631"/>
      <c r="H70" s="3631"/>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2" t="s">
        <v>1375</v>
      </c>
      <c r="B71" s="362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790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7" t="s">
        <v>1402</v>
      </c>
      <c r="F76" s="3626"/>
      <c r="G76" s="3626"/>
      <c r="H76" s="362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v>
      </c>
      <c r="D78" s="2577">
        <f>'数据-取费表'!B43</f>
        <v>5.000000000000001E-3</v>
      </c>
      <c r="E78" s="3619" t="s">
        <v>1406</v>
      </c>
      <c r="F78" s="3620"/>
      <c r="G78" s="3620"/>
      <c r="H78" s="362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786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196.5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470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0" t="s">
        <v>1410</v>
      </c>
      <c r="B83" s="3631"/>
      <c r="C83" s="3631"/>
      <c r="D83" s="3631"/>
      <c r="E83" s="3631"/>
      <c r="F83" s="3631"/>
      <c r="G83" s="3631"/>
      <c r="H83" s="363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2" t="s">
        <v>1375</v>
      </c>
      <c r="B84" s="362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790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8" t="s">
        <v>2129</v>
      </c>
      <c r="H90" s="358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9" t="s">
        <v>1419</v>
      </c>
      <c r="F91" s="3620"/>
      <c r="G91" s="362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9" t="s">
        <v>1422</v>
      </c>
      <c r="F92" s="3620"/>
      <c r="G92" s="3620"/>
      <c r="H92" s="362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v>
      </c>
      <c r="D93" s="2577">
        <f>'数据-取费表'!B43</f>
        <v>5.000000000000001E-3</v>
      </c>
      <c r="E93" s="3619" t="s">
        <v>1406</v>
      </c>
      <c r="F93" s="3620"/>
      <c r="G93" s="3620"/>
      <c r="H93" s="362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4" t="s">
        <v>1426</v>
      </c>
      <c r="F94" s="3665"/>
      <c r="G94" s="3665"/>
      <c r="H94" s="366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786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196.5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470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8" t="s">
        <v>1428</v>
      </c>
      <c r="B100" s="3569"/>
      <c r="C100" s="3569"/>
      <c r="D100" s="3604"/>
      <c r="E100" s="3569" t="s">
        <v>1429</v>
      </c>
      <c r="F100" s="3569"/>
      <c r="G100" s="3569"/>
      <c r="H100" s="3604"/>
      <c r="I100" s="129"/>
    </row>
    <row r="101" spans="1:35" ht="18.75" customHeight="1">
      <c r="A101" s="3612" t="s">
        <v>1430</v>
      </c>
      <c r="B101" s="3613"/>
      <c r="C101" s="2585" t="str">
        <f>C4</f>
        <v>比较法-仓储</v>
      </c>
      <c r="D101" s="2586" t="str">
        <f>D4</f>
        <v>收益法 (元)</v>
      </c>
      <c r="E101" s="3582" t="s">
        <v>1431</v>
      </c>
      <c r="F101" s="3583"/>
      <c r="G101" s="1827" t="s">
        <v>1432</v>
      </c>
      <c r="H101" s="2595">
        <f ca="1">H118</f>
        <v>829</v>
      </c>
      <c r="I101" s="129"/>
    </row>
    <row r="102" spans="1:35" ht="18.75" customHeight="1">
      <c r="A102" s="3614" t="s">
        <v>1433</v>
      </c>
      <c r="B102" s="2584" t="s">
        <v>1432</v>
      </c>
      <c r="C102" s="2585">
        <f ca="1">IF(D32="楼面单价",ROUND(C19,0),C19)</f>
        <v>782</v>
      </c>
      <c r="D102" s="2586">
        <f ca="1">IF(D32="楼面单价",ROUND(D19,0),D19)</f>
        <v>875</v>
      </c>
      <c r="E102" s="3582"/>
      <c r="F102" s="3583"/>
      <c r="G102" s="1827" t="s">
        <v>1434</v>
      </c>
      <c r="H102" s="2555">
        <f ca="1">I118</f>
        <v>4947</v>
      </c>
      <c r="I102" s="129"/>
    </row>
    <row r="103" spans="1:35" ht="42.75" customHeight="1">
      <c r="A103" s="3614"/>
      <c r="B103" s="2584" t="s">
        <v>1434</v>
      </c>
      <c r="C103" s="2587">
        <f ca="1">C20</f>
        <v>4667</v>
      </c>
      <c r="D103" s="2588">
        <f ca="1">D20</f>
        <v>5226</v>
      </c>
      <c r="E103" s="3575" t="s">
        <v>1435</v>
      </c>
      <c r="F103" s="3576"/>
      <c r="G103" s="1828" t="s">
        <v>1436</v>
      </c>
      <c r="H103" s="2595">
        <f>IF(D36="正常操作",H104+H105+H106,H105+H106)</f>
        <v>0</v>
      </c>
      <c r="I103" s="129"/>
    </row>
    <row r="104" spans="1:35" ht="18.75" customHeight="1">
      <c r="A104" s="3614" t="s">
        <v>1437</v>
      </c>
      <c r="B104" s="2589" t="s">
        <v>1432</v>
      </c>
      <c r="C104" s="2590">
        <f ca="1">H118</f>
        <v>829</v>
      </c>
      <c r="D104" s="2591"/>
      <c r="E104" s="1674" t="s">
        <v>1438</v>
      </c>
      <c r="F104" s="1666"/>
      <c r="G104" s="1828" t="s">
        <v>1436</v>
      </c>
      <c r="H104" s="2596">
        <f>IF(D36="同一抵押权人同一抵押物续贷",C36&amp;"（续贷，未扣减，详见特别提示）",C36)</f>
        <v>0</v>
      </c>
      <c r="I104" s="129"/>
    </row>
    <row r="105" spans="1:35" ht="18.75" customHeight="1" thickBot="1">
      <c r="A105" s="3624"/>
      <c r="B105" s="2592" t="s">
        <v>1434</v>
      </c>
      <c r="C105" s="2593">
        <f ca="1">I118</f>
        <v>4947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5" t="str">
        <f>IF(项目基本情况!E8="已注销","——","3.房地产抵押价值")</f>
        <v>3.房地产抵押价值</v>
      </c>
      <c r="F107" s="3583"/>
      <c r="G107" s="1827" t="s">
        <v>1432</v>
      </c>
      <c r="H107" s="2595">
        <f ca="1">IF(E107="——","——",H101-H103)</f>
        <v>829</v>
      </c>
      <c r="I107" s="129"/>
    </row>
    <row r="108" spans="1:35" ht="18.75" customHeight="1">
      <c r="A108" s="129"/>
      <c r="B108" s="129"/>
      <c r="C108" s="129"/>
      <c r="D108" s="129"/>
      <c r="E108" s="3615"/>
      <c r="F108" s="3583"/>
      <c r="G108" s="1827" t="s">
        <v>1434</v>
      </c>
      <c r="H108" s="2555">
        <f ca="1">IF(H107=H101,H102,ROUND(H107*10000/'数据-汇总表'!E3,0))</f>
        <v>4947</v>
      </c>
      <c r="I108" s="129"/>
    </row>
    <row r="109" spans="1:35" ht="18.75" customHeight="1">
      <c r="A109" s="129"/>
      <c r="B109" s="129"/>
      <c r="C109" s="129"/>
      <c r="D109" s="129"/>
      <c r="E109" s="3615"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615"/>
      <c r="F110" s="3583"/>
      <c r="G110" s="1827" t="s">
        <v>1434</v>
      </c>
      <c r="H110" s="2555" t="str">
        <f>IF(H109="——","——",ROUND(H109*10000/'数据-汇总表'!E3,0))</f>
        <v>——</v>
      </c>
      <c r="I110" s="129"/>
    </row>
    <row r="111" spans="1:35" ht="18.75" customHeight="1">
      <c r="A111" s="129"/>
      <c r="B111" s="129"/>
      <c r="C111" s="129"/>
      <c r="D111" s="129"/>
      <c r="E111" s="3616" t="str">
        <f>IF(项目基本情况!E9="抵押净值",IF(OR(项目基本情况!E8="已注销",项目基本情况!E8="房地产抵押价值"),"4.抵押净值","5.抵押净值"),"——")</f>
        <v>——</v>
      </c>
      <c r="F111" s="3602"/>
      <c r="G111" s="1827" t="s">
        <v>1432</v>
      </c>
      <c r="H111" s="2595" t="str">
        <f>IF(E111="——","——",N59)</f>
        <v>——</v>
      </c>
      <c r="I111" s="129"/>
    </row>
    <row r="112" spans="1:35" ht="18.75" customHeight="1" thickBot="1">
      <c r="A112" s="129"/>
      <c r="B112" s="129"/>
      <c r="C112" s="129"/>
      <c r="D112" s="129"/>
      <c r="E112" s="3617"/>
      <c r="F112" s="3618"/>
      <c r="G112" s="1830" t="s">
        <v>1434</v>
      </c>
      <c r="H112" s="2599" t="str">
        <f>IF(E111="——","——",N61)</f>
        <v>——</v>
      </c>
      <c r="I112" s="129"/>
    </row>
    <row r="113" spans="1:27" ht="18.75" customHeight="1">
      <c r="A113" s="129"/>
      <c r="B113" s="129"/>
      <c r="C113" s="129"/>
      <c r="D113" s="129"/>
      <c r="E113" s="3625" t="s">
        <v>1440</v>
      </c>
      <c r="F113" s="3625"/>
      <c r="G113" s="3625"/>
      <c r="H113" s="3625"/>
      <c r="I113" s="129"/>
    </row>
    <row r="114" spans="1:27" ht="3.75" customHeight="1">
      <c r="A114" s="1747"/>
      <c r="B114" s="1747"/>
      <c r="C114" s="1747"/>
      <c r="D114" s="1747"/>
      <c r="E114" s="1809"/>
      <c r="F114" s="1809"/>
      <c r="G114" s="1809"/>
      <c r="H114" s="1809"/>
      <c r="I114" s="1747"/>
    </row>
    <row r="115" spans="1:27" ht="18.75" customHeight="1">
      <c r="A115" s="3633" t="s">
        <v>1442</v>
      </c>
      <c r="B115" s="3634"/>
      <c r="C115" s="3634"/>
      <c r="D115" s="3634"/>
      <c r="E115" s="3634"/>
      <c r="F115" s="3634"/>
      <c r="G115" s="3634"/>
      <c r="H115" s="3634"/>
      <c r="I115" s="3635"/>
    </row>
    <row r="116" spans="1:27" ht="27" customHeight="1">
      <c r="A116" s="3590" t="s">
        <v>1443</v>
      </c>
      <c r="B116" s="3594" t="s">
        <v>1444</v>
      </c>
      <c r="C116" s="3594" t="s">
        <v>1445</v>
      </c>
      <c r="D116" s="3600" t="s">
        <v>1446</v>
      </c>
      <c r="E116" s="3601"/>
      <c r="F116" s="3632" t="s">
        <v>1447</v>
      </c>
      <c r="G116" s="3632"/>
      <c r="H116" s="3590" t="s">
        <v>1448</v>
      </c>
      <c r="I116" s="3590"/>
    </row>
    <row r="117" spans="1:27" ht="18.75" customHeight="1">
      <c r="A117" s="3590"/>
      <c r="B117" s="3595"/>
      <c r="C117" s="3595"/>
      <c r="D117" s="2329" t="s">
        <v>1449</v>
      </c>
      <c r="E117" s="2329" t="s">
        <v>1450</v>
      </c>
      <c r="F117" s="2329" t="s">
        <v>1449</v>
      </c>
      <c r="G117" s="2329" t="s">
        <v>1451</v>
      </c>
      <c r="H117" s="2329" t="s">
        <v>1449</v>
      </c>
      <c r="I117" s="2329" t="s">
        <v>1451</v>
      </c>
    </row>
    <row r="118" spans="1:27" ht="24.75" customHeight="1">
      <c r="A118" s="2600" t="str">
        <f>项目基本情况!S2</f>
        <v>北京市大兴区天水街16号院1号楼负1层地下仓储用房房地产</v>
      </c>
      <c r="B118" s="2329">
        <f>M18</f>
        <v>1674.92</v>
      </c>
      <c r="C118" s="2329">
        <f>M19</f>
        <v>0</v>
      </c>
      <c r="D118" s="2329">
        <f ca="1">ROUND(IF(D32="总价",C34,E118*B118/10000),0)</f>
        <v>185</v>
      </c>
      <c r="E118" s="2329">
        <f ca="1">ROUND(IF(C33="自定义",IF(D32="楼面单价",C34,D118*10000/B118),I118-G118),0)</f>
        <v>1103</v>
      </c>
      <c r="F118" s="2329">
        <f ca="1">ROUND(IF(D32="总价",C35,G118*B118/10000),0)</f>
        <v>644</v>
      </c>
      <c r="G118" s="2329">
        <f ca="1">ROUND(IF(D32="楼面单价",C35,F118*10000/B118),0)</f>
        <v>3844</v>
      </c>
      <c r="H118" s="2329">
        <f ca="1">ROUND(IF(D32="总价",C32,I118*B118/10000),0)</f>
        <v>829</v>
      </c>
      <c r="I118" s="2329">
        <f ca="1">ROUND(IF(D32="楼面单价",C32,H118*10000/B118),0)</f>
        <v>4947</v>
      </c>
    </row>
    <row r="119" spans="1:27" ht="18.75" customHeight="1">
      <c r="A119" s="3590" t="s">
        <v>1452</v>
      </c>
      <c r="B119" s="3590"/>
      <c r="C119" s="3590"/>
      <c r="D119" s="3596" t="str">
        <f ca="1">NUMBERSTRING(INT(D118*10000),2)&amp;"元整"</f>
        <v>壹佰捌拾伍万元整</v>
      </c>
      <c r="E119" s="3597"/>
      <c r="F119" s="3596" t="str">
        <f ca="1">NUMBERSTRING(INT(F118*10000),2)&amp;"元整"</f>
        <v>陆佰肆拾肆万元整</v>
      </c>
      <c r="G119" s="3597"/>
      <c r="H119" s="3596" t="str">
        <f ca="1">NUMBERSTRING(INT(H118*10000),2)&amp;"元整"</f>
        <v>捌佰贰拾玖万元整</v>
      </c>
      <c r="I119" s="3597"/>
    </row>
    <row r="120" spans="1:27" ht="18.75" customHeight="1">
      <c r="A120" s="3591" t="str">
        <f>IF(项目基本情况!B9="房地产市场价值","",MID(E103,3,LEN(E103)-2))</f>
        <v>估价师知悉的法定优先受偿款</v>
      </c>
      <c r="B120" s="3592"/>
      <c r="C120" s="3593"/>
      <c r="D120" s="3591">
        <f>H103</f>
        <v>0</v>
      </c>
      <c r="E120" s="3592"/>
      <c r="F120" s="3592"/>
      <c r="G120" s="3592"/>
      <c r="H120" s="3592"/>
      <c r="I120" s="359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6" t="s">
        <v>1452</v>
      </c>
      <c r="B121" s="3598"/>
      <c r="C121" s="3597"/>
      <c r="D121" s="3596" t="str">
        <f>IF(D120=0,"零元整",NUMBERSTRING(INT(D120*10000),2)&amp;"元整")</f>
        <v>零元整</v>
      </c>
      <c r="E121" s="3598"/>
      <c r="F121" s="3598"/>
      <c r="G121" s="3598"/>
      <c r="H121" s="3598"/>
      <c r="I121" s="3597"/>
      <c r="AA121" s="725"/>
    </row>
    <row r="122" spans="1:27" ht="18.75" customHeight="1">
      <c r="A122" s="3602" t="str">
        <f>IF(项目基本情况!B9="房地产市场价值","",MID(E107,3,LEN(E107)-2))</f>
        <v>房地产抵押价值</v>
      </c>
      <c r="B122" s="3602"/>
      <c r="C122" s="3602"/>
      <c r="D122" s="3591">
        <f ca="1">H107</f>
        <v>829</v>
      </c>
      <c r="E122" s="3592"/>
      <c r="F122" s="3592"/>
      <c r="G122" s="3592"/>
      <c r="H122" s="3592"/>
      <c r="I122" s="3593"/>
      <c r="AA122" s="725"/>
    </row>
    <row r="123" spans="1:27" ht="18.75" customHeight="1">
      <c r="A123" s="3590" t="s">
        <v>1452</v>
      </c>
      <c r="B123" s="3590"/>
      <c r="C123" s="3590"/>
      <c r="D123" s="3596" t="str">
        <f ca="1">NUMBERSTRING(INT(D122*10000),2)&amp;"元整"</f>
        <v>捌佰贰拾玖万元整</v>
      </c>
      <c r="E123" s="3598"/>
      <c r="F123" s="3598"/>
      <c r="G123" s="3598"/>
      <c r="H123" s="3598"/>
      <c r="I123" s="3597"/>
      <c r="AA123" s="725"/>
    </row>
    <row r="124" spans="1:27" ht="18.75" customHeight="1">
      <c r="A124" s="3602" t="str">
        <f>IF(项目基本情况!B9="房地产市场价值","",MID(E109,3,LEN(E109)-2))</f>
        <v/>
      </c>
      <c r="B124" s="3602"/>
      <c r="C124" s="3602"/>
      <c r="D124" s="3591" t="str">
        <f>H109</f>
        <v>——</v>
      </c>
      <c r="E124" s="3592"/>
      <c r="F124" s="3592"/>
      <c r="G124" s="3592"/>
      <c r="H124" s="3592"/>
      <c r="I124" s="3593"/>
      <c r="AA124" s="725"/>
    </row>
    <row r="125" spans="1:27" ht="18.75" customHeight="1">
      <c r="A125" s="3590" t="s">
        <v>1452</v>
      </c>
      <c r="B125" s="3590"/>
      <c r="C125" s="3590"/>
      <c r="D125" s="3596" t="e">
        <f>NUMBERSTRING(INT(D124*10000),2)&amp;"元整"</f>
        <v>#VALUE!</v>
      </c>
      <c r="E125" s="3598"/>
      <c r="F125" s="3598"/>
      <c r="G125" s="3598"/>
      <c r="H125" s="3598"/>
      <c r="I125" s="3597"/>
      <c r="AA125" s="725"/>
    </row>
    <row r="126" spans="1:27" ht="18.75" customHeight="1">
      <c r="A126" s="3602" t="str">
        <f>IF(项目基本情况!B9="房地产市场价值","",MID(E111,3,LEN(E111)-2))</f>
        <v/>
      </c>
      <c r="B126" s="3602"/>
      <c r="C126" s="3602"/>
      <c r="D126" s="3591" t="str">
        <f>H111</f>
        <v>——</v>
      </c>
      <c r="E126" s="3592"/>
      <c r="F126" s="3592"/>
      <c r="G126" s="3592"/>
      <c r="H126" s="3592"/>
      <c r="I126" s="3593"/>
      <c r="AA126" s="725"/>
    </row>
    <row r="127" spans="1:27" ht="18.75" customHeight="1">
      <c r="A127" s="3590" t="s">
        <v>1452</v>
      </c>
      <c r="B127" s="3590"/>
      <c r="C127" s="3590"/>
      <c r="D127" s="3596" t="e">
        <f>NUMBERSTRING(INT(D126*10000),2)&amp;"元整"</f>
        <v>#VALUE!</v>
      </c>
      <c r="E127" s="3598"/>
      <c r="F127" s="3598"/>
      <c r="G127" s="3598"/>
      <c r="H127" s="3598"/>
      <c r="I127" s="3597"/>
      <c r="AA127" s="725"/>
    </row>
    <row r="128" spans="1:27" ht="21.75" customHeight="1">
      <c r="A128" s="3599" t="s">
        <v>1453</v>
      </c>
      <c r="B128" s="3599"/>
      <c r="C128" s="3599"/>
      <c r="D128" s="3599"/>
      <c r="E128" s="3599"/>
      <c r="F128" s="3599"/>
      <c r="G128" s="3599"/>
      <c r="H128" s="3599"/>
      <c r="I128" s="359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214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1278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160.4984</v>
      </c>
      <c r="D5" s="211" t="s">
        <v>1469</v>
      </c>
      <c r="E5" s="212" t="s">
        <v>1470</v>
      </c>
      <c r="F5" s="212" t="s">
        <v>1471</v>
      </c>
      <c r="G5" s="213"/>
    </row>
    <row r="6" spans="1:9" s="214" customFormat="1" ht="13.5" customHeight="1">
      <c r="A6" s="778" t="s">
        <v>1472</v>
      </c>
      <c r="B6" s="215" t="s">
        <v>1473</v>
      </c>
      <c r="C6" s="216">
        <f>基准地价修正!E41</f>
        <v>123</v>
      </c>
      <c r="D6" s="217"/>
      <c r="E6" s="218"/>
      <c r="F6" s="218"/>
      <c r="G6" s="219"/>
    </row>
    <row r="7" spans="1:9" s="214" customFormat="1" ht="13.5" customHeight="1">
      <c r="A7" s="778" t="s">
        <v>1474</v>
      </c>
      <c r="B7" s="215" t="s">
        <v>1475</v>
      </c>
      <c r="C7" s="220">
        <f>ROUND(C6*F7,0)</f>
        <v>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33.498399999999997</v>
      </c>
      <c r="D8" s="222"/>
      <c r="E8" s="220"/>
      <c r="F8" s="221"/>
      <c r="G8" s="1856" t="s">
        <v>3450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3451</v>
      </c>
      <c r="H9" s="1137"/>
      <c r="I9" s="1858" t="s">
        <v>1479</v>
      </c>
    </row>
    <row r="10" spans="1:9" s="214" customFormat="1" ht="13.5" customHeight="1">
      <c r="A10" s="779" t="s">
        <v>356</v>
      </c>
      <c r="B10" s="224" t="s">
        <v>1480</v>
      </c>
      <c r="C10" s="225">
        <f ca="1">ROUND(D10*E10/10000,0)</f>
        <v>33</v>
      </c>
      <c r="D10" s="845">
        <f ca="1">IF(B1="",'数据-汇总表'!E6,IF(INDIRECT("'数据-取费表'!c"&amp;$G$1)="住宅",INDIRECT("'数据-取费表'!s"&amp;$G$1),INDIRECT("'数据-取费表'!k"&amp;$G$1)+INDIRECT("'数据-取费表'!s"&amp;$G$1)))</f>
        <v>1674.92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1674.92</v>
      </c>
      <c r="E19" s="211">
        <f>'数据-取费表'!B31</f>
        <v>200</v>
      </c>
      <c r="F19" s="231"/>
      <c r="G19" s="1856" t="s">
        <v>3452</v>
      </c>
    </row>
    <row r="20" spans="1:7" s="214" customFormat="1" ht="13.5" customHeight="1">
      <c r="A20" s="255" t="s">
        <v>1493</v>
      </c>
      <c r="B20" s="210" t="s">
        <v>1494</v>
      </c>
      <c r="C20" s="232">
        <f ca="1">ROUND((C5+C19)*F20,0)</f>
        <v>3</v>
      </c>
      <c r="D20" s="232"/>
      <c r="E20" s="232"/>
      <c r="F20" s="233">
        <f>'数据-取费表'!B37</f>
        <v>0.02</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0</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0</v>
      </c>
      <c r="D26" s="238"/>
      <c r="E26" s="241"/>
      <c r="F26" s="239"/>
      <c r="G26" s="243"/>
    </row>
    <row r="27" spans="1:7" s="214" customFormat="1" ht="24.75">
      <c r="A27" s="255" t="s">
        <v>1512</v>
      </c>
      <c r="B27" s="244" t="s">
        <v>1513</v>
      </c>
      <c r="C27" s="245">
        <f ca="1">C28</f>
        <v>0</v>
      </c>
      <c r="D27" s="235">
        <f ca="1">C29</f>
        <v>0</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0</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178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0.88</v>
      </c>
      <c r="G34" s="219" t="s">
        <v>1526</v>
      </c>
    </row>
    <row r="35" spans="1:7" ht="13.5" customHeight="1">
      <c r="A35" s="780" t="s">
        <v>351</v>
      </c>
      <c r="B35" s="215" t="s">
        <v>1527</v>
      </c>
      <c r="C35" s="220">
        <f ca="1">ROUND(C34*F35,0)</f>
        <v>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29</v>
      </c>
      <c r="D37" s="217">
        <f ca="1">D19</f>
        <v>1674.92</v>
      </c>
      <c r="E37" s="249">
        <f>'数据-取费表'!B35</f>
        <v>200</v>
      </c>
      <c r="F37" s="259"/>
      <c r="G37" s="261" t="s">
        <v>1532</v>
      </c>
    </row>
    <row r="38" spans="1:7" ht="13.5" customHeight="1">
      <c r="A38" s="780"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0</v>
      </c>
      <c r="D41" s="235">
        <f ca="1">C44</f>
        <v>0</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0</v>
      </c>
      <c r="D42" s="238"/>
      <c r="E42" s="238"/>
      <c r="F42" s="239"/>
      <c r="G42" s="3669" t="s">
        <v>1544</v>
      </c>
    </row>
    <row r="43" spans="1:7" ht="13.5" customHeight="1">
      <c r="A43" s="780" t="s">
        <v>347</v>
      </c>
      <c r="B43" s="215" t="s">
        <v>1545</v>
      </c>
      <c r="C43" s="238">
        <f ca="1">ROUND(IF('数据-取费表'!B22&lt;=1,C39*F22*'数据-取费表'!B21/2,C39*(POWER((1+F22),'数据-取费表'!B21/2)-1)),0)</f>
        <v>0</v>
      </c>
      <c r="D43" s="238"/>
      <c r="E43" s="238"/>
      <c r="F43" s="239"/>
      <c r="G43" s="3670"/>
    </row>
    <row r="44" spans="1:7" ht="13.5" customHeight="1">
      <c r="A44" s="780" t="s">
        <v>348</v>
      </c>
      <c r="B44" s="215" t="s">
        <v>1546</v>
      </c>
      <c r="C44" s="238">
        <f ca="1">ROUND(IF('数据-取费表'!B22&lt;=1,C40*F22*'数据-取费表'!B21/2,C40*(POWER((1+F22),'数据-取费表'!B21/2)-1)),4)</f>
        <v>0</v>
      </c>
      <c r="D44" s="238"/>
      <c r="E44" s="238"/>
      <c r="F44" s="239"/>
      <c r="G44" s="3671"/>
    </row>
    <row r="45" spans="1:7" s="214" customFormat="1" ht="13.5" customHeight="1">
      <c r="A45" s="255" t="s">
        <v>1547</v>
      </c>
      <c r="B45" s="244" t="s">
        <v>1513</v>
      </c>
      <c r="C45" s="245">
        <f ca="1">C46</f>
        <v>3</v>
      </c>
      <c r="D45" s="235">
        <f ca="1">C47</f>
        <v>3.0000000000000001E-3</v>
      </c>
      <c r="E45" s="236" t="s">
        <v>1539</v>
      </c>
      <c r="F45" s="246">
        <f ca="1">F27</f>
        <v>0.1</v>
      </c>
      <c r="G45" s="247" t="s">
        <v>1548</v>
      </c>
    </row>
    <row r="46" spans="1:7" s="214" customFormat="1" ht="13.5" customHeight="1">
      <c r="A46" s="780" t="s">
        <v>346</v>
      </c>
      <c r="B46" s="248" t="s">
        <v>1549</v>
      </c>
      <c r="C46" s="249">
        <f ca="1">ROUND((C33+C39)*F27,0)</f>
        <v>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36</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36</v>
      </c>
      <c r="D51" s="232"/>
      <c r="E51" s="232"/>
      <c r="F51" s="264"/>
      <c r="G51" s="234" t="s">
        <v>1560</v>
      </c>
    </row>
    <row r="52" spans="1:7" s="208" customFormat="1" ht="16.5" thickBot="1">
      <c r="A52" s="265" t="s">
        <v>1561</v>
      </c>
      <c r="B52" s="266"/>
      <c r="C52" s="267">
        <f ca="1">C31+C51</f>
        <v>214</v>
      </c>
      <c r="D52" s="266"/>
      <c r="E52" s="266"/>
      <c r="F52" s="266"/>
      <c r="G52" s="268"/>
    </row>
    <row r="55" spans="1:7" ht="15">
      <c r="B55" s="270" t="s">
        <v>1562</v>
      </c>
      <c r="C55" s="271"/>
    </row>
    <row r="56" spans="1:7">
      <c r="B56" s="273" t="s">
        <v>802</v>
      </c>
      <c r="C56" s="275">
        <f ca="1">1-C57</f>
        <v>0.83199999999999996</v>
      </c>
    </row>
    <row r="57" spans="1:7">
      <c r="B57" s="273" t="s">
        <v>803</v>
      </c>
      <c r="C57" s="274">
        <f ca="1">ROUND(C51/C52,3)</f>
        <v>0.16800000000000001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5" t="str">
        <f>项目基本情况!B1</f>
        <v>北京市大兴区天水街16号院1号楼负1层地下仓储用房房地产抵押价值预评估</v>
      </c>
      <c r="C37" s="3485"/>
      <c r="D37" s="3485"/>
      <c r="E37" s="3485"/>
      <c r="F37" s="3485"/>
      <c r="G37" s="3485"/>
      <c r="H37" s="3485"/>
      <c r="I37" s="348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F32" sqref="F3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927.52300000000002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5538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1598419.44</v>
      </c>
      <c r="D5" s="211" t="s">
        <v>1469</v>
      </c>
      <c r="E5" s="212" t="s">
        <v>1470</v>
      </c>
      <c r="F5" s="212" t="s">
        <v>1471</v>
      </c>
      <c r="G5" s="213"/>
    </row>
    <row r="6" spans="1:8" s="214" customFormat="1" ht="13.5" customHeight="1">
      <c r="A6" s="778" t="s">
        <v>1472</v>
      </c>
      <c r="B6" s="215" t="s">
        <v>1473</v>
      </c>
      <c r="C6" s="216">
        <f>基准地价修正!C41*基准地价修正!D41</f>
        <v>1226041.44</v>
      </c>
      <c r="D6" s="217"/>
      <c r="E6" s="218"/>
      <c r="F6" s="218"/>
      <c r="G6" s="219"/>
    </row>
    <row r="7" spans="1:8" s="214" customFormat="1" ht="13.5" customHeight="1">
      <c r="A7" s="778" t="s">
        <v>1474</v>
      </c>
      <c r="B7" s="215" t="s">
        <v>1475</v>
      </c>
      <c r="C7" s="220">
        <f>ROUND(C6*F7,0)</f>
        <v>37394</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334984</v>
      </c>
      <c r="D8" s="222"/>
      <c r="E8" s="220"/>
      <c r="F8" s="221"/>
      <c r="G8" s="1856" t="s">
        <v>3450</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334984</v>
      </c>
      <c r="D10" s="845">
        <f ca="1">IF(B1="",'数据-汇总表'!E6,IF(INDIRECT("'数据-取费表'!c"&amp;$G$1)="住宅",INDIRECT("'数据-取费表'!s"&amp;$G$1),INDIRECT("'数据-取费表'!k"&amp;$G$1)+INDIRECT("'数据-取费表'!s"&amp;$G$1)))</f>
        <v>1674.92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1674.92</v>
      </c>
      <c r="E19" s="211">
        <f>'数据-取费表'!B31</f>
        <v>200</v>
      </c>
      <c r="F19" s="231"/>
      <c r="G19" s="1856" t="s">
        <v>3452</v>
      </c>
    </row>
    <row r="20" spans="1:7" s="214" customFormat="1" ht="13.5" customHeight="1">
      <c r="A20" s="255" t="s">
        <v>1574</v>
      </c>
      <c r="B20" s="210" t="s">
        <v>1575</v>
      </c>
      <c r="C20" s="232">
        <f ca="1">ROUND((C5+C19)*F20,0)</f>
        <v>31968</v>
      </c>
      <c r="D20" s="232"/>
      <c r="E20" s="232"/>
      <c r="F20" s="233">
        <f>'数据-取费表'!B37</f>
        <v>0.02</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98303</v>
      </c>
      <c r="D22" s="235">
        <f ca="1">C26</f>
        <v>8.9999999999999998E-4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97344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959</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163039</v>
      </c>
      <c r="D27" s="235">
        <f ca="1">C29</f>
        <v>3.0000000000000001E-3</v>
      </c>
      <c r="E27" s="236" t="s">
        <v>1514</v>
      </c>
      <c r="F27" s="246">
        <f ca="1">IF(B1="",'数据-取费表'!Q16,INDIRECT("'数据-取费表'!q"&amp;$G$1))</f>
        <v>0.1</v>
      </c>
      <c r="G27" s="247" t="s">
        <v>1515</v>
      </c>
    </row>
    <row r="28" spans="1:7" s="214" customFormat="1" ht="13.5" customHeight="1">
      <c r="A28" s="780" t="s">
        <v>346</v>
      </c>
      <c r="B28" s="248" t="s">
        <v>1516</v>
      </c>
      <c r="C28" s="249">
        <f ca="1">ROUND((C5+C19+C20)*F27,0)</f>
        <v>163039</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2070405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5711477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5024760</v>
      </c>
      <c r="D34" s="217"/>
      <c r="E34" s="220"/>
      <c r="F34" s="257"/>
      <c r="G34" s="219"/>
    </row>
    <row r="35" spans="1:7" ht="13.5" customHeight="1">
      <c r="A35" s="780" t="s">
        <v>351</v>
      </c>
      <c r="B35" s="215" t="s">
        <v>1527</v>
      </c>
      <c r="C35" s="220">
        <f ca="1">ROUND(C34*F35,0)</f>
        <v>251238</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334984</v>
      </c>
      <c r="D37" s="217">
        <f ca="1">D19</f>
        <v>1674.92</v>
      </c>
      <c r="E37" s="249">
        <f>'数据-取费表'!B35</f>
        <v>200</v>
      </c>
      <c r="F37" s="259"/>
      <c r="G37" s="261"/>
    </row>
    <row r="38" spans="1:7" ht="13.5" customHeight="1">
      <c r="A38" s="780" t="s">
        <v>354</v>
      </c>
      <c r="B38" s="215" t="s">
        <v>1533</v>
      </c>
      <c r="C38" s="220">
        <f ca="1">ROUND(C34*F38,0)</f>
        <v>100495</v>
      </c>
      <c r="D38" s="220"/>
      <c r="E38" s="220"/>
      <c r="F38" s="259">
        <f>'数据-取费表'!B36</f>
        <v>0.02</v>
      </c>
      <c r="G38" s="219" t="s">
        <v>1528</v>
      </c>
    </row>
    <row r="39" spans="1:7" s="214" customFormat="1" ht="13.5" customHeight="1">
      <c r="A39" s="255" t="s">
        <v>1534</v>
      </c>
      <c r="B39" s="210" t="s">
        <v>1535</v>
      </c>
      <c r="C39" s="232">
        <f ca="1">ROUND(C33*F20,0)</f>
        <v>114230</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174771</v>
      </c>
      <c r="D41" s="235">
        <f ca="1">C44</f>
        <v>8.9999999999999998E-4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171344</v>
      </c>
      <c r="D42" s="238"/>
      <c r="E42" s="238"/>
      <c r="F42" s="239"/>
      <c r="G42" s="3669" t="s">
        <v>1591</v>
      </c>
    </row>
    <row r="43" spans="1:7" ht="13.5" customHeight="1">
      <c r="A43" s="780" t="s">
        <v>347</v>
      </c>
      <c r="B43" s="215" t="s">
        <v>1545</v>
      </c>
      <c r="C43" s="238">
        <f ca="1">ROUND(IF('数据-取费表'!B22&lt;=1,C39*F22*'数据-取费表'!B20/2,C39*(POWER((1+F22),'数据-取费表'!B20/2)-1)),0)</f>
        <v>3427</v>
      </c>
      <c r="D43" s="238"/>
      <c r="E43" s="238"/>
      <c r="F43" s="239"/>
      <c r="G43" s="3670"/>
    </row>
    <row r="44" spans="1:7" ht="13.5" customHeight="1">
      <c r="A44" s="780" t="s">
        <v>348</v>
      </c>
      <c r="B44" s="215" t="s">
        <v>1546</v>
      </c>
      <c r="C44" s="238">
        <f ca="1">ROUND(IF('数据-取费表'!B22&lt;=1,C40*F22*'数据-取费表'!B20/2,C40*(POWER((1+F22),'数据-取费表'!B20/2)-1)),4)</f>
        <v>8.9999999999999998E-4</v>
      </c>
      <c r="D44" s="238"/>
      <c r="E44" s="238"/>
      <c r="F44" s="239"/>
      <c r="G44" s="3671"/>
    </row>
    <row r="45" spans="1:7" s="214" customFormat="1" ht="13.5" customHeight="1">
      <c r="A45" s="255" t="s">
        <v>1547</v>
      </c>
      <c r="B45" s="244" t="s">
        <v>1513</v>
      </c>
      <c r="C45" s="245">
        <f ca="1">C46</f>
        <v>582571</v>
      </c>
      <c r="D45" s="235">
        <f ca="1">C47</f>
        <v>3.0000000000000001E-3</v>
      </c>
      <c r="E45" s="236" t="s">
        <v>1539</v>
      </c>
      <c r="F45" s="246">
        <f ca="1">F27</f>
        <v>0.1</v>
      </c>
      <c r="G45" s="247" t="s">
        <v>1548</v>
      </c>
    </row>
    <row r="46" spans="1:7" s="214" customFormat="1" ht="13.5" customHeight="1">
      <c r="A46" s="780" t="s">
        <v>346</v>
      </c>
      <c r="B46" s="248" t="s">
        <v>1549</v>
      </c>
      <c r="C46" s="249">
        <f ca="1">ROUND((C33+C39)*F27,0)</f>
        <v>582571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7204825</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7204825</v>
      </c>
      <c r="D51" s="232"/>
      <c r="E51" s="232"/>
      <c r="F51" s="264"/>
      <c r="G51" s="234" t="s">
        <v>1560</v>
      </c>
    </row>
    <row r="52" spans="1:7" s="208" customFormat="1" ht="16.5" thickBot="1">
      <c r="A52" s="265" t="s">
        <v>1561</v>
      </c>
      <c r="B52" s="266"/>
      <c r="C52" s="267">
        <f ca="1">C31+C51</f>
        <v>9275230</v>
      </c>
      <c r="D52" s="266"/>
      <c r="E52" s="266"/>
      <c r="F52" s="266"/>
      <c r="G52" s="268"/>
    </row>
    <row r="55" spans="1:7" ht="15">
      <c r="B55" s="270" t="s">
        <v>1562</v>
      </c>
      <c r="C55" s="271"/>
    </row>
    <row r="56" spans="1:7">
      <c r="B56" s="273" t="s">
        <v>802</v>
      </c>
      <c r="C56" s="275">
        <f ca="1">1-C57</f>
        <v>0.22299999999999998</v>
      </c>
    </row>
    <row r="57" spans="1:7">
      <c r="B57" s="273" t="s">
        <v>803</v>
      </c>
      <c r="C57" s="274">
        <f ca="1">ROUND(C51/C52,3)</f>
        <v>0.77700000000000002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7" sqref="E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1674.92</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123</v>
      </c>
      <c r="C2" s="1999" t="s">
        <v>1935</v>
      </c>
      <c r="D2" s="2000" t="s">
        <v>1936</v>
      </c>
      <c r="E2" s="3422" t="s">
        <v>3406</v>
      </c>
      <c r="F2" s="2000" t="s">
        <v>1937</v>
      </c>
      <c r="G2" s="2001" t="str">
        <f>IF(E2="商业",项目基本情况!B37,IF(E2="办公",项目基本情况!C37,IF(E2="住宅",项目基本情况!D37,IF(E2="工业",项目基本情况!E37,项目基本情况!F37))))</f>
        <v>八级</v>
      </c>
      <c r="H2" s="2000" t="s">
        <v>1938</v>
      </c>
      <c r="I2" s="2001" t="str">
        <f>IF(E2="商业",项目基本情况!B38,IF(E2="办公",项目基本情况!C38,IF(E2="住宅",项目基本情况!D38,IF(E2="工业",项目基本情况!E38,项目基本情况!F38))))</f>
        <v>Ⅷ-兴1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5646</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734</v>
      </c>
      <c r="C3" s="1999" t="s">
        <v>1941</v>
      </c>
      <c r="D3" s="2000" t="s">
        <v>1942</v>
      </c>
      <c r="E3" s="3420" t="s">
        <v>2460</v>
      </c>
      <c r="F3" s="2004" t="s">
        <v>3438</v>
      </c>
      <c r="G3" s="752">
        <f>IF(F3="宗地容积率",'数据-汇总表'!I4,IF(F3="估价对象容积率",'数据-汇总表'!I6,'数据-汇总表'!I7))</f>
        <v>1.5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4352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79"/>
      <c r="B4" s="3680"/>
      <c r="C4" s="3680"/>
      <c r="D4" s="3681"/>
      <c r="E4" s="3681"/>
      <c r="F4" s="3681"/>
      <c r="G4" s="3681"/>
      <c r="H4" s="3681"/>
      <c r="I4" s="3681"/>
      <c r="J4" s="368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3550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4590</v>
      </c>
      <c r="D5" s="1339">
        <f>ROUND(C6*C17+C20,0)</f>
        <v>4590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3014</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4590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2746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八级</v>
      </c>
      <c r="Y7" s="1214" t="s">
        <v>1956</v>
      </c>
      <c r="Z7" s="1215">
        <f>G3</f>
        <v>1.5</v>
      </c>
      <c r="AA7" s="1216"/>
      <c r="AB7" s="1216"/>
      <c r="AC7" s="1217"/>
      <c r="AD7" s="1218"/>
      <c r="AE7" s="1218"/>
      <c r="AF7" s="1218"/>
      <c r="AG7" s="1218"/>
      <c r="AH7" s="1218"/>
      <c r="AI7" s="1218"/>
      <c r="AJ7" s="1219"/>
    </row>
    <row r="8" spans="1:36" ht="25.5">
      <c r="A8" s="3299"/>
      <c r="B8" s="170" t="s">
        <v>1957</v>
      </c>
      <c r="C8" s="2026" t="s">
        <v>3439</v>
      </c>
      <c r="D8" s="756" t="s">
        <v>112</v>
      </c>
      <c r="E8" s="757" t="e">
        <f>ROUND(C11/E7,4)</f>
        <v>#DIV/0!</v>
      </c>
      <c r="F8" s="2027" t="s">
        <v>1958</v>
      </c>
      <c r="G8" s="2028"/>
      <c r="H8" s="2028"/>
      <c r="I8" s="2028"/>
      <c r="J8" s="2029"/>
      <c r="K8" s="1119"/>
      <c r="L8" s="2003" t="s">
        <v>1959</v>
      </c>
      <c r="M8" s="864">
        <f>SUMPRODUCT((区片价!B234:B276=I2)*(区片价!C3:G3=E2)*(区片价!C234:G276))</f>
        <v>4590</v>
      </c>
      <c r="N8" s="866">
        <f>SUMPRODUCT((因素修正幅度!B234:B276=I2)*(因素修正幅度!C3:G3=E2)*(因素修正幅度!C234:G276))</f>
        <v>0.15</v>
      </c>
      <c r="O8" s="1119"/>
      <c r="P8" s="1119"/>
      <c r="Q8" s="1119"/>
      <c r="R8" s="1212">
        <v>7</v>
      </c>
      <c r="S8" s="1213"/>
      <c r="T8" s="3361">
        <f t="shared" si="0"/>
        <v>0</v>
      </c>
      <c r="U8" s="1213"/>
      <c r="V8" s="3361">
        <f t="shared" si="1"/>
        <v>0</v>
      </c>
      <c r="W8" s="3676" t="s">
        <v>1960</v>
      </c>
      <c r="X8" s="367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78"/>
      <c r="X9" s="3362" t="s">
        <v>3267</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7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v>1</v>
      </c>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83" t="s">
        <v>3254</v>
      </c>
      <c r="B20" s="167" t="s">
        <v>1994</v>
      </c>
      <c r="C20" s="3325">
        <f>ROUND(IF(F21="与级别开发程度一致",0,(G21-E21)/C21),0)</f>
        <v>0</v>
      </c>
      <c r="D20" s="3341" t="s">
        <v>1998</v>
      </c>
      <c r="E20" s="3342"/>
      <c r="F20" s="3689" t="s">
        <v>1995</v>
      </c>
      <c r="G20" s="3690"/>
      <c r="H20" s="3326" t="s">
        <v>3440</v>
      </c>
      <c r="I20" s="3326" t="s">
        <v>3441</v>
      </c>
      <c r="J20" s="3327" t="s">
        <v>3442</v>
      </c>
      <c r="K20" s="2047" t="s">
        <v>3443</v>
      </c>
      <c r="L20" s="2047" t="s">
        <v>3444</v>
      </c>
      <c r="M20" s="2047" t="s">
        <v>3445</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84"/>
      <c r="B21" s="2164" t="s">
        <v>1997</v>
      </c>
      <c r="C21" s="2165">
        <f>IF(E3="M4科研用地",SUMPRODUCT((修正!A2:A7=E3)*(修正!B1:M1=G2)*(修正!B2:M7)),SUMPRODUCT((修正!A2:A7=E2)*(修正!B1:M1=G2)*(修正!B2:M7)))</f>
        <v>1.5</v>
      </c>
      <c r="D21" s="187" t="str">
        <f>IF(OR(G2="八级",G2="九级",G2="十级",G2="十一级",G2="十二级"),"五通一平","七通一平")</f>
        <v>五通一平</v>
      </c>
      <c r="E21" s="2155">
        <f>SUMPRODUCT((修正!B1:M1=G2)*(修正!B17:M17))</f>
        <v>185</v>
      </c>
      <c r="F21" s="2156" t="s">
        <v>3446</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2054" t="s">
        <v>2002</v>
      </c>
      <c r="E23" s="761">
        <v>44197</v>
      </c>
      <c r="F23" s="2054" t="s">
        <v>2003</v>
      </c>
      <c r="G23" s="762">
        <f>'数据-取费表'!B2</f>
        <v>45891</v>
      </c>
      <c r="H23" s="3343" t="s">
        <v>3255</v>
      </c>
      <c r="I23" s="3344" t="str">
        <f>IF(H23="季度增幅（自定义）",SUMIF(N25:N28,E2,O25:O28),"")</f>
        <v/>
      </c>
      <c r="J23" s="3446" t="s">
        <v>3447</v>
      </c>
      <c r="K23" s="1125"/>
      <c r="L23" s="2055" t="s">
        <v>2004</v>
      </c>
      <c r="M23" s="1328">
        <f>ROUND(SUMIF(地价!B2:G2,E2,地价!B16:G16),0)</f>
        <v>0</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0.94469999999999998</v>
      </c>
      <c r="D24" s="2060" t="s">
        <v>2007</v>
      </c>
      <c r="E24" s="1335">
        <f>存贷款利率!E28/100</f>
        <v>4.3499999999999997E-2</v>
      </c>
      <c r="F24" s="2060" t="s">
        <v>1999</v>
      </c>
      <c r="G24" s="768">
        <f>SUMIF(M30:Q30,E2,M33:Q33)</f>
        <v>0.05</v>
      </c>
      <c r="H24" s="2060" t="s">
        <v>2008</v>
      </c>
      <c r="I24" s="769">
        <f>SUMIF('数据-取费表'!C6:C15,E2,'数据-取费表'!F6:F15)/COUNTIF('数据-取费表'!C6:C15,E2)</f>
        <v>40.64</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3334</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3256</v>
      </c>
      <c r="D26" s="1352">
        <f>IF(E26=G26,F26,IF(G3&lt;10,ROUND(F26+(H26-F26)*(G3-E26)/(G26-E26),4),"——"))</f>
        <v>1</v>
      </c>
      <c r="E26" s="752">
        <f>ROUNDDOWN(G3,1)</f>
        <v>1.5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1.0590999999999999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123</v>
      </c>
      <c r="D30" s="2083"/>
      <c r="E30" s="2046"/>
      <c r="F30" s="2084"/>
      <c r="G30" s="2046"/>
      <c r="H30" s="2046"/>
      <c r="I30" s="2046"/>
      <c r="J30" s="2085"/>
      <c r="K30" s="1119"/>
      <c r="L30" s="3351" t="s">
        <v>1936</v>
      </c>
      <c r="M30" s="3352" t="s">
        <v>1990</v>
      </c>
      <c r="N30" s="3352" t="s">
        <v>1991</v>
      </c>
      <c r="O30" s="3352" t="s">
        <v>1992</v>
      </c>
      <c r="P30" s="3352" t="s">
        <v>1993</v>
      </c>
      <c r="Q30" s="3355" t="s">
        <v>3261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31</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3662</v>
      </c>
      <c r="D33" s="2098"/>
      <c r="E33" s="773">
        <f>ROUND(C33*D33/10000,0)</f>
        <v>0</v>
      </c>
      <c r="F33" s="3346" t="s">
        <v>3259</v>
      </c>
      <c r="G33" s="2099"/>
      <c r="H33" s="2099"/>
      <c r="I33" s="2099"/>
      <c r="J33" s="2100"/>
      <c r="K33" s="1119"/>
      <c r="L33" s="3349" t="s">
        <v>3262</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916</v>
      </c>
      <c r="D34" s="2103"/>
      <c r="E34" s="773">
        <f>ROUND(IF(B25="楼层修正",SUM(V2:V16)*M40,C34*D34/10000),0)</f>
        <v>0</v>
      </c>
      <c r="F34" s="2104" t="s">
        <v>2032</v>
      </c>
      <c r="G34" s="2105"/>
      <c r="H34" s="2105"/>
      <c r="I34" s="2105"/>
      <c r="J34" s="2106"/>
      <c r="K34" s="1119"/>
      <c r="L34" s="3349" t="s">
        <v>3263</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3264</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87"/>
      <c r="B37" s="2113" t="s">
        <v>2036</v>
      </c>
      <c r="C37" s="175">
        <f>ROUND(D5*C22*C23*C24*C28*F37,0)</f>
        <v>1831</v>
      </c>
      <c r="D37" s="2098"/>
      <c r="E37" s="171">
        <f>ROUND(C37*D37/10000,0)</f>
        <v>0</v>
      </c>
      <c r="F37" s="171">
        <f>SUMIF(修正!A59:A70,G2,修正!B59:B70)</f>
        <v>0.5</v>
      </c>
      <c r="G37" s="171">
        <f>ROUND(IF(E2="工业",C37*$M$42,C37*$M$41),0)</f>
        <v>458</v>
      </c>
      <c r="H37" s="171">
        <f>D37</f>
        <v>0</v>
      </c>
      <c r="I37" s="171">
        <f>ROUND(G37*H37/10000,0)</f>
        <v>0</v>
      </c>
      <c r="J37" s="3012"/>
      <c r="K37" s="3359" t="s">
        <v>3265</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8"/>
      <c r="B38" s="2041" t="s">
        <v>2037</v>
      </c>
      <c r="C38" s="175">
        <f>ROUND(D5*C22*C23*C24*C28*F38,0)</f>
        <v>732</v>
      </c>
      <c r="D38" s="2098"/>
      <c r="E38" s="171">
        <f t="shared" ref="E38:E42" si="4">ROUND(C38*D38/10000,0)</f>
        <v>0</v>
      </c>
      <c r="F38" s="171">
        <f>SUMIF(修正!A59:A70,G2,修正!C59:C70)</f>
        <v>0.2</v>
      </c>
      <c r="G38" s="171">
        <f>ROUND(IF(E2="工业",C38*$M$42,C38*$M$41),0)</f>
        <v>183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88"/>
      <c r="B39" s="2041" t="s">
        <v>3258</v>
      </c>
      <c r="C39" s="175">
        <f>ROUND(D5*C22*C23*C24*C28*F39,0)</f>
        <v>732</v>
      </c>
      <c r="D39" s="2098"/>
      <c r="E39" s="171">
        <f t="shared" si="4"/>
        <v>0</v>
      </c>
      <c r="F39" s="171">
        <f>SUMIF(修正!A59:A70,G2,修正!D59:D70)</f>
        <v>0.2</v>
      </c>
      <c r="G39" s="171">
        <f>ROUND(IF(E2="工业",C39*$M$42,C39*$M$41),0)</f>
        <v>183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732</v>
      </c>
      <c r="D40" s="2098"/>
      <c r="E40" s="171">
        <f t="shared" si="4"/>
        <v>0</v>
      </c>
      <c r="F40" s="175">
        <f>SUMIF(修正!A59:A70,G2,修正!E59:E70)</f>
        <v>0.2</v>
      </c>
      <c r="G40" s="171">
        <f>ROUND(IF(E2="工业",C40*$M$42,C40*$M$41),0)</f>
        <v>183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732</v>
      </c>
      <c r="D41" s="2098">
        <f>'数据-汇总表'!G19</f>
        <v>1674.92</v>
      </c>
      <c r="E41" s="171">
        <f t="shared" si="4"/>
        <v>123</v>
      </c>
      <c r="F41" s="175">
        <f>SUMIF(修正!A59:A70,G2,修正!F59:F70)</f>
        <v>0.2</v>
      </c>
      <c r="G41" s="171">
        <f>ROUND(IF(E2="工业",C41*$M$42,C41*$M$41),0)</f>
        <v>183</v>
      </c>
      <c r="H41" s="171">
        <f t="shared" si="5"/>
        <v>1674.92</v>
      </c>
      <c r="I41" s="171">
        <f t="shared" si="6"/>
        <v>31</v>
      </c>
      <c r="J41" s="2114"/>
      <c r="L41" s="3360" t="s">
        <v>3266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366</v>
      </c>
      <c r="D42" s="2103"/>
      <c r="E42" s="187">
        <f t="shared" si="4"/>
        <v>0</v>
      </c>
      <c r="F42" s="767">
        <f>SUMIF(修正!A59:A70,G2,修正!G59:G70)</f>
        <v>0.1</v>
      </c>
      <c r="G42" s="187">
        <f>ROUND(IF(E2="工业",C42*$M$42,C42*$M$41),0)</f>
        <v>92</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0.94469999999999998</v>
      </c>
      <c r="D44" s="171" t="s">
        <v>1999</v>
      </c>
      <c r="E44" s="2153">
        <f>G24</f>
        <v>0.05</v>
      </c>
      <c r="F44" s="171" t="s">
        <v>2008</v>
      </c>
      <c r="G44" s="183">
        <f>项目基本情况!I15</f>
        <v>40.64</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3268</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3268</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t="e">
        <f>1+E72</f>
        <v>#VALUE!</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t="s">
        <v>3448</v>
      </c>
      <c r="D72" s="1065" t="e">
        <f t="shared" ref="D72:D80" si="17">SUMIF($J$71:$N$71,C72,J72:N72)</f>
        <v>#VALUE!</v>
      </c>
      <c r="E72" s="744" t="e">
        <f>ROUND(SUM(D72:D80),4)</f>
        <v>#VALUE!</v>
      </c>
      <c r="F72" s="1814" t="str">
        <f>IF(E2="住宅",SUMIF(L1:L12,G2,N1:N12),"——")</f>
        <v>——</v>
      </c>
      <c r="G72" s="1063" t="str">
        <f>H72</f>
        <v>——</v>
      </c>
      <c r="H72" s="1066" t="str">
        <f t="shared" ref="H72:H80" si="18">IFERROR(ROUNDDOWN($F$72*I72/2,4),"——")</f>
        <v>——</v>
      </c>
      <c r="I72" s="3367">
        <v>0.2</v>
      </c>
      <c r="J72" s="1064" t="e">
        <f t="shared" ref="J72:J80" si="19">K72+$G72</f>
        <v>#VALUE!</v>
      </c>
      <c r="K72" s="1064" t="e">
        <f t="shared" ref="K72:K80" si="20">$L72+$G72</f>
        <v>#VALUE!</v>
      </c>
      <c r="L72" s="1064">
        <v>0</v>
      </c>
      <c r="M72" s="1064" t="e">
        <f t="shared" ref="M72:N80" si="21">L72-$G72</f>
        <v>#VALUE!</v>
      </c>
      <c r="N72" s="1064" t="e">
        <f t="shared" si="21"/>
        <v>#VALUE!</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t="s">
        <v>3448</v>
      </c>
      <c r="D73" s="1065" t="e">
        <f t="shared" si="17"/>
        <v>#VALUE!</v>
      </c>
      <c r="E73" s="747"/>
      <c r="F73" s="1814"/>
      <c r="G73" s="1063" t="str">
        <f t="shared" ref="G73:G80" si="22">H73</f>
        <v>——</v>
      </c>
      <c r="H73" s="1066" t="str">
        <f t="shared" si="18"/>
        <v>——</v>
      </c>
      <c r="I73" s="3367">
        <v>0.26</v>
      </c>
      <c r="J73" s="1064" t="e">
        <f t="shared" si="19"/>
        <v>#VALUE!</v>
      </c>
      <c r="K73" s="1064" t="e">
        <f t="shared" si="20"/>
        <v>#VALUE!</v>
      </c>
      <c r="L73" s="1064">
        <v>0</v>
      </c>
      <c r="M73" s="1064" t="e">
        <f t="shared" si="21"/>
        <v>#VALUE!</v>
      </c>
      <c r="N73" s="1064" t="e">
        <f t="shared" si="21"/>
        <v>#VALUE!</v>
      </c>
      <c r="AA73" s="1120"/>
      <c r="AB73" s="1120"/>
      <c r="AC73" s="1120"/>
      <c r="AD73" s="1120"/>
      <c r="AE73" s="1120"/>
      <c r="AF73" s="1120"/>
      <c r="AG73" s="1120"/>
      <c r="AH73" s="1120"/>
      <c r="AI73" s="1120"/>
      <c r="AJ73" s="1120"/>
      <c r="AK73" s="1120"/>
    </row>
    <row r="74" spans="1:37" s="1997" customFormat="1" ht="36">
      <c r="A74" s="3369" t="s">
        <v>3268</v>
      </c>
      <c r="B74" s="2134">
        <f>估价对象房地状况!C19</f>
        <v>0</v>
      </c>
      <c r="C74" s="2044" t="s">
        <v>3448</v>
      </c>
      <c r="D74" s="1065" t="e">
        <f t="shared" si="17"/>
        <v>#VALUE!</v>
      </c>
      <c r="E74" s="747"/>
      <c r="F74" s="1814"/>
      <c r="G74" s="1063" t="str">
        <f t="shared" si="22"/>
        <v>——</v>
      </c>
      <c r="H74" s="1066" t="str">
        <f t="shared" si="18"/>
        <v>——</v>
      </c>
      <c r="I74" s="3367">
        <v>0.1</v>
      </c>
      <c r="J74" s="1064" t="e">
        <f t="shared" si="19"/>
        <v>#VALUE!</v>
      </c>
      <c r="K74" s="1064" t="e">
        <f t="shared" si="20"/>
        <v>#VALUE!</v>
      </c>
      <c r="L74" s="1064">
        <v>0</v>
      </c>
      <c r="M74" s="1064" t="e">
        <f t="shared" si="21"/>
        <v>#VALUE!</v>
      </c>
      <c r="N74" s="1064" t="e">
        <f t="shared" si="21"/>
        <v>#VALUE!</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t="s">
        <v>3449</v>
      </c>
      <c r="D75" s="1065">
        <f t="shared" si="17"/>
        <v>0</v>
      </c>
      <c r="E75" s="747"/>
      <c r="F75" s="1814"/>
      <c r="G75" s="1063" t="str">
        <f t="shared" si="22"/>
        <v>——</v>
      </c>
      <c r="H75" s="1066" t="str">
        <f t="shared" si="18"/>
        <v>——</v>
      </c>
      <c r="I75" s="3367">
        <v>0.05</v>
      </c>
      <c r="J75" s="1064" t="e">
        <f t="shared" si="19"/>
        <v>#VALUE!</v>
      </c>
      <c r="K75" s="1064" t="e">
        <f t="shared" si="20"/>
        <v>#VALUE!</v>
      </c>
      <c r="L75" s="1064">
        <v>0</v>
      </c>
      <c r="M75" s="1064" t="e">
        <f t="shared" si="21"/>
        <v>#VALUE!</v>
      </c>
      <c r="N75" s="1064" t="e">
        <f t="shared" si="21"/>
        <v>#VALUE!</v>
      </c>
      <c r="O75" s="1119"/>
      <c r="P75" s="1119"/>
      <c r="Q75" s="1997"/>
      <c r="Z75" s="1998"/>
      <c r="AA75" s="2053"/>
      <c r="AG75" s="1121"/>
      <c r="AK75" s="2053"/>
    </row>
    <row r="76" spans="1:37" ht="25.5">
      <c r="A76" s="2130" t="s">
        <v>2059</v>
      </c>
      <c r="B76" s="1326" t="str">
        <f>估价对象房地状况!C21</f>
        <v>估价对象所在区域公共配套设施齐备情况</v>
      </c>
      <c r="C76" s="2044" t="s">
        <v>3448</v>
      </c>
      <c r="D76" s="1065" t="e">
        <f t="shared" si="17"/>
        <v>#VALUE!</v>
      </c>
      <c r="E76" s="747"/>
      <c r="F76" s="1814"/>
      <c r="G76" s="1063" t="str">
        <f t="shared" si="22"/>
        <v>——</v>
      </c>
      <c r="H76" s="1066" t="str">
        <f t="shared" si="18"/>
        <v>——</v>
      </c>
      <c r="I76" s="3367">
        <v>0.08</v>
      </c>
      <c r="J76" s="1064" t="e">
        <f t="shared" si="19"/>
        <v>#VALUE!</v>
      </c>
      <c r="K76" s="1064" t="e">
        <f t="shared" si="20"/>
        <v>#VALUE!</v>
      </c>
      <c r="L76" s="1064">
        <v>0</v>
      </c>
      <c r="M76" s="1064" t="e">
        <f t="shared" si="21"/>
        <v>#VALUE!</v>
      </c>
      <c r="N76" s="1064" t="e">
        <f t="shared" si="21"/>
        <v>#VALUE!</v>
      </c>
      <c r="O76" s="1119"/>
      <c r="P76" s="1119"/>
      <c r="Z76" s="1998"/>
      <c r="AA76" s="2053"/>
      <c r="AG76" s="1121"/>
      <c r="AK76" s="2053"/>
    </row>
    <row r="77" spans="1:37" ht="25.5">
      <c r="A77" s="2130" t="s">
        <v>2060</v>
      </c>
      <c r="B77" s="1326" t="str">
        <f>估价对象房地状况!C22</f>
        <v>估价对象所在区域基础设施水平</v>
      </c>
      <c r="C77" s="2044" t="s">
        <v>3449</v>
      </c>
      <c r="D77" s="1065">
        <f t="shared" si="17"/>
        <v>0</v>
      </c>
      <c r="E77" s="747"/>
      <c r="F77" s="1814"/>
      <c r="G77" s="1063" t="str">
        <f t="shared" si="22"/>
        <v>——</v>
      </c>
      <c r="H77" s="1066" t="str">
        <f t="shared" si="18"/>
        <v>——</v>
      </c>
      <c r="I77" s="3367">
        <v>0.09</v>
      </c>
      <c r="J77" s="1064" t="e">
        <f t="shared" si="19"/>
        <v>#VALUE!</v>
      </c>
      <c r="K77" s="1064" t="e">
        <f t="shared" si="20"/>
        <v>#VALUE!</v>
      </c>
      <c r="L77" s="1064">
        <v>0</v>
      </c>
      <c r="M77" s="1064" t="e">
        <f t="shared" si="21"/>
        <v>#VALUE!</v>
      </c>
      <c r="N77" s="1064" t="e">
        <f t="shared" si="21"/>
        <v>#VALUE!</v>
      </c>
      <c r="O77" s="1119"/>
      <c r="P77" s="1119"/>
      <c r="Z77" s="1998"/>
      <c r="AA77" s="2053"/>
      <c r="AG77" s="1121"/>
      <c r="AK77" s="2053"/>
    </row>
    <row r="78" spans="1:37" ht="24">
      <c r="A78" s="2130" t="s">
        <v>2057</v>
      </c>
      <c r="B78" s="2136" t="s">
        <v>2058</v>
      </c>
      <c r="C78" s="2044" t="s">
        <v>3448</v>
      </c>
      <c r="D78" s="1065" t="e">
        <f t="shared" si="17"/>
        <v>#VALUE!</v>
      </c>
      <c r="E78" s="747"/>
      <c r="F78" s="1814"/>
      <c r="G78" s="1063" t="str">
        <f t="shared" si="22"/>
        <v>——</v>
      </c>
      <c r="H78" s="1066" t="str">
        <f t="shared" si="18"/>
        <v>——</v>
      </c>
      <c r="I78" s="3367">
        <v>0.05</v>
      </c>
      <c r="J78" s="1064" t="e">
        <f t="shared" si="19"/>
        <v>#VALUE!</v>
      </c>
      <c r="K78" s="1064" t="e">
        <f t="shared" si="20"/>
        <v>#VALUE!</v>
      </c>
      <c r="L78" s="1064">
        <v>0</v>
      </c>
      <c r="M78" s="1064" t="e">
        <f t="shared" si="21"/>
        <v>#VALUE!</v>
      </c>
      <c r="N78" s="1064" t="e">
        <f t="shared" si="21"/>
        <v>#VALUE!</v>
      </c>
      <c r="O78" s="1997"/>
      <c r="P78" s="1997"/>
      <c r="Z78" s="1998"/>
      <c r="AA78" s="2053"/>
      <c r="AG78" s="1121"/>
      <c r="AK78" s="2053"/>
    </row>
    <row r="79" spans="1:37" ht="25.5">
      <c r="A79" s="2130" t="s">
        <v>2061</v>
      </c>
      <c r="B79" s="2133" t="str">
        <f>估价对象房地状况!C20</f>
        <v>区域自然环境：；人文环境；综合评价环境状况一般</v>
      </c>
      <c r="C79" s="2044" t="s">
        <v>3449</v>
      </c>
      <c r="D79" s="1065">
        <f t="shared" si="17"/>
        <v>0</v>
      </c>
      <c r="E79" s="747"/>
      <c r="F79" s="1814"/>
      <c r="G79" s="1063" t="str">
        <f t="shared" si="22"/>
        <v>——</v>
      </c>
      <c r="H79" s="1066" t="str">
        <f t="shared" si="18"/>
        <v>——</v>
      </c>
      <c r="I79" s="3367">
        <v>0.12</v>
      </c>
      <c r="J79" s="1064" t="e">
        <f t="shared" si="19"/>
        <v>#VALUE!</v>
      </c>
      <c r="K79" s="1064" t="e">
        <f t="shared" si="20"/>
        <v>#VALUE!</v>
      </c>
      <c r="L79" s="1064">
        <v>0</v>
      </c>
      <c r="M79" s="1064" t="e">
        <f t="shared" si="21"/>
        <v>#VALUE!</v>
      </c>
      <c r="N79" s="1064" t="e">
        <f t="shared" si="21"/>
        <v>#VALUE!</v>
      </c>
      <c r="Z79" s="1998"/>
      <c r="AA79" s="2053"/>
      <c r="AG79" s="1121"/>
      <c r="AK79" s="2053"/>
    </row>
    <row r="80" spans="1:37" ht="24.75" thickBot="1">
      <c r="A80" s="2138" t="s">
        <v>2068</v>
      </c>
      <c r="B80" s="2142"/>
      <c r="C80" s="2044" t="s">
        <v>3449</v>
      </c>
      <c r="D80" s="1065">
        <f t="shared" si="17"/>
        <v>0</v>
      </c>
      <c r="E80" s="748"/>
      <c r="F80" s="1814"/>
      <c r="G80" s="1063" t="str">
        <f t="shared" si="22"/>
        <v>——</v>
      </c>
      <c r="H80" s="1066" t="str">
        <f t="shared" si="18"/>
        <v>——</v>
      </c>
      <c r="I80" s="3368">
        <v>0.05</v>
      </c>
      <c r="J80" s="1064" t="e">
        <f t="shared" si="19"/>
        <v>#VALUE!</v>
      </c>
      <c r="K80" s="1064" t="e">
        <f t="shared" si="20"/>
        <v>#VALUE!</v>
      </c>
      <c r="L80" s="1064">
        <v>0</v>
      </c>
      <c r="M80" s="1064" t="e">
        <f t="shared" si="21"/>
        <v>#VALUE!</v>
      </c>
      <c r="N80" s="1064" t="e">
        <f t="shared" si="21"/>
        <v>#VALUE!</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3269</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2612</v>
      </c>
      <c r="B91" s="3378">
        <f>1+E93</f>
        <v>1.0590999999999999</v>
      </c>
      <c r="C91" s="3371"/>
      <c r="D91" s="3372"/>
      <c r="E91" s="1814"/>
      <c r="F91" s="1814"/>
      <c r="G91" s="3373"/>
      <c r="H91" s="3374"/>
      <c r="I91" s="3375"/>
      <c r="J91" s="3376"/>
      <c r="K91" s="3376"/>
      <c r="L91" s="3376"/>
      <c r="M91" s="3376"/>
      <c r="N91" s="3376"/>
    </row>
    <row r="92" spans="1:37" ht="24.75">
      <c r="A92" s="3379" t="s">
        <v>3270</v>
      </c>
      <c r="B92" s="3366"/>
      <c r="C92" s="3366" t="s">
        <v>3279</v>
      </c>
      <c r="D92" s="3366" t="s">
        <v>3280</v>
      </c>
      <c r="E92" s="3348" t="s">
        <v>3281</v>
      </c>
      <c r="F92" s="3381" t="s">
        <v>3282</v>
      </c>
      <c r="G92" s="3366" t="s">
        <v>3283</v>
      </c>
      <c r="H92" s="3388" t="s">
        <v>3286</v>
      </c>
      <c r="I92" s="3366" t="s">
        <v>3287</v>
      </c>
      <c r="J92" s="3389" t="s">
        <v>3288</v>
      </c>
      <c r="K92" s="3389" t="s">
        <v>3289</v>
      </c>
      <c r="L92" s="3389" t="s">
        <v>3290</v>
      </c>
      <c r="M92" s="3389" t="s">
        <v>3291</v>
      </c>
      <c r="N92" s="3389" t="s">
        <v>3292</v>
      </c>
    </row>
    <row r="93" spans="1:37" ht="24">
      <c r="A93" s="3369" t="s">
        <v>3271</v>
      </c>
      <c r="B93" s="1306"/>
      <c r="C93" s="2044" t="s">
        <v>3448</v>
      </c>
      <c r="D93" s="3366">
        <f>SUMIF($J$92:$N$92,C93,J93:N93)</f>
        <v>1.8700000000000001E-2</v>
      </c>
      <c r="E93" s="3382">
        <f>ROUND(SUM(D93:D101),4)</f>
        <v>5.91E-2</v>
      </c>
      <c r="F93" s="1814">
        <f>IF(E2="公共服务",SUMIF(L1:L12,G2,N1:N12),"——")</f>
        <v>0.15</v>
      </c>
      <c r="G93" s="3373">
        <f>H93</f>
        <v>1.8700000000000001E-2</v>
      </c>
      <c r="H93" s="3421">
        <f>IFERROR(ROUNDDOWN($F$93*I93/2,4),"——")</f>
        <v>1.8700000000000001E-2</v>
      </c>
      <c r="I93" s="3367">
        <v>0.25</v>
      </c>
      <c r="J93" s="3345">
        <f t="shared" ref="J93:J101" si="28">K93+$G93</f>
        <v>3.7400000000000003E-2</v>
      </c>
      <c r="K93" s="3345">
        <f t="shared" ref="K93:K101" si="29">$L93+$G93</f>
        <v>1.8700000000000001E-2</v>
      </c>
      <c r="L93" s="3345">
        <v>0</v>
      </c>
      <c r="M93" s="3345">
        <f t="shared" ref="M93:N101" si="30">L93-$G93</f>
        <v>-1.8700000000000001E-2</v>
      </c>
      <c r="N93" s="3345">
        <f t="shared" si="30"/>
        <v>-3.7400000000000003E-2</v>
      </c>
    </row>
    <row r="94" spans="1:37" ht="38.25">
      <c r="A94" s="3379" t="s">
        <v>3272</v>
      </c>
      <c r="B94" s="3370" t="str">
        <f>估价对象房地状况!C18</f>
        <v>估价对象周边道路状况、公共交通通达情况、停车便捷程度，综合评价交通便捷度较好</v>
      </c>
      <c r="C94" s="2044" t="s">
        <v>3448</v>
      </c>
      <c r="D94" s="3366">
        <f t="shared" ref="D94:D101" si="31">SUMIF($J$60:$N$60,C94,J94:N94)</f>
        <v>1.95E-2</v>
      </c>
      <c r="E94" s="3383"/>
      <c r="F94" s="1814"/>
      <c r="G94" s="3373">
        <f t="shared" ref="G94:G101" si="32">H94</f>
        <v>1.95E-2</v>
      </c>
      <c r="H94" s="3421">
        <f>IFERROR(ROUNDDOWN($F$93*I94/2,4),"——")</f>
        <v>1.95E-2</v>
      </c>
      <c r="I94" s="3367">
        <v>0.26</v>
      </c>
      <c r="J94" s="3345">
        <f t="shared" si="28"/>
        <v>3.9E-2</v>
      </c>
      <c r="K94" s="3345">
        <f t="shared" si="29"/>
        <v>1.95E-2</v>
      </c>
      <c r="L94" s="3345">
        <v>0</v>
      </c>
      <c r="M94" s="3345">
        <f t="shared" si="30"/>
        <v>-1.95E-2</v>
      </c>
      <c r="N94" s="3345">
        <f t="shared" si="30"/>
        <v>-3.9E-2</v>
      </c>
    </row>
    <row r="95" spans="1:37" ht="36">
      <c r="A95" s="3369" t="s">
        <v>3268</v>
      </c>
      <c r="B95" s="3370">
        <f>估价对象房地状况!C19</f>
        <v>0</v>
      </c>
      <c r="C95" s="2044" t="s">
        <v>3448</v>
      </c>
      <c r="D95" s="3366">
        <f t="shared" si="31"/>
        <v>8.2000000000000007E-3</v>
      </c>
      <c r="E95" s="3383"/>
      <c r="F95" s="1814"/>
      <c r="G95" s="3373">
        <f t="shared" si="32"/>
        <v>8.2000000000000007E-3</v>
      </c>
      <c r="H95" s="3421">
        <f t="shared" ref="H95:H101" si="33">IFERROR(ROUNDDOWN($F$93*I95/2,4),"——")</f>
        <v>8.2000000000000007E-3</v>
      </c>
      <c r="I95" s="3367">
        <v>0.11</v>
      </c>
      <c r="J95" s="3345">
        <f t="shared" si="28"/>
        <v>1.6400000000000001E-2</v>
      </c>
      <c r="K95" s="3345">
        <f t="shared" si="29"/>
        <v>8.2000000000000007E-3</v>
      </c>
      <c r="L95" s="3345">
        <v>0</v>
      </c>
      <c r="M95" s="3345">
        <f t="shared" si="30"/>
        <v>-8.2000000000000007E-3</v>
      </c>
      <c r="N95" s="3345">
        <f t="shared" si="30"/>
        <v>-1.6400000000000001E-2</v>
      </c>
    </row>
    <row r="96" spans="1:37" ht="36.75">
      <c r="A96" s="3379" t="s">
        <v>3273</v>
      </c>
      <c r="B96" s="3385" t="s">
        <v>3284</v>
      </c>
      <c r="C96" s="2044" t="s">
        <v>3448</v>
      </c>
      <c r="D96" s="3366">
        <f t="shared" si="31"/>
        <v>3.7000000000000002E-3</v>
      </c>
      <c r="E96" s="3383"/>
      <c r="F96" s="1814"/>
      <c r="G96" s="3373">
        <f t="shared" si="32"/>
        <v>3.7000000000000002E-3</v>
      </c>
      <c r="H96" s="3421">
        <f t="shared" si="33"/>
        <v>3.7000000000000002E-3</v>
      </c>
      <c r="I96" s="3367">
        <v>0.05</v>
      </c>
      <c r="J96" s="3345">
        <f t="shared" si="28"/>
        <v>7.4000000000000003E-3</v>
      </c>
      <c r="K96" s="3345">
        <f t="shared" si="29"/>
        <v>3.7000000000000002E-3</v>
      </c>
      <c r="L96" s="3345">
        <v>0</v>
      </c>
      <c r="M96" s="3345">
        <f t="shared" si="30"/>
        <v>-3.7000000000000002E-3</v>
      </c>
      <c r="N96" s="3345">
        <f t="shared" si="30"/>
        <v>-7.4000000000000003E-3</v>
      </c>
    </row>
    <row r="97" spans="1:14" ht="24">
      <c r="A97" s="3379" t="s">
        <v>3274</v>
      </c>
      <c r="B97" s="3370">
        <f>估价对象房地状况!C24</f>
        <v>0</v>
      </c>
      <c r="C97" s="2044" t="s">
        <v>3449</v>
      </c>
      <c r="D97" s="3366">
        <f t="shared" si="31"/>
        <v>0</v>
      </c>
      <c r="E97" s="3383"/>
      <c r="F97" s="1814"/>
      <c r="G97" s="3373">
        <f t="shared" si="32"/>
        <v>3.7000000000000002E-3</v>
      </c>
      <c r="H97" s="3421">
        <f t="shared" si="33"/>
        <v>3.7000000000000002E-3</v>
      </c>
      <c r="I97" s="3367">
        <v>0.05</v>
      </c>
      <c r="J97" s="3345">
        <f t="shared" si="28"/>
        <v>7.4000000000000003E-3</v>
      </c>
      <c r="K97" s="3345">
        <f t="shared" si="29"/>
        <v>3.7000000000000002E-3</v>
      </c>
      <c r="L97" s="3345">
        <v>0</v>
      </c>
      <c r="M97" s="3345">
        <f t="shared" si="30"/>
        <v>-3.7000000000000002E-3</v>
      </c>
      <c r="N97" s="3345">
        <f t="shared" si="30"/>
        <v>-7.4000000000000003E-3</v>
      </c>
    </row>
    <row r="98" spans="1:14" ht="24">
      <c r="A98" s="3379" t="s">
        <v>3275</v>
      </c>
      <c r="B98" s="3386" t="s">
        <v>3285</v>
      </c>
      <c r="C98" s="2044" t="s">
        <v>3448</v>
      </c>
      <c r="D98" s="3366">
        <f t="shared" si="31"/>
        <v>4.4999999999999997E-3</v>
      </c>
      <c r="E98" s="3383"/>
      <c r="F98" s="1814"/>
      <c r="G98" s="3373">
        <f t="shared" si="32"/>
        <v>4.4999999999999997E-3</v>
      </c>
      <c r="H98" s="3421">
        <f t="shared" si="33"/>
        <v>4.4999999999999997E-3</v>
      </c>
      <c r="I98" s="3367">
        <v>0.06</v>
      </c>
      <c r="J98" s="3345">
        <f t="shared" si="28"/>
        <v>8.9999999999999993E-3</v>
      </c>
      <c r="K98" s="3345">
        <f t="shared" si="29"/>
        <v>4.4999999999999997E-3</v>
      </c>
      <c r="L98" s="3345">
        <v>0</v>
      </c>
      <c r="M98" s="3345">
        <f t="shared" si="30"/>
        <v>-4.4999999999999997E-3</v>
      </c>
      <c r="N98" s="3345">
        <f t="shared" si="30"/>
        <v>-8.9999999999999993E-3</v>
      </c>
    </row>
    <row r="99" spans="1:14" ht="25.5">
      <c r="A99" s="3379" t="s">
        <v>3276</v>
      </c>
      <c r="B99" s="3370" t="str">
        <f>估价对象房地状况!C21</f>
        <v>估价对象所在区域公共配套设施齐备情况</v>
      </c>
      <c r="C99" s="2044" t="s">
        <v>3448</v>
      </c>
      <c r="D99" s="3366">
        <f t="shared" si="31"/>
        <v>4.4999999999999997E-3</v>
      </c>
      <c r="E99" s="3383"/>
      <c r="F99" s="1814"/>
      <c r="G99" s="3373">
        <f t="shared" si="32"/>
        <v>4.4999999999999997E-3</v>
      </c>
      <c r="H99" s="3421">
        <f t="shared" si="33"/>
        <v>4.4999999999999997E-3</v>
      </c>
      <c r="I99" s="3367">
        <v>0.06</v>
      </c>
      <c r="J99" s="3345">
        <f t="shared" si="28"/>
        <v>8.9999999999999993E-3</v>
      </c>
      <c r="K99" s="3345">
        <f t="shared" si="29"/>
        <v>4.4999999999999997E-3</v>
      </c>
      <c r="L99" s="3345">
        <v>0</v>
      </c>
      <c r="M99" s="3345">
        <f t="shared" si="30"/>
        <v>-4.4999999999999997E-3</v>
      </c>
      <c r="N99" s="3345">
        <f t="shared" si="30"/>
        <v>-8.9999999999999993E-3</v>
      </c>
    </row>
    <row r="100" spans="1:14" ht="25.5">
      <c r="A100" s="3379" t="s">
        <v>3277</v>
      </c>
      <c r="B100" s="3370" t="str">
        <f>估价对象房地状况!C22</f>
        <v>估价对象所在区域基础设施水平</v>
      </c>
      <c r="C100" s="2044" t="s">
        <v>3449</v>
      </c>
      <c r="D100" s="3366">
        <f t="shared" si="31"/>
        <v>0</v>
      </c>
      <c r="E100" s="3383"/>
      <c r="F100" s="1814"/>
      <c r="G100" s="3373">
        <f t="shared" si="32"/>
        <v>6.7000000000000002E-3</v>
      </c>
      <c r="H100" s="3421">
        <f t="shared" si="33"/>
        <v>6.7000000000000002E-3</v>
      </c>
      <c r="I100" s="3367">
        <v>0.09</v>
      </c>
      <c r="J100" s="3345">
        <f t="shared" si="28"/>
        <v>1.34E-2</v>
      </c>
      <c r="K100" s="3345">
        <f t="shared" si="29"/>
        <v>6.7000000000000002E-3</v>
      </c>
      <c r="L100" s="3345">
        <v>0</v>
      </c>
      <c r="M100" s="3345">
        <f t="shared" si="30"/>
        <v>-6.7000000000000002E-3</v>
      </c>
      <c r="N100" s="3345">
        <f t="shared" si="30"/>
        <v>-1.34E-2</v>
      </c>
    </row>
    <row r="101" spans="1:14" ht="26.25" thickBot="1">
      <c r="A101" s="3380" t="s">
        <v>3278</v>
      </c>
      <c r="B101" s="3387" t="str">
        <f>估价对象房地状况!C20</f>
        <v>区域自然环境：；人文环境；综合评价环境状况一般</v>
      </c>
      <c r="C101" s="2044" t="s">
        <v>3449</v>
      </c>
      <c r="D101" s="3366">
        <f t="shared" si="31"/>
        <v>0</v>
      </c>
      <c r="E101" s="3384"/>
      <c r="F101" s="1814"/>
      <c r="G101" s="3373">
        <f t="shared" si="32"/>
        <v>5.1999999999999998E-3</v>
      </c>
      <c r="H101" s="3421">
        <f t="shared" si="33"/>
        <v>5.1999999999999998E-3</v>
      </c>
      <c r="I101" s="3368">
        <v>7.0000000000000007E-2</v>
      </c>
      <c r="J101" s="3345">
        <f t="shared" si="28"/>
        <v>1.04E-2</v>
      </c>
      <c r="K101" s="3345">
        <f t="shared" si="29"/>
        <v>5.1999999999999998E-3</v>
      </c>
      <c r="L101" s="3345">
        <v>0</v>
      </c>
      <c r="M101" s="3345">
        <f t="shared" si="30"/>
        <v>-5.1999999999999998E-3</v>
      </c>
      <c r="N101" s="3345">
        <f t="shared" si="30"/>
        <v>-1.04E-2</v>
      </c>
    </row>
    <row r="103" spans="1:14">
      <c r="A103" s="3685" t="s">
        <v>3293</v>
      </c>
      <c r="B103" s="3685"/>
      <c r="C103" s="3685"/>
      <c r="D103" s="3685"/>
      <c r="E103" s="3685"/>
      <c r="F103" s="3685"/>
      <c r="G103" s="3685"/>
      <c r="H103" s="3685"/>
      <c r="I103" s="3685"/>
      <c r="J103" s="3685"/>
      <c r="K103" s="3390"/>
      <c r="L103" s="3390"/>
      <c r="M103" s="3390"/>
      <c r="N103" s="3390"/>
    </row>
    <row r="104" spans="1:14">
      <c r="A104" s="3686" t="s">
        <v>3294</v>
      </c>
      <c r="B104" s="3686" t="s">
        <v>3295</v>
      </c>
      <c r="C104" s="3391" t="s">
        <v>3296</v>
      </c>
      <c r="D104" s="3392"/>
      <c r="E104" s="3392"/>
      <c r="F104" s="3392"/>
      <c r="G104" s="3392"/>
      <c r="H104" s="3392"/>
      <c r="I104" s="3392"/>
      <c r="J104" s="3393"/>
      <c r="K104" s="3394"/>
      <c r="L104" s="3394"/>
      <c r="M104" s="3394"/>
      <c r="N104" s="3394"/>
    </row>
    <row r="105" spans="1:14">
      <c r="A105" s="3686"/>
      <c r="B105" s="3686"/>
      <c r="C105" s="3395" t="s">
        <v>3297</v>
      </c>
      <c r="D105" s="3395" t="s">
        <v>3298</v>
      </c>
      <c r="E105" s="3395" t="s">
        <v>3299</v>
      </c>
      <c r="F105" s="3395" t="s">
        <v>3300</v>
      </c>
      <c r="G105" s="3395" t="s">
        <v>3301</v>
      </c>
      <c r="H105" s="3395" t="s">
        <v>3302</v>
      </c>
      <c r="I105" s="3395" t="s">
        <v>3303</v>
      </c>
      <c r="J105" s="3395" t="s">
        <v>3304</v>
      </c>
      <c r="K105" s="3395" t="s">
        <v>3305</v>
      </c>
      <c r="L105" s="3395" t="s">
        <v>3306</v>
      </c>
      <c r="M105" s="3395" t="s">
        <v>3307</v>
      </c>
      <c r="N105" s="3395" t="s">
        <v>3308</v>
      </c>
    </row>
    <row r="106" spans="1:14">
      <c r="A106" s="3672" t="s">
        <v>3309</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7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7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7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7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73"/>
      <c r="B111" s="3395" t="s">
        <v>3267</v>
      </c>
      <c r="C111" s="3396">
        <f>$I$3</f>
        <v>0</v>
      </c>
      <c r="D111" s="3396">
        <f t="shared" ref="D111:M111" si="34">$I$3</f>
        <v>0</v>
      </c>
      <c r="E111" s="3396">
        <f t="shared" si="34"/>
        <v>0</v>
      </c>
      <c r="F111" s="3396">
        <f t="shared" si="34"/>
        <v>0</v>
      </c>
      <c r="G111" s="3396">
        <f t="shared" si="34"/>
        <v>0</v>
      </c>
      <c r="H111" s="3396">
        <f t="shared" si="34"/>
        <v>0</v>
      </c>
      <c r="I111" s="3396">
        <f t="shared" si="34"/>
        <v>0</v>
      </c>
      <c r="J111" s="3396">
        <f t="shared" si="34"/>
        <v>0</v>
      </c>
      <c r="K111" s="3396">
        <f t="shared" si="34"/>
        <v>0</v>
      </c>
      <c r="L111" s="3396">
        <f t="shared" si="34"/>
        <v>0</v>
      </c>
      <c r="M111" s="3396">
        <f t="shared" si="34"/>
        <v>0</v>
      </c>
      <c r="N111" s="3396">
        <f>$I$3</f>
        <v>0</v>
      </c>
    </row>
    <row r="112" spans="1:14">
      <c r="A112" s="3674"/>
      <c r="B112" s="3395">
        <v>6</v>
      </c>
      <c r="C112" s="3388">
        <f>(-0.5556*(C111^2)-0.2719*C111+8944)*(10^(-4))</f>
        <v>0.89440000000000008</v>
      </c>
      <c r="D112" s="3388">
        <f>(-0.5556*(D111^2)-0.2719*D111+8944)*(10^(-4))</f>
        <v>0.89440000000000008</v>
      </c>
      <c r="E112" s="3388">
        <f>(-0.7912*(E111^2)-11.3794*E111+8482)*(10^(-4))</f>
        <v>0.84820000000000007</v>
      </c>
      <c r="F112" s="3388">
        <f t="shared" ref="F112:I112" si="35">(-0.7912*(F111^2)-11.3794*F111+8482)*(10^(-4))</f>
        <v>0.84820000000000007</v>
      </c>
      <c r="G112" s="3388">
        <f t="shared" si="35"/>
        <v>0.84820000000000007</v>
      </c>
      <c r="H112" s="3388">
        <f t="shared" si="35"/>
        <v>0.84820000000000007</v>
      </c>
      <c r="I112" s="3388">
        <f t="shared" si="35"/>
        <v>0.84820000000000007</v>
      </c>
      <c r="J112" s="3388">
        <f>(-0.989*(J111^2)-63.78*J111+7771)*(10^(-4))</f>
        <v>0.77710000000000001</v>
      </c>
      <c r="K112" s="3388">
        <f t="shared" ref="K112:N112" si="36">(-0.989*(K111^2)-63.78*K111+7771)*(10^(-4))</f>
        <v>0.77710000000000001</v>
      </c>
      <c r="L112" s="3388">
        <f t="shared" si="36"/>
        <v>0.77710000000000001</v>
      </c>
      <c r="M112" s="3388">
        <f t="shared" si="36"/>
        <v>0.77710000000000001</v>
      </c>
      <c r="N112" s="3388">
        <f t="shared" si="36"/>
        <v>0.77710000000000001</v>
      </c>
    </row>
    <row r="113" spans="1:14">
      <c r="A113" s="3675" t="s">
        <v>3310</v>
      </c>
      <c r="B113" s="3675"/>
      <c r="C113" s="3675"/>
      <c r="D113" s="3675"/>
      <c r="E113" s="3675"/>
      <c r="F113" s="3675"/>
      <c r="G113" s="3675"/>
      <c r="H113" s="3675"/>
      <c r="I113" s="3675"/>
      <c r="J113" s="367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3311</v>
      </c>
      <c r="B116" s="3416">
        <f>G3</f>
        <v>1.5</v>
      </c>
      <c r="C116" s="3400" t="s">
        <v>3312</v>
      </c>
      <c r="D116" s="3401">
        <f>SUMPRODUCT((A118:A122=F116)*(B117:M117=H116)*B118:M122)</f>
        <v>0.73829999999999996</v>
      </c>
      <c r="E116" s="2000" t="s">
        <v>3313</v>
      </c>
      <c r="F116" s="3402" t="str">
        <f>E2</f>
        <v>公共服务</v>
      </c>
      <c r="G116" s="2000" t="s">
        <v>3314</v>
      </c>
      <c r="H116" s="3402" t="str">
        <f>G2</f>
        <v>八级</v>
      </c>
      <c r="I116" s="2000"/>
      <c r="J116" s="3403"/>
      <c r="K116" s="3403"/>
      <c r="L116" s="3403"/>
      <c r="M116" s="3403"/>
      <c r="N116" s="3398"/>
    </row>
    <row r="117" spans="1:14">
      <c r="A117" s="3404"/>
      <c r="B117" s="3405" t="s">
        <v>3315</v>
      </c>
      <c r="C117" s="3405" t="s">
        <v>3316</v>
      </c>
      <c r="D117" s="3405" t="s">
        <v>3317</v>
      </c>
      <c r="E117" s="3406" t="s">
        <v>3318</v>
      </c>
      <c r="F117" s="3406" t="s">
        <v>3319</v>
      </c>
      <c r="G117" s="3406" t="s">
        <v>3320</v>
      </c>
      <c r="H117" s="3407" t="s">
        <v>3321</v>
      </c>
      <c r="I117" s="3407" t="s">
        <v>3322</v>
      </c>
      <c r="J117" s="3408" t="s">
        <v>3323</v>
      </c>
      <c r="K117" s="3408" t="s">
        <v>3324</v>
      </c>
      <c r="L117" s="3408" t="s">
        <v>3325</v>
      </c>
      <c r="M117" s="3409" t="s">
        <v>3326</v>
      </c>
      <c r="N117" s="3398"/>
    </row>
    <row r="118" spans="1:14">
      <c r="A118" s="3410" t="s">
        <v>3327</v>
      </c>
      <c r="B118" s="3388">
        <f>ROUND(0.9968-0.011*B116,4)</f>
        <v>0.98029999999999995</v>
      </c>
      <c r="C118" s="3388">
        <f>B118</f>
        <v>0.98029999999999995</v>
      </c>
      <c r="D118" s="3388">
        <f>ROUND(0.949-0.014*B116,4)</f>
        <v>0.92800000000000005</v>
      </c>
      <c r="E118" s="3388">
        <f>D118</f>
        <v>0.92800000000000005</v>
      </c>
      <c r="F118" s="3388">
        <f>E118</f>
        <v>0.92800000000000005</v>
      </c>
      <c r="G118" s="3388">
        <f>F118</f>
        <v>0.92800000000000005</v>
      </c>
      <c r="H118" s="3388">
        <f>G118</f>
        <v>0.92800000000000005</v>
      </c>
      <c r="I118" s="3388">
        <f>ROUND(0.8486-0.018*B116,4)</f>
        <v>0.8216</v>
      </c>
      <c r="J118" s="3388">
        <f t="shared" ref="J118:M122" si="37">I118</f>
        <v>0.8216</v>
      </c>
      <c r="K118" s="3388">
        <f t="shared" si="37"/>
        <v>0.8216</v>
      </c>
      <c r="L118" s="3388">
        <f t="shared" si="37"/>
        <v>0.8216</v>
      </c>
      <c r="M118" s="3411">
        <f t="shared" si="37"/>
        <v>0.8216</v>
      </c>
      <c r="N118" s="3398"/>
    </row>
    <row r="119" spans="1:14">
      <c r="A119" s="3410" t="s">
        <v>3328</v>
      </c>
      <c r="B119" s="3388">
        <f>ROUND(0.993-0.0112*B116,4)</f>
        <v>0.97619999999999996</v>
      </c>
      <c r="C119" s="3388">
        <f>B119</f>
        <v>0.97619999999999996</v>
      </c>
      <c r="D119" s="3388">
        <f>ROUND(0.9415-0.0142*B116,4)</f>
        <v>0.92020000000000002</v>
      </c>
      <c r="E119" s="3388">
        <f t="shared" ref="E119:H120" si="38">D119</f>
        <v>0.92020000000000002</v>
      </c>
      <c r="F119" s="3388">
        <f t="shared" si="38"/>
        <v>0.92020000000000002</v>
      </c>
      <c r="G119" s="3388">
        <f t="shared" si="38"/>
        <v>0.92020000000000002</v>
      </c>
      <c r="H119" s="3388">
        <f t="shared" si="38"/>
        <v>0.92020000000000002</v>
      </c>
      <c r="I119" s="3388">
        <f>ROUND(0.838-0.0182*B116,4)</f>
        <v>0.81069999999999998</v>
      </c>
      <c r="J119" s="3388">
        <f t="shared" si="37"/>
        <v>0.81069999999999998</v>
      </c>
      <c r="K119" s="3388">
        <f t="shared" si="37"/>
        <v>0.81069999999999998</v>
      </c>
      <c r="L119" s="3388">
        <f t="shared" si="37"/>
        <v>0.81069999999999998</v>
      </c>
      <c r="M119" s="3411">
        <f t="shared" si="37"/>
        <v>0.81069999999999998</v>
      </c>
      <c r="N119" s="3398"/>
    </row>
    <row r="120" spans="1:14">
      <c r="A120" s="3410" t="s">
        <v>3329</v>
      </c>
      <c r="B120" s="3388">
        <f>ROUND(0.9448-0.0115*B116,4)</f>
        <v>0.92759999999999998</v>
      </c>
      <c r="C120" s="3388">
        <f>B120</f>
        <v>0.92759999999999998</v>
      </c>
      <c r="D120" s="3388">
        <f>ROUND(0.937-0.0145*B116,4)</f>
        <v>0.9153</v>
      </c>
      <c r="E120" s="3388">
        <f t="shared" si="38"/>
        <v>0.9153</v>
      </c>
      <c r="F120" s="3388">
        <f t="shared" si="38"/>
        <v>0.9153</v>
      </c>
      <c r="G120" s="3388">
        <f t="shared" si="38"/>
        <v>0.9153</v>
      </c>
      <c r="H120" s="3388">
        <f t="shared" si="38"/>
        <v>0.9153</v>
      </c>
      <c r="I120" s="3388">
        <f>ROUND(0.7965-0.0185*B116,4)</f>
        <v>0.76880000000000004</v>
      </c>
      <c r="J120" s="3388">
        <f t="shared" si="37"/>
        <v>0.76880000000000004</v>
      </c>
      <c r="K120" s="3388">
        <f t="shared" si="37"/>
        <v>0.76880000000000004</v>
      </c>
      <c r="L120" s="3388">
        <f t="shared" si="37"/>
        <v>0.76880000000000004</v>
      </c>
      <c r="M120" s="3411">
        <f t="shared" si="37"/>
        <v>0.76880000000000004</v>
      </c>
      <c r="N120" s="3398"/>
    </row>
    <row r="121" spans="1:14" ht="13.5" thickBot="1">
      <c r="A121" s="3412" t="s">
        <v>3330</v>
      </c>
      <c r="B121" s="3413">
        <f>ROUND(0.7836-0.012*B116,4)</f>
        <v>0.76559999999999995</v>
      </c>
      <c r="C121" s="3413">
        <f>B121</f>
        <v>0.76559999999999995</v>
      </c>
      <c r="D121" s="3413">
        <f>ROUND(0.753-0.015*B116,4)</f>
        <v>0.73050000000000004</v>
      </c>
      <c r="E121" s="3413">
        <f>D121</f>
        <v>0.73050000000000004</v>
      </c>
      <c r="F121" s="3413">
        <f>E121</f>
        <v>0.73050000000000004</v>
      </c>
      <c r="G121" s="3413">
        <f>ROUND(0.6612-0.018*B116,4)</f>
        <v>0.63419999999999999</v>
      </c>
      <c r="H121" s="3413">
        <f>G121</f>
        <v>0.63419999999999999</v>
      </c>
      <c r="I121" s="3413">
        <f>ROUND(0.5905-0.019*B116,4)</f>
        <v>0.56200000000000006</v>
      </c>
      <c r="J121" s="3413">
        <f t="shared" si="37"/>
        <v>0.56200000000000006</v>
      </c>
      <c r="K121" s="3413">
        <f t="shared" si="37"/>
        <v>0.56200000000000006</v>
      </c>
      <c r="L121" s="3413">
        <f t="shared" si="37"/>
        <v>0.56200000000000006</v>
      </c>
      <c r="M121" s="3414">
        <f t="shared" si="37"/>
        <v>0.56200000000000006</v>
      </c>
      <c r="N121" s="3398"/>
    </row>
    <row r="122" spans="1:14">
      <c r="A122" s="3415" t="s">
        <v>2612</v>
      </c>
      <c r="B122" s="3388">
        <f>ROUND(0.9404-0.0106*B116,4)</f>
        <v>0.92449999999999999</v>
      </c>
      <c r="C122" s="3388">
        <f>B122</f>
        <v>0.92449999999999999</v>
      </c>
      <c r="D122" s="3388">
        <f>ROUND(0.8955-0.0135*B116,4)</f>
        <v>0.87529999999999997</v>
      </c>
      <c r="E122" s="3388">
        <f t="shared" ref="E122:H122" si="39">D122</f>
        <v>0.87529999999999997</v>
      </c>
      <c r="F122" s="3388">
        <f t="shared" si="39"/>
        <v>0.87529999999999997</v>
      </c>
      <c r="G122" s="3388">
        <f t="shared" si="39"/>
        <v>0.87529999999999997</v>
      </c>
      <c r="H122" s="3388">
        <f t="shared" si="39"/>
        <v>0.87529999999999997</v>
      </c>
      <c r="I122" s="3388">
        <f>ROUND(0.7632-0.0166*B116,4)</f>
        <v>0.73829999999999996</v>
      </c>
      <c r="J122" s="3388">
        <f t="shared" si="37"/>
        <v>0.73829999999999996</v>
      </c>
      <c r="K122" s="3388">
        <f t="shared" si="37"/>
        <v>0.73829999999999996</v>
      </c>
      <c r="L122" s="3388">
        <f t="shared" si="37"/>
        <v>0.73829999999999996</v>
      </c>
      <c r="M122" s="3411">
        <f t="shared" si="37"/>
        <v>0.73829999999999996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-3</v>
      </c>
      <c r="C2" s="276" t="s">
        <v>1595</v>
      </c>
      <c r="D2" s="276"/>
      <c r="E2" s="2806"/>
      <c r="F2" s="2806"/>
      <c r="G2" s="2806"/>
      <c r="H2" s="2806"/>
      <c r="I2" s="2806"/>
      <c r="J2" s="2806"/>
      <c r="K2" s="2806"/>
    </row>
    <row r="3" spans="1:33" ht="18" customHeight="1" thickBot="1">
      <c r="A3" s="203" t="s">
        <v>1464</v>
      </c>
      <c r="B3" s="204">
        <f ca="1">ROUND(B2*10000/IF(C1="",'数据-汇总表'!E3,INDIRECT("'数据-取费表'!K"&amp;$K$1)),0)</f>
        <v>-18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0.12</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4</v>
      </c>
      <c r="D14" s="846">
        <f ca="1">IF(C1="",'数据-汇总表'!E3,INDIRECT("'数据-取费表'!K"&amp;$K$1)+INDIRECT("'数据-取费表'!S"&amp;$K$1))</f>
        <v>1674.92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4</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1674.92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-0.49839999999999662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33</v>
      </c>
      <c r="D20" s="846">
        <f ca="1">IF(C1="",'数据-汇总表'!E6,IF(INDIRECT("'数据-取费表'!c"&amp;$K$1)="住宅",INDIRECT("'数据-取费表'!s"&amp;$K$1),INDIRECT("'数据-取费表'!k"&amp;$K$1)+INDIRECT("'数据-取费表'!s"&amp;$K$1)))</f>
        <v>1674.92</v>
      </c>
      <c r="E20" s="21">
        <f>'数据-取费表'!B28</f>
        <v>200</v>
      </c>
      <c r="F20" s="804"/>
      <c r="G20" s="12"/>
      <c r="H20" s="809"/>
      <c r="I20" s="809"/>
      <c r="J20" s="809"/>
      <c r="K20" s="810"/>
    </row>
    <row r="21" spans="1:33" s="803" customFormat="1" ht="13.5" customHeight="1">
      <c r="A21" s="790" t="s">
        <v>357</v>
      </c>
      <c r="B21" s="813" t="s">
        <v>1628</v>
      </c>
      <c r="C21" s="814">
        <f ca="1">C16+C17+C18</f>
        <v>3.5016000000000034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6.2700000000000006E-2</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6.2700000000000006E-2</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0.10290000000000001</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0.10290000000000001</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0" zoomScaleNormal="70" zoomScaleSheetLayoutView="80" workbookViewId="0">
      <selection activeCell="C38" sqref="C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3430</v>
      </c>
      <c r="D1" s="1362" t="s">
        <v>43</v>
      </c>
      <c r="E1" s="1363" t="s">
        <v>678</v>
      </c>
      <c r="F1" s="1062">
        <f ca="1">J53</f>
        <v>40.64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870</v>
      </c>
      <c r="C2" s="1387" t="s">
        <v>805</v>
      </c>
      <c r="D2" s="1387"/>
      <c r="E2" s="1388"/>
      <c r="F2" s="1389"/>
      <c r="G2" s="2706"/>
      <c r="H2" s="2695"/>
      <c r="I2" s="2695"/>
      <c r="J2" s="2695"/>
      <c r="K2" s="2696"/>
      <c r="L2" s="2695"/>
      <c r="M2" s="2695"/>
    </row>
    <row r="3" spans="1:37" ht="18" customHeight="1" thickBot="1">
      <c r="A3" s="1390" t="s">
        <v>806</v>
      </c>
      <c r="B3" s="1391">
        <f ca="1">IF(ISERROR(B2*10000/F43),0,ROUND(B2*10000/F43,0))</f>
        <v>5194</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52</v>
      </c>
      <c r="D5" s="1364" t="s">
        <v>693</v>
      </c>
      <c r="E5" s="1071"/>
      <c r="F5" s="1072"/>
      <c r="G5" s="1384"/>
      <c r="H5" s="299">
        <v>1</v>
      </c>
      <c r="I5" s="300" t="s">
        <v>692</v>
      </c>
      <c r="J5" s="1070">
        <f ca="1">J6+J10+J12</f>
        <v>0</v>
      </c>
      <c r="K5" s="1364" t="s">
        <v>693</v>
      </c>
      <c r="L5" s="1071"/>
      <c r="M5" s="1072"/>
    </row>
    <row r="6" spans="1:37" ht="18" customHeight="1">
      <c r="A6" s="1069" t="s">
        <v>398</v>
      </c>
      <c r="B6" s="3693" t="s">
        <v>694</v>
      </c>
      <c r="C6" s="1074">
        <f ca="1">ROUND(F6*F8*F7*(1-F9)/10000,0)</f>
        <v>52</v>
      </c>
      <c r="D6" s="155" t="s">
        <v>2109</v>
      </c>
      <c r="E6" s="302" t="s">
        <v>696</v>
      </c>
      <c r="F6" s="303">
        <f ca="1">INDIRECT("'数据-取费表'!u"&amp;$G$1)</f>
        <v>1</v>
      </c>
      <c r="G6" s="1384"/>
      <c r="H6" s="1069" t="s">
        <v>398</v>
      </c>
      <c r="I6" s="3693" t="s">
        <v>694</v>
      </c>
      <c r="J6" s="301">
        <f ca="1">ROUND(M6*M8*M7*(1-M9)/10000,0)</f>
        <v>0</v>
      </c>
      <c r="K6" s="155" t="s">
        <v>2108</v>
      </c>
      <c r="L6" s="302" t="s">
        <v>696</v>
      </c>
      <c r="M6" s="303">
        <f ca="1">INDIRECT("'数据-取费表'!z"&amp;$G$1)</f>
        <v>0</v>
      </c>
    </row>
    <row r="7" spans="1:37" ht="18" customHeight="1">
      <c r="A7" s="1073"/>
      <c r="B7" s="3694"/>
      <c r="C7" s="1075"/>
      <c r="D7" s="307"/>
      <c r="E7" s="1076" t="s">
        <v>697</v>
      </c>
      <c r="F7" s="303">
        <f ca="1">IF(INDIRECT("'数据-取费表'!ah"&amp;$G$1)="",INDIRECT("'数据-取费表'!k"&amp;$G$1),INDIRECT("'数据-取费表'!ah"&amp;$G$1))</f>
        <v>1674.92</v>
      </c>
      <c r="G7" s="1384"/>
      <c r="H7" s="304"/>
      <c r="I7" s="3694"/>
      <c r="J7" s="306"/>
      <c r="K7" s="307"/>
      <c r="L7" s="302" t="s">
        <v>697</v>
      </c>
      <c r="M7" s="303">
        <f ca="1">F7</f>
        <v>1674.92</v>
      </c>
    </row>
    <row r="8" spans="1:37" ht="18" customHeight="1">
      <c r="A8" s="304"/>
      <c r="B8" s="3694"/>
      <c r="C8" s="306"/>
      <c r="D8" s="307"/>
      <c r="E8" s="302" t="s">
        <v>698</v>
      </c>
      <c r="F8" s="303">
        <f ca="1">INDIRECT("'数据-取费表'!ai"&amp;$G$1)</f>
        <v>365</v>
      </c>
      <c r="G8" s="1384"/>
      <c r="H8" s="304"/>
      <c r="I8" s="3694"/>
      <c r="J8" s="306"/>
      <c r="K8" s="307"/>
      <c r="L8" s="302" t="s">
        <v>698</v>
      </c>
      <c r="M8" s="303">
        <f ca="1">INDIRECT("'数据-取费表'!ai"&amp;$G$1)</f>
        <v>365</v>
      </c>
    </row>
    <row r="9" spans="1:37" ht="18" customHeight="1">
      <c r="A9" s="304"/>
      <c r="B9" s="3695"/>
      <c r="C9" s="306"/>
      <c r="D9" s="307"/>
      <c r="E9" s="302" t="s">
        <v>699</v>
      </c>
      <c r="F9" s="312">
        <f ca="1">INDIRECT("'数据-取费表'!w"&amp;$G$1)</f>
        <v>0.15</v>
      </c>
      <c r="G9" s="1384"/>
      <c r="H9" s="304"/>
      <c r="I9" s="369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3435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632</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502</v>
      </c>
      <c r="D14" s="1345" t="s">
        <v>708</v>
      </c>
      <c r="E14" s="1342"/>
      <c r="F14" s="319"/>
      <c r="G14" s="1384"/>
      <c r="H14" s="982" t="s">
        <v>398</v>
      </c>
      <c r="I14" s="302" t="s">
        <v>709</v>
      </c>
      <c r="J14" s="21">
        <f ca="1">C29</f>
        <v>718</v>
      </c>
      <c r="K14" s="12"/>
      <c r="L14" s="807"/>
      <c r="M14" s="808"/>
    </row>
    <row r="15" spans="1:37" s="1397" customFormat="1" ht="18" customHeight="1" thickBot="1">
      <c r="A15" s="982" t="s">
        <v>399</v>
      </c>
      <c r="B15" s="302" t="s">
        <v>710</v>
      </c>
      <c r="C15" s="21">
        <f ca="1">ROUND(C14*F15,0)</f>
        <v>25</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33</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570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11</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1.44</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17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58</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718</v>
      </c>
      <c r="D29" s="1092"/>
      <c r="E29" s="1090"/>
      <c r="F29" s="1093"/>
      <c r="G29" s="1396"/>
      <c r="H29" s="334" t="s">
        <v>396</v>
      </c>
      <c r="I29" s="335" t="s">
        <v>768</v>
      </c>
      <c r="J29" s="336">
        <f ca="1">ROUND(J26/(1+F40)^F41,0)</f>
        <v>0</v>
      </c>
      <c r="K29" s="337" t="s">
        <v>769</v>
      </c>
      <c r="L29" s="338"/>
      <c r="M29" s="339">
        <f ca="1">INDIRECT("'数据-取费表'!k"&amp;$G$1)</f>
        <v>1674.92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8.66</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2.72</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5.94</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1.44</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ROUND(C13*F37,2)</f>
        <v>0.63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1.04</v>
      </c>
      <c r="D38" s="1092" t="s">
        <v>748</v>
      </c>
      <c r="E38" s="1090" t="s">
        <v>744</v>
      </c>
      <c r="F38" s="1086">
        <f ca="1">INDIRECT("'数据-取费表'!Am"&amp;$G$1)</f>
        <v>0.02</v>
      </c>
      <c r="G38" s="1384"/>
      <c r="H38" s="2700"/>
      <c r="I38" s="1398"/>
      <c r="J38" s="1399"/>
      <c r="K38" s="2704"/>
      <c r="L38" s="2700"/>
      <c r="M38" s="2700"/>
    </row>
    <row r="39" spans="1:18" ht="24.6" customHeight="1" thickTop="1">
      <c r="A39" s="1079" t="s">
        <v>394</v>
      </c>
      <c r="B39" s="1094" t="s">
        <v>772</v>
      </c>
      <c r="C39" s="310">
        <f ca="1">C5-C30</f>
        <v>40</v>
      </c>
      <c r="D39" s="1095" t="s">
        <v>773</v>
      </c>
      <c r="E39" s="1096"/>
      <c r="F39" s="1097"/>
      <c r="G39" s="1384"/>
      <c r="H39" s="2700"/>
      <c r="I39" s="1398"/>
      <c r="J39" s="1399"/>
      <c r="K39" s="2704"/>
      <c r="L39" s="2700"/>
      <c r="M39" s="2700"/>
    </row>
    <row r="40" spans="1:18" ht="18" customHeight="1">
      <c r="A40" s="299" t="s">
        <v>395</v>
      </c>
      <c r="B40" s="300" t="s">
        <v>774</v>
      </c>
      <c r="C40" s="301">
        <f ca="1">ROUND(C39*(1-((1+F42)/(1+F40))^F41)/(F40-F42),0)</f>
        <v>855</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40.64</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ROUND(C40*10000/F43,0)</f>
        <v>5105</v>
      </c>
      <c r="D43" s="337" t="s">
        <v>777</v>
      </c>
      <c r="E43" s="338" t="s">
        <v>778</v>
      </c>
      <c r="F43" s="339">
        <f ca="1">INDIRECT("'数据-取费表'!k"&amp;$G$1)</f>
        <v>1674.92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-889</v>
      </c>
      <c r="D46" s="1406" t="str">
        <f>C2</f>
        <v>万元</v>
      </c>
      <c r="E46" s="1400"/>
      <c r="F46" s="1400"/>
      <c r="I46" s="1407" t="s">
        <v>810</v>
      </c>
      <c r="J46" s="1408"/>
      <c r="K46" s="1409"/>
      <c r="L46" s="1410">
        <f ca="1">IF(M47="住宅",0,IF(L48&gt;J51,L60,J60))</f>
        <v>15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3436</v>
      </c>
      <c r="K47" s="1416" t="s">
        <v>816</v>
      </c>
      <c r="L47" s="1417">
        <f ca="1">INDIRECT("'数据-取费表'!d"&amp;$G$1)</f>
        <v>50</v>
      </c>
      <c r="M47" s="1380" t="str">
        <f>IF(ISNUMBER(FIND("住宅",C1)),"住宅","非住宅")</f>
        <v>非住宅</v>
      </c>
      <c r="O47" s="1418" t="s">
        <v>403</v>
      </c>
      <c r="P47" s="1419" t="s">
        <v>817</v>
      </c>
      <c r="Q47" s="1420">
        <f ca="1">C40+J29</f>
        <v>855</v>
      </c>
      <c r="R47" s="1420" t="s">
        <v>818</v>
      </c>
    </row>
    <row r="48" spans="1:18" s="1384" customFormat="1" ht="28.5" thickBot="1">
      <c r="A48" s="1110" t="s">
        <v>438</v>
      </c>
      <c r="B48" s="300" t="s">
        <v>692</v>
      </c>
      <c r="C48" s="1359">
        <f ca="1">C49+C53+C55</f>
        <v>0</v>
      </c>
      <c r="D48" s="1112"/>
      <c r="E48" s="1113"/>
      <c r="F48" s="962"/>
      <c r="G48" s="722"/>
      <c r="H48" s="723"/>
      <c r="I48" s="1421" t="s">
        <v>819</v>
      </c>
      <c r="J48" s="1422" t="s">
        <v>3437</v>
      </c>
      <c r="K48" s="1423" t="s">
        <v>820</v>
      </c>
      <c r="L48" s="1424">
        <f ca="1">INDIRECT("'数据-取费表'!f"&amp;$G$1)</f>
        <v>40.64</v>
      </c>
      <c r="O48" s="1418" t="s">
        <v>404</v>
      </c>
      <c r="P48" s="1419" t="s">
        <v>821</v>
      </c>
      <c r="Q48" s="1420">
        <f ca="1">J60</f>
        <v>15</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'数据-取费表'!N18</f>
        <v>2018</v>
      </c>
      <c r="K49" s="1423" t="s">
        <v>824</v>
      </c>
      <c r="L49" s="1427"/>
      <c r="O49" s="1428" t="s">
        <v>405</v>
      </c>
      <c r="P49" s="1419" t="s">
        <v>825</v>
      </c>
      <c r="Q49" s="1420">
        <f ca="1">C29</f>
        <v>718</v>
      </c>
      <c r="R49" s="1420" t="s">
        <v>818</v>
      </c>
    </row>
    <row r="50" spans="1:18" s="1384" customFormat="1" ht="13.5" thickBot="1">
      <c r="A50" s="976"/>
      <c r="B50" s="979"/>
      <c r="C50" s="1118"/>
      <c r="D50" s="953"/>
      <c r="E50" s="1056" t="s">
        <v>697</v>
      </c>
      <c r="F50" s="1057">
        <f ca="1">F7</f>
        <v>1674.92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-85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40.64</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40.64</v>
      </c>
      <c r="K53" s="3691" t="s">
        <v>837</v>
      </c>
      <c r="L53" s="3692"/>
      <c r="O53" s="1418" t="s">
        <v>409</v>
      </c>
      <c r="P53" s="1419" t="s">
        <v>838</v>
      </c>
      <c r="Q53" s="1420">
        <f ca="1">Q47+Q48</f>
        <v>870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0.20599999999999999</v>
      </c>
      <c r="K55" s="1445" t="s">
        <v>841</v>
      </c>
      <c r="L55" s="1446"/>
      <c r="O55" s="1411" t="s">
        <v>811</v>
      </c>
      <c r="P55" s="1412" t="s">
        <v>812</v>
      </c>
      <c r="Q55" s="1413" t="s">
        <v>813</v>
      </c>
      <c r="R55" s="1413" t="s">
        <v>814</v>
      </c>
    </row>
    <row r="56" spans="1:18" s="1384" customFormat="1" ht="25.5" thickTop="1" thickBot="1">
      <c r="A56" s="957">
        <v>2</v>
      </c>
      <c r="B56" s="958" t="s">
        <v>704</v>
      </c>
      <c r="C56" s="232">
        <f ca="1">C13</f>
        <v>632</v>
      </c>
      <c r="D56" s="1447"/>
      <c r="E56" s="1448"/>
      <c r="F56" s="1440"/>
      <c r="I56" s="1449" t="s">
        <v>842</v>
      </c>
      <c r="J56" s="1450" t="s">
        <v>3422</v>
      </c>
      <c r="K56" s="1421" t="s">
        <v>843</v>
      </c>
      <c r="L56" s="1424" t="str">
        <f ca="1">IF(L48&lt;J51,"——",L48-J53)</f>
        <v>——</v>
      </c>
      <c r="O56" s="1418" t="s">
        <v>403</v>
      </c>
      <c r="P56" s="1419" t="s">
        <v>817</v>
      </c>
      <c r="Q56" s="1420">
        <f ca="1">C40+J29</f>
        <v>855</v>
      </c>
      <c r="R56" s="1420" t="s">
        <v>818</v>
      </c>
    </row>
    <row r="57" spans="1:18" s="1384" customFormat="1" ht="24.75" thickBot="1">
      <c r="A57" s="1451"/>
      <c r="B57" s="950" t="s">
        <v>767</v>
      </c>
      <c r="C57" s="238">
        <f ca="1">C29</f>
        <v>718</v>
      </c>
      <c r="D57" s="1452"/>
      <c r="E57" s="1453"/>
      <c r="F57" s="1454"/>
      <c r="I57" s="1455" t="s">
        <v>844</v>
      </c>
      <c r="J57" s="1456">
        <f ca="1">IF(OR(M47="住宅",J51&lt;L48,J56="是"),"——",J51-L48)</f>
        <v>12.36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287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855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1.44</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0.63</v>
      </c>
      <c r="D65" s="964" t="s">
        <v>743</v>
      </c>
      <c r="E65" s="950" t="s">
        <v>744</v>
      </c>
      <c r="F65" s="330">
        <f t="shared" ca="1" si="0"/>
        <v>1E-3</v>
      </c>
      <c r="I65" s="1462" t="s">
        <v>867</v>
      </c>
      <c r="J65" s="1463">
        <v>40</v>
      </c>
      <c r="K65" s="1463">
        <v>30</v>
      </c>
      <c r="L65" s="1463">
        <v>50</v>
      </c>
      <c r="M65" s="1465">
        <v>0.02</v>
      </c>
      <c r="O65" s="1418" t="s">
        <v>403</v>
      </c>
      <c r="P65" s="1419" t="s">
        <v>868</v>
      </c>
      <c r="Q65" s="1420">
        <f ca="1">C40+J29</f>
        <v>855</v>
      </c>
      <c r="R65" s="1420" t="s">
        <v>818</v>
      </c>
    </row>
    <row r="66" spans="1:18" s="1384" customFormat="1" ht="16.5" thickBot="1">
      <c r="A66" s="982" t="s">
        <v>793</v>
      </c>
      <c r="B66" s="950" t="s">
        <v>728</v>
      </c>
      <c r="C66" s="21">
        <f ca="1">ROUND(C48*F66,2)</f>
        <v>0</v>
      </c>
      <c r="D66" s="964" t="s">
        <v>794</v>
      </c>
      <c r="E66" s="950" t="s">
        <v>712</v>
      </c>
      <c r="F66" s="312">
        <f t="shared" ca="1" si="0"/>
        <v>0.02</v>
      </c>
      <c r="O66" s="1418" t="s">
        <v>404</v>
      </c>
      <c r="P66" s="1419" t="s">
        <v>846</v>
      </c>
      <c r="Q66" s="1420">
        <f ca="1">L60</f>
        <v>0</v>
      </c>
      <c r="R66" s="1420" t="s">
        <v>869</v>
      </c>
    </row>
    <row r="67" spans="1:18" s="1384" customFormat="1" ht="16.5" thickBot="1">
      <c r="A67" s="957" t="s">
        <v>394</v>
      </c>
      <c r="B67" s="967" t="s">
        <v>752</v>
      </c>
      <c r="C67" s="316">
        <f ca="1">C48-C58</f>
        <v>-2</v>
      </c>
      <c r="D67" s="963" t="s">
        <v>753</v>
      </c>
      <c r="E67" s="968"/>
      <c r="F67" s="969"/>
      <c r="O67" s="1428" t="s">
        <v>405</v>
      </c>
      <c r="P67" s="1419" t="s">
        <v>850</v>
      </c>
      <c r="Q67" s="1466">
        <f ca="1">L51</f>
        <v>-85</v>
      </c>
      <c r="R67" s="1420" t="s">
        <v>870</v>
      </c>
    </row>
    <row r="68" spans="1:18" s="1384" customFormat="1" ht="16.5" thickBot="1">
      <c r="A68" s="947" t="s">
        <v>395</v>
      </c>
      <c r="B68" s="948" t="s">
        <v>774</v>
      </c>
      <c r="C68" s="301">
        <f ca="1">ROUND(C67*(1-((1+F70)/(1+F68))^F69)/(F68-F70),0)</f>
        <v>-34</v>
      </c>
      <c r="D68" s="965" t="s">
        <v>758</v>
      </c>
      <c r="E68" s="950" t="s">
        <v>759</v>
      </c>
      <c r="F68" s="312">
        <f ca="1">F40</f>
        <v>0.05</v>
      </c>
      <c r="O68" s="1428" t="s">
        <v>406</v>
      </c>
      <c r="P68" s="1467" t="s">
        <v>871</v>
      </c>
      <c r="Q68" s="1420">
        <f ca="1">ROUND(Q69-Q70*Q71,0)</f>
        <v>-4</v>
      </c>
      <c r="R68" s="1420" t="s">
        <v>414</v>
      </c>
    </row>
    <row r="69" spans="1:18" s="1384" customFormat="1" ht="13.5" thickBot="1">
      <c r="A69" s="951"/>
      <c r="B69" s="952"/>
      <c r="C69" s="306"/>
      <c r="D69" s="970" t="s">
        <v>762</v>
      </c>
      <c r="E69" s="950" t="s">
        <v>763</v>
      </c>
      <c r="F69" s="333">
        <f ca="1">F41</f>
        <v>40.64</v>
      </c>
      <c r="O69" s="1428" t="s">
        <v>411</v>
      </c>
      <c r="P69" s="1467" t="s">
        <v>872</v>
      </c>
      <c r="Q69" s="1420">
        <f ca="1">C39</f>
        <v>40</v>
      </c>
      <c r="R69" s="1420" t="s">
        <v>818</v>
      </c>
    </row>
    <row r="70" spans="1:18" s="1384" customFormat="1" ht="13.5" thickBot="1">
      <c r="A70" s="954"/>
      <c r="B70" s="955"/>
      <c r="C70" s="310"/>
      <c r="D70" s="966"/>
      <c r="E70" s="950" t="s">
        <v>766</v>
      </c>
      <c r="F70" s="1054"/>
      <c r="O70" s="1428" t="s">
        <v>412</v>
      </c>
      <c r="P70" s="1467" t="s">
        <v>873</v>
      </c>
      <c r="Q70" s="1420">
        <f ca="1">C13</f>
        <v>632</v>
      </c>
      <c r="R70" s="1420" t="s">
        <v>818</v>
      </c>
    </row>
    <row r="71" spans="1:18" s="1384" customFormat="1" ht="13.5" thickBot="1">
      <c r="A71" s="971" t="s">
        <v>396</v>
      </c>
      <c r="B71" s="972" t="s">
        <v>776</v>
      </c>
      <c r="C71" s="336">
        <f ca="1">ROUND(C68*10000/F71,0)</f>
        <v>-203</v>
      </c>
      <c r="D71" s="973" t="s">
        <v>777</v>
      </c>
      <c r="E71" s="974" t="s">
        <v>778</v>
      </c>
      <c r="F71" s="339">
        <f ca="1">F43</f>
        <v>1674.92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44</v>
      </c>
      <c r="D75" s="1384"/>
      <c r="E75" s="1384"/>
      <c r="F75" s="1384"/>
      <c r="K75" s="1402"/>
      <c r="L75" s="1384"/>
      <c r="O75" s="1418" t="s">
        <v>409</v>
      </c>
      <c r="P75" s="1419" t="s">
        <v>838</v>
      </c>
      <c r="Q75" s="1420">
        <f ca="1">Q65+Q66</f>
        <v>855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-0.10000000000000009</v>
      </c>
    </row>
    <row r="80" spans="1:18">
      <c r="B80" s="340" t="s">
        <v>800</v>
      </c>
      <c r="C80" s="274">
        <f ca="1">ROUND(C75/C39,3)</f>
        <v>1.1000000000000001</v>
      </c>
    </row>
    <row r="81" spans="2:3">
      <c r="B81" s="270" t="s">
        <v>801</v>
      </c>
      <c r="C81" s="238"/>
    </row>
    <row r="82" spans="2:3">
      <c r="B82" s="273" t="s">
        <v>802</v>
      </c>
      <c r="C82" s="275">
        <f ca="1">1-C83</f>
        <v>0.26100000000000001</v>
      </c>
    </row>
    <row r="83" spans="2:3">
      <c r="B83" s="273" t="s">
        <v>803</v>
      </c>
      <c r="C83" s="274">
        <f ca="1">ROUND(C13/C40,3)</f>
        <v>0.73899999999999999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3" zoomScale="90" zoomScaleNormal="70" zoomScaleSheetLayoutView="90" workbookViewId="0">
      <selection activeCell="K23" sqref="K2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t="s">
        <v>3430</v>
      </c>
      <c r="E1" s="3433" t="s">
        <v>3545</v>
      </c>
      <c r="F1" s="1879" t="s">
        <v>3546</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IF(E1="项目模式",IF(C2="——",ROUND(C37*D3/10000,0),ROUND(C37*D3/10000,0)-D2),IF(E1="单套模式",IF(C2="——",ROUND(C37*D3/10000,4),ROUND(C37*D3/10000,4)-D2)))</f>
        <v>781.68520000000001</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IF(C2="——",C37,ROUND(B2*10000/D3,0))</f>
        <v>4667</v>
      </c>
      <c r="C3" s="354" t="s">
        <v>1768</v>
      </c>
      <c r="D3" s="353">
        <f>SUMIF('数据-汇总表'!$C19:$C33,D1,'数据-汇总表'!$E19:$E33)</f>
        <v>1674.92</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35" t="s">
        <v>1770</v>
      </c>
      <c r="D4" s="3736"/>
      <c r="E4" s="3737" t="s">
        <v>1771</v>
      </c>
      <c r="F4" s="3738"/>
      <c r="G4" s="3735" t="s">
        <v>1772</v>
      </c>
      <c r="H4" s="3736"/>
      <c r="I4" s="3735" t="s">
        <v>1773</v>
      </c>
      <c r="J4" s="3736"/>
      <c r="K4" s="559" t="s">
        <v>1774</v>
      </c>
      <c r="L4" s="2715"/>
      <c r="M4" s="2716"/>
      <c r="N4" s="2716"/>
      <c r="O4" s="2716"/>
      <c r="P4" s="3739" t="s">
        <v>1775</v>
      </c>
      <c r="Q4" s="3740"/>
      <c r="R4" s="3722" t="s">
        <v>1771</v>
      </c>
      <c r="S4" s="3723"/>
      <c r="T4" s="3722" t="s">
        <v>1772</v>
      </c>
      <c r="U4" s="3723"/>
      <c r="V4" s="3747" t="s">
        <v>1773</v>
      </c>
      <c r="W4" s="3747"/>
      <c r="X4" s="1355"/>
      <c r="Y4" s="3722" t="s">
        <v>1775</v>
      </c>
      <c r="Z4" s="3723"/>
      <c r="AA4" s="3717" t="s">
        <v>1771</v>
      </c>
      <c r="AB4" s="3718" t="s">
        <v>1772</v>
      </c>
      <c r="AC4" s="3717" t="s">
        <v>1773</v>
      </c>
    </row>
    <row r="5" spans="1:29" ht="15">
      <c r="A5" s="358"/>
      <c r="B5" s="359"/>
      <c r="C5" s="3781" t="s">
        <v>3547</v>
      </c>
      <c r="D5" s="3729"/>
      <c r="E5" s="3780" t="s">
        <v>3560</v>
      </c>
      <c r="F5" s="3727"/>
      <c r="G5" s="3781" t="s">
        <v>3555</v>
      </c>
      <c r="H5" s="3729"/>
      <c r="I5" s="3781" t="s">
        <v>3558</v>
      </c>
      <c r="J5" s="3729"/>
      <c r="K5" s="559"/>
      <c r="L5" s="2715"/>
      <c r="M5" s="2716"/>
      <c r="N5" s="2716"/>
      <c r="O5" s="2716"/>
      <c r="P5" s="3741"/>
      <c r="Q5" s="3742"/>
      <c r="R5" s="3724"/>
      <c r="S5" s="3725"/>
      <c r="T5" s="3724"/>
      <c r="U5" s="3725"/>
      <c r="V5" s="3747"/>
      <c r="W5" s="3747"/>
      <c r="X5" s="1355"/>
      <c r="Y5" s="3724"/>
      <c r="Z5" s="3725"/>
      <c r="AA5" s="3718"/>
      <c r="AB5" s="3718"/>
      <c r="AC5" s="3718"/>
    </row>
    <row r="6" spans="1:29" ht="15.75" thickBot="1">
      <c r="A6" s="360"/>
      <c r="B6" s="361"/>
      <c r="C6" s="3730" t="s">
        <v>1677</v>
      </c>
      <c r="D6" s="3731"/>
      <c r="E6" s="3732" t="s">
        <v>1677</v>
      </c>
      <c r="F6" s="3733"/>
      <c r="G6" s="3730" t="s">
        <v>1677</v>
      </c>
      <c r="H6" s="3731"/>
      <c r="I6" s="3730" t="s">
        <v>1677</v>
      </c>
      <c r="J6" s="3731"/>
      <c r="K6" s="559" t="s">
        <v>1678</v>
      </c>
      <c r="L6" s="2715"/>
      <c r="M6" s="2716"/>
      <c r="N6" s="2716"/>
      <c r="O6" s="2716"/>
      <c r="P6" s="3743"/>
      <c r="Q6" s="3744"/>
      <c r="R6" s="3724"/>
      <c r="S6" s="3725"/>
      <c r="T6" s="3745"/>
      <c r="U6" s="3746"/>
      <c r="V6" s="3747"/>
      <c r="W6" s="3747"/>
      <c r="X6" s="1355"/>
      <c r="Y6" s="3745"/>
      <c r="Z6" s="3746"/>
      <c r="AA6" s="3719"/>
      <c r="AB6" s="3719"/>
      <c r="AC6" s="3719"/>
    </row>
    <row r="7" spans="1:29" s="108" customFormat="1" ht="15.75" thickBot="1">
      <c r="A7" s="362" t="s">
        <v>1679</v>
      </c>
      <c r="B7" s="363"/>
      <c r="C7" s="364">
        <f>'数据-取费表'!B2</f>
        <v>45891</v>
      </c>
      <c r="D7" s="365">
        <v>100</v>
      </c>
      <c r="E7" s="366">
        <v>45837</v>
      </c>
      <c r="F7" s="367">
        <f>SUMIF(46:46,YEAR(E7)&amp;"-"&amp;MONTH(E7),47:47)</f>
        <v>100</v>
      </c>
      <c r="G7" s="1974">
        <v>45786</v>
      </c>
      <c r="H7" s="365">
        <f>SUMIF(46:46,YEAR(G7)&amp;"-"&amp;MONTH(G7),47:47)</f>
        <v>100</v>
      </c>
      <c r="I7" s="366">
        <v>45880</v>
      </c>
      <c r="J7" s="365">
        <f>SUMIF(46:46,YEAR(I7)&amp;"-"&amp;MONTH(I7),47:47)</f>
        <v>100</v>
      </c>
      <c r="K7" s="560"/>
      <c r="L7" s="2717"/>
      <c r="M7" s="2718"/>
      <c r="N7" s="2718"/>
      <c r="O7" s="2718"/>
      <c r="P7" s="3720" t="s">
        <v>1680</v>
      </c>
      <c r="Q7" s="3748"/>
      <c r="R7" s="701" t="s">
        <v>14</v>
      </c>
      <c r="S7" s="702">
        <f t="shared" ref="S7:S14" si="0">F7</f>
        <v>100</v>
      </c>
      <c r="T7" s="701" t="s">
        <v>14</v>
      </c>
      <c r="U7" s="702">
        <f t="shared" ref="U7:U14" si="1">H7</f>
        <v>100</v>
      </c>
      <c r="V7" s="701" t="s">
        <v>14</v>
      </c>
      <c r="W7" s="702">
        <f t="shared" ref="W7:W14" si="2">J7</f>
        <v>100</v>
      </c>
      <c r="X7" s="703"/>
      <c r="Y7" s="3720" t="s">
        <v>1680</v>
      </c>
      <c r="Z7" s="3721"/>
      <c r="AA7" s="704">
        <f>D7/F7</f>
        <v>1</v>
      </c>
      <c r="AB7" s="704">
        <f>D7/H7</f>
        <v>1</v>
      </c>
      <c r="AC7" s="704">
        <f>D7/J7</f>
        <v>1</v>
      </c>
    </row>
    <row r="8" spans="1:29" s="108" customFormat="1" ht="15.75" thickBot="1">
      <c r="A8" s="362" t="s">
        <v>1681</v>
      </c>
      <c r="B8" s="363"/>
      <c r="C8" s="368" t="s">
        <v>3548</v>
      </c>
      <c r="D8" s="365">
        <v>100</v>
      </c>
      <c r="E8" s="368" t="s">
        <v>3548</v>
      </c>
      <c r="F8" s="367">
        <f>SUMIF(49:49,E8,50:50)-SUMIF(49:49,C8,50:50)+100</f>
        <v>100</v>
      </c>
      <c r="G8" s="368" t="s">
        <v>3548</v>
      </c>
      <c r="H8" s="365">
        <f>SUMIF(49:49,G8,50:50)-SUMIF(49:49,C8,50:50)+100</f>
        <v>100</v>
      </c>
      <c r="I8" s="368" t="s">
        <v>3548</v>
      </c>
      <c r="J8" s="365">
        <f>SUMIF(49:49,I8,50:50)-SUMIF(49:49,C8,50:50)+100</f>
        <v>100</v>
      </c>
      <c r="K8" s="560"/>
      <c r="L8" s="2717"/>
      <c r="M8" s="2718"/>
      <c r="N8" s="2718"/>
      <c r="O8" s="2718"/>
      <c r="P8" s="3720" t="s">
        <v>1683</v>
      </c>
      <c r="Q8" s="3721"/>
      <c r="R8" s="701" t="s">
        <v>14</v>
      </c>
      <c r="S8" s="702">
        <f t="shared" si="0"/>
        <v>100</v>
      </c>
      <c r="T8" s="701" t="s">
        <v>14</v>
      </c>
      <c r="U8" s="702">
        <f t="shared" si="1"/>
        <v>100</v>
      </c>
      <c r="V8" s="701" t="s">
        <v>14</v>
      </c>
      <c r="W8" s="702">
        <f t="shared" si="2"/>
        <v>100</v>
      </c>
      <c r="X8" s="703"/>
      <c r="Y8" s="3720" t="s">
        <v>1683</v>
      </c>
      <c r="Z8" s="3721"/>
      <c r="AA8" s="704">
        <f t="shared" ref="AA8:AA34" si="3">D8/F8</f>
        <v>1</v>
      </c>
      <c r="AB8" s="704">
        <f t="shared" ref="AB8:AB34" si="4">D8/H8</f>
        <v>1</v>
      </c>
      <c r="AC8" s="704">
        <f t="shared" ref="AC8:AC34" si="5">D8/J8</f>
        <v>1</v>
      </c>
    </row>
    <row r="9" spans="1:29" s="108" customFormat="1" ht="15">
      <c r="A9" s="369" t="s">
        <v>1684</v>
      </c>
      <c r="B9" s="63" t="s">
        <v>1685</v>
      </c>
      <c r="C9" s="3829" t="s">
        <v>3550</v>
      </c>
      <c r="D9" s="126">
        <v>100</v>
      </c>
      <c r="E9" s="373" t="s">
        <v>3333</v>
      </c>
      <c r="F9" s="372">
        <f>SUMIF(51:51,E9,52:52)-SUMIF(51:51,C9,52:52)+100</f>
        <v>100</v>
      </c>
      <c r="G9" s="373" t="s">
        <v>3333</v>
      </c>
      <c r="H9" s="126">
        <f>SUMIF(51:51,G9,52:52)-SUMIF(51:51,C9,52:52)+100</f>
        <v>100</v>
      </c>
      <c r="I9" s="373" t="s">
        <v>3333</v>
      </c>
      <c r="J9" s="126">
        <f>SUMIF(51:51,I9,52:52)-SUMIF(51:51,C9,52:52)+100</f>
        <v>100</v>
      </c>
      <c r="K9" s="560"/>
      <c r="L9" s="2717"/>
      <c r="M9" s="2718"/>
      <c r="N9" s="2718"/>
      <c r="O9" s="2772"/>
      <c r="P9" s="3752" t="s">
        <v>1686</v>
      </c>
      <c r="Q9" s="1343" t="str">
        <f t="shared" ref="Q9:Q14" si="6">B9</f>
        <v>用途</v>
      </c>
      <c r="R9" s="701" t="s">
        <v>14</v>
      </c>
      <c r="S9" s="702">
        <f t="shared" si="0"/>
        <v>100</v>
      </c>
      <c r="T9" s="701" t="s">
        <v>14</v>
      </c>
      <c r="U9" s="702">
        <f t="shared" si="1"/>
        <v>100</v>
      </c>
      <c r="V9" s="701" t="s">
        <v>14</v>
      </c>
      <c r="W9" s="702">
        <f t="shared" si="2"/>
        <v>100</v>
      </c>
      <c r="X9" s="703"/>
      <c r="Y9" s="3645" t="s">
        <v>1687</v>
      </c>
      <c r="Z9" s="52" t="str">
        <f t="shared" ref="Z9:Z14" si="7">Q9</f>
        <v>用途</v>
      </c>
      <c r="AA9" s="704">
        <f t="shared" si="3"/>
        <v>1</v>
      </c>
      <c r="AB9" s="704">
        <f t="shared" si="4"/>
        <v>1</v>
      </c>
      <c r="AC9" s="704">
        <f t="shared" si="5"/>
        <v>1</v>
      </c>
    </row>
    <row r="10" spans="1:29" s="378" customFormat="1" ht="27">
      <c r="A10" s="374"/>
      <c r="B10" s="375" t="s">
        <v>1688</v>
      </c>
      <c r="C10" s="3434" t="str">
        <f>C53</f>
        <v>50（含）-35</v>
      </c>
      <c r="D10" s="127">
        <v>100</v>
      </c>
      <c r="E10" s="3434" t="str">
        <f>C53</f>
        <v>50（含）-35</v>
      </c>
      <c r="F10" s="376">
        <f>SUMIF(53:53,E10,54:54)-SUMIF(53:53,C10,54:54)+100</f>
        <v>100</v>
      </c>
      <c r="G10" s="3434" t="str">
        <f>C53</f>
        <v>50（含）-35</v>
      </c>
      <c r="H10" s="127">
        <f>SUMIF(53:53,G10,54:54)-SUMIF(53:53,C10,54:54)+100</f>
        <v>100</v>
      </c>
      <c r="I10" s="3434" t="str">
        <f>C53</f>
        <v>50（含）-35</v>
      </c>
      <c r="J10" s="127">
        <f>SUMIF(53:53,I10,54:54)-SUMIF(53:53,C10,54:54)+100</f>
        <v>100</v>
      </c>
      <c r="K10" s="560"/>
      <c r="L10" s="2719"/>
      <c r="M10" s="2720"/>
      <c r="N10" s="2720"/>
      <c r="O10" s="2773"/>
      <c r="P10" s="3752"/>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52"/>
      <c r="Q11" s="1343">
        <f t="shared" si="6"/>
        <v>111</v>
      </c>
      <c r="R11" s="701" t="s">
        <v>14</v>
      </c>
      <c r="S11" s="702">
        <f t="shared" si="0"/>
        <v>100</v>
      </c>
      <c r="T11" s="701" t="s">
        <v>14</v>
      </c>
      <c r="U11" s="702">
        <f t="shared" si="1"/>
        <v>100</v>
      </c>
      <c r="V11" s="701" t="s">
        <v>14</v>
      </c>
      <c r="W11" s="702">
        <f t="shared" si="2"/>
        <v>100</v>
      </c>
      <c r="X11" s="703"/>
      <c r="Y11" s="364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52"/>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52"/>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98</v>
      </c>
      <c r="G14" s="395"/>
      <c r="H14" s="392">
        <f>SUMIF(61:61,G15,62:62)-SUMIF(61:61,C15,62:62)+100</f>
        <v>100</v>
      </c>
      <c r="I14" s="393"/>
      <c r="J14" s="392">
        <f>SUMIF(61:61,I15,62:62)-SUMIF(61:61,C15,62:62)+100</f>
        <v>98</v>
      </c>
      <c r="K14" s="563">
        <v>2</v>
      </c>
      <c r="L14" s="2722"/>
      <c r="M14" s="2716"/>
      <c r="N14" s="2716"/>
      <c r="O14" s="2774"/>
      <c r="P14" s="3754" t="s">
        <v>1691</v>
      </c>
      <c r="Q14" s="1352" t="str">
        <f t="shared" si="6"/>
        <v>交通便捷度</v>
      </c>
      <c r="R14" s="705" t="s">
        <v>14</v>
      </c>
      <c r="S14" s="706">
        <f t="shared" si="0"/>
        <v>98</v>
      </c>
      <c r="T14" s="705" t="s">
        <v>14</v>
      </c>
      <c r="U14" s="706">
        <f t="shared" si="1"/>
        <v>100</v>
      </c>
      <c r="V14" s="705" t="s">
        <v>14</v>
      </c>
      <c r="W14" s="706">
        <f t="shared" si="2"/>
        <v>98</v>
      </c>
      <c r="X14" s="1355"/>
      <c r="Y14" s="3754" t="s">
        <v>1691</v>
      </c>
      <c r="Z14" s="1356" t="str">
        <f t="shared" si="7"/>
        <v>交通便捷度</v>
      </c>
      <c r="AA14" s="1353">
        <f t="shared" si="3"/>
        <v>1.0204081632653061</v>
      </c>
      <c r="AB14" s="1353">
        <f t="shared" si="4"/>
        <v>1</v>
      </c>
      <c r="AC14" s="1353">
        <f t="shared" si="5"/>
        <v>1.0204081632653061</v>
      </c>
    </row>
    <row r="15" spans="1:29" ht="15">
      <c r="A15" s="379"/>
      <c r="B15" s="397"/>
      <c r="C15" s="398" t="s">
        <v>3448</v>
      </c>
      <c r="D15" s="399"/>
      <c r="E15" s="398" t="s">
        <v>3449</v>
      </c>
      <c r="F15" s="400"/>
      <c r="G15" s="398" t="s">
        <v>3448</v>
      </c>
      <c r="H15" s="401"/>
      <c r="I15" s="398" t="s">
        <v>3449</v>
      </c>
      <c r="J15" s="399"/>
      <c r="K15" s="564"/>
      <c r="L15" s="2722"/>
      <c r="M15" s="2716"/>
      <c r="N15" s="2716"/>
      <c r="O15" s="2774"/>
      <c r="P15" s="3755"/>
      <c r="Q15" s="1352"/>
      <c r="R15" s="705"/>
      <c r="S15" s="706"/>
      <c r="T15" s="705"/>
      <c r="U15" s="706"/>
      <c r="V15" s="705"/>
      <c r="W15" s="706"/>
      <c r="X15" s="1355"/>
      <c r="Y15" s="375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98</v>
      </c>
      <c r="G16" s="410"/>
      <c r="H16" s="406">
        <f>SUMIF(63:63,G17,64:64)-SUMIF(63:63,C17,64:64)+100</f>
        <v>100</v>
      </c>
      <c r="I16" s="408"/>
      <c r="J16" s="406">
        <f>SUMIF(63:63,I17,64:64)-SUMIF(63:63,C17,64:64)+100</f>
        <v>98</v>
      </c>
      <c r="K16" s="563">
        <v>2</v>
      </c>
      <c r="L16" s="2722"/>
      <c r="M16" s="2716"/>
      <c r="N16" s="2716"/>
      <c r="O16" s="2774"/>
      <c r="P16" s="3755"/>
      <c r="Q16" s="1352" t="str">
        <f>B16</f>
        <v>公共配套设施</v>
      </c>
      <c r="R16" s="705" t="s">
        <v>14</v>
      </c>
      <c r="S16" s="706">
        <f>F16</f>
        <v>98</v>
      </c>
      <c r="T16" s="705" t="s">
        <v>14</v>
      </c>
      <c r="U16" s="706">
        <f>H16</f>
        <v>100</v>
      </c>
      <c r="V16" s="705" t="s">
        <v>14</v>
      </c>
      <c r="W16" s="706">
        <f>J16</f>
        <v>98</v>
      </c>
      <c r="X16" s="1355"/>
      <c r="Y16" s="3755"/>
      <c r="Z16" s="1356" t="str">
        <f>Q16</f>
        <v>公共配套设施</v>
      </c>
      <c r="AA16" s="1353">
        <f t="shared" si="3"/>
        <v>1.0204081632653061</v>
      </c>
      <c r="AB16" s="1353">
        <f t="shared" si="4"/>
        <v>1</v>
      </c>
      <c r="AC16" s="1353">
        <f t="shared" si="5"/>
        <v>1.0204081632653061</v>
      </c>
    </row>
    <row r="17" spans="1:29" ht="15">
      <c r="A17" s="379"/>
      <c r="B17" s="407"/>
      <c r="C17" s="1901" t="s">
        <v>3448</v>
      </c>
      <c r="D17" s="399"/>
      <c r="E17" s="398" t="s">
        <v>3449</v>
      </c>
      <c r="F17" s="400"/>
      <c r="G17" s="398" t="s">
        <v>3448</v>
      </c>
      <c r="H17" s="399"/>
      <c r="I17" s="398" t="s">
        <v>3449</v>
      </c>
      <c r="J17" s="399"/>
      <c r="K17" s="564"/>
      <c r="L17" s="2722"/>
      <c r="M17" s="2716"/>
      <c r="N17" s="2716"/>
      <c r="O17" s="2774"/>
      <c r="P17" s="3755"/>
      <c r="Q17" s="1352"/>
      <c r="R17" s="705"/>
      <c r="S17" s="706"/>
      <c r="T17" s="705"/>
      <c r="U17" s="706"/>
      <c r="V17" s="705"/>
      <c r="W17" s="706"/>
      <c r="X17" s="1355"/>
      <c r="Y17" s="375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v>1</v>
      </c>
      <c r="L18" s="2722"/>
      <c r="M18" s="2716"/>
      <c r="N18" s="2716"/>
      <c r="O18" s="2774"/>
      <c r="P18" s="3755"/>
      <c r="Q18" s="1352" t="str">
        <f>B18</f>
        <v>基础设施水平</v>
      </c>
      <c r="R18" s="705" t="s">
        <v>14</v>
      </c>
      <c r="S18" s="706">
        <f>F18</f>
        <v>100</v>
      </c>
      <c r="T18" s="705" t="s">
        <v>14</v>
      </c>
      <c r="U18" s="706">
        <f>H18</f>
        <v>100</v>
      </c>
      <c r="V18" s="705" t="s">
        <v>14</v>
      </c>
      <c r="W18" s="706">
        <f>J18</f>
        <v>100</v>
      </c>
      <c r="X18" s="1355"/>
      <c r="Y18" s="3755"/>
      <c r="Z18" s="1356" t="str">
        <f>Q18</f>
        <v>基础设施水平</v>
      </c>
      <c r="AA18" s="1353">
        <f t="shared" ref="AA18" si="8">D18/F18</f>
        <v>1</v>
      </c>
      <c r="AB18" s="1353">
        <f t="shared" ref="AB18" si="9">D18/H18</f>
        <v>1</v>
      </c>
      <c r="AC18" s="1353">
        <f t="shared" ref="AC18" si="10">D18/J18</f>
        <v>1</v>
      </c>
    </row>
    <row r="19" spans="1:29" ht="15">
      <c r="A19" s="379"/>
      <c r="B19" s="1131"/>
      <c r="C19" s="1901" t="s">
        <v>3561</v>
      </c>
      <c r="D19" s="401"/>
      <c r="E19" s="1901" t="s">
        <v>3561</v>
      </c>
      <c r="F19" s="404"/>
      <c r="G19" s="1901" t="s">
        <v>3561</v>
      </c>
      <c r="H19" s="399"/>
      <c r="I19" s="398" t="s">
        <v>3561</v>
      </c>
      <c r="J19" s="399"/>
      <c r="K19" s="1130"/>
      <c r="L19" s="2722"/>
      <c r="M19" s="2716"/>
      <c r="N19" s="2716"/>
      <c r="O19" s="2774"/>
      <c r="P19" s="3755"/>
      <c r="Q19" s="1352"/>
      <c r="R19" s="705"/>
      <c r="S19" s="706"/>
      <c r="T19" s="705"/>
      <c r="U19" s="706"/>
      <c r="V19" s="705"/>
      <c r="W19" s="706"/>
      <c r="X19" s="1355"/>
      <c r="Y19" s="375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v>2</v>
      </c>
      <c r="L20" s="2722"/>
      <c r="M20" s="2716"/>
      <c r="N20" s="2716"/>
      <c r="O20" s="2774"/>
      <c r="P20" s="3755"/>
      <c r="Q20" s="1352" t="str">
        <f>B20</f>
        <v>自然及人文环境</v>
      </c>
      <c r="R20" s="705" t="s">
        <v>14</v>
      </c>
      <c r="S20" s="706">
        <f>F20</f>
        <v>100</v>
      </c>
      <c r="T20" s="705" t="s">
        <v>14</v>
      </c>
      <c r="U20" s="706">
        <f>H20</f>
        <v>100</v>
      </c>
      <c r="V20" s="705" t="s">
        <v>14</v>
      </c>
      <c r="W20" s="706">
        <f>J20</f>
        <v>100</v>
      </c>
      <c r="X20" s="1355"/>
      <c r="Y20" s="3755"/>
      <c r="Z20" s="1356" t="str">
        <f>Q20</f>
        <v>自然及人文环境</v>
      </c>
      <c r="AA20" s="1353">
        <f t="shared" si="3"/>
        <v>1</v>
      </c>
      <c r="AB20" s="1353">
        <f t="shared" si="4"/>
        <v>1</v>
      </c>
      <c r="AC20" s="1353">
        <f t="shared" si="5"/>
        <v>1</v>
      </c>
    </row>
    <row r="21" spans="1:29" ht="15">
      <c r="A21" s="379"/>
      <c r="B21" s="407"/>
      <c r="C21" s="398" t="s">
        <v>3449</v>
      </c>
      <c r="D21" s="399"/>
      <c r="E21" s="398" t="s">
        <v>3449</v>
      </c>
      <c r="F21" s="400"/>
      <c r="G21" s="398" t="s">
        <v>3449</v>
      </c>
      <c r="H21" s="399"/>
      <c r="I21" s="398" t="s">
        <v>3449</v>
      </c>
      <c r="J21" s="399"/>
      <c r="K21" s="564"/>
      <c r="L21" s="2722"/>
      <c r="M21" s="2716"/>
      <c r="N21" s="2716"/>
      <c r="O21" s="2774"/>
      <c r="P21" s="3755"/>
      <c r="Q21" s="1352"/>
      <c r="R21" s="705"/>
      <c r="S21" s="706"/>
      <c r="T21" s="705"/>
      <c r="U21" s="706"/>
      <c r="V21" s="705"/>
      <c r="W21" s="706"/>
      <c r="X21" s="1355"/>
      <c r="Y21" s="3755"/>
      <c r="Z21" s="1356"/>
      <c r="AA21" s="1353">
        <v>1</v>
      </c>
      <c r="AB21" s="1353">
        <v>1</v>
      </c>
      <c r="AC21" s="1353">
        <v>1</v>
      </c>
    </row>
    <row r="22" spans="1:29" ht="15">
      <c r="A22" s="379"/>
      <c r="B22" s="402" t="s">
        <v>1835</v>
      </c>
      <c r="C22" s="565" t="s">
        <v>3553</v>
      </c>
      <c r="D22" s="401">
        <v>100</v>
      </c>
      <c r="E22" s="565" t="s">
        <v>3553</v>
      </c>
      <c r="F22" s="412">
        <f>SUMIF(69:69,E22,70:70)-SUMIF(69:69,C22,70:70)+100</f>
        <v>100</v>
      </c>
      <c r="G22" s="565" t="s">
        <v>3556</v>
      </c>
      <c r="H22" s="386">
        <f>SUMIF(69:69,G22,70:70)-SUMIF(69:69,C22,70:70)+100</f>
        <v>97</v>
      </c>
      <c r="I22" s="565" t="s">
        <v>3556</v>
      </c>
      <c r="J22" s="386">
        <f>SUMIF(69:69,I22,70:70)-SUMIF(69:69,C22,70:70)+100</f>
        <v>97</v>
      </c>
      <c r="K22" s="561">
        <v>3</v>
      </c>
      <c r="L22" s="2722"/>
      <c r="M22" s="2716"/>
      <c r="N22" s="2716"/>
      <c r="O22" s="2774"/>
      <c r="P22" s="3755"/>
      <c r="Q22" s="1352" t="str">
        <f>B22</f>
        <v>楼层</v>
      </c>
      <c r="R22" s="705" t="s">
        <v>14</v>
      </c>
      <c r="S22" s="706">
        <f>F22</f>
        <v>100</v>
      </c>
      <c r="T22" s="705" t="s">
        <v>14</v>
      </c>
      <c r="U22" s="706">
        <f>H22</f>
        <v>97</v>
      </c>
      <c r="V22" s="705" t="s">
        <v>14</v>
      </c>
      <c r="W22" s="706">
        <f>J22</f>
        <v>97</v>
      </c>
      <c r="X22" s="1355"/>
      <c r="Y22" s="3755"/>
      <c r="Z22" s="1356" t="str">
        <f>Q22</f>
        <v>楼层</v>
      </c>
      <c r="AA22" s="1353">
        <f t="shared" si="3"/>
        <v>1</v>
      </c>
      <c r="AB22" s="1353">
        <f t="shared" si="4"/>
        <v>1.0309278350515463</v>
      </c>
      <c r="AC22" s="1353">
        <f t="shared" si="5"/>
        <v>1.0309278350515463</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55"/>
      <c r="Q23" s="1352">
        <f>B23</f>
        <v>111</v>
      </c>
      <c r="R23" s="705" t="s">
        <v>14</v>
      </c>
      <c r="S23" s="706">
        <f>F23</f>
        <v>100</v>
      </c>
      <c r="T23" s="705" t="s">
        <v>14</v>
      </c>
      <c r="U23" s="706">
        <f>H23</f>
        <v>100</v>
      </c>
      <c r="V23" s="705" t="s">
        <v>14</v>
      </c>
      <c r="W23" s="706">
        <f>J23</f>
        <v>100</v>
      </c>
      <c r="X23" s="1355"/>
      <c r="Y23" s="375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55"/>
      <c r="Q24" s="1352">
        <f t="shared" ref="Q24:Q34" si="11">B24</f>
        <v>111</v>
      </c>
      <c r="R24" s="705" t="s">
        <v>14</v>
      </c>
      <c r="S24" s="706">
        <f>F24</f>
        <v>100</v>
      </c>
      <c r="T24" s="705" t="s">
        <v>14</v>
      </c>
      <c r="U24" s="706">
        <f>H24</f>
        <v>100</v>
      </c>
      <c r="V24" s="705" t="s">
        <v>14</v>
      </c>
      <c r="W24" s="706">
        <f>J24</f>
        <v>100</v>
      </c>
      <c r="X24" s="1355"/>
      <c r="Y24" s="375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55"/>
      <c r="Q25" s="1343">
        <f t="shared" si="11"/>
        <v>111</v>
      </c>
      <c r="R25" s="701" t="s">
        <v>14</v>
      </c>
      <c r="S25" s="702">
        <f>F25</f>
        <v>100</v>
      </c>
      <c r="T25" s="701" t="s">
        <v>14</v>
      </c>
      <c r="U25" s="702">
        <f>H25</f>
        <v>100</v>
      </c>
      <c r="V25" s="701" t="s">
        <v>14</v>
      </c>
      <c r="W25" s="702">
        <f>J25</f>
        <v>100</v>
      </c>
      <c r="X25" s="703"/>
      <c r="Y25" s="375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7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59" t="s">
        <v>1696</v>
      </c>
      <c r="Z26" s="1356" t="str">
        <f t="shared" ref="Z26:Z34" si="15">Q26</f>
        <v>公共部分装修</v>
      </c>
      <c r="AA26" s="1353">
        <f t="shared" si="3"/>
        <v>1</v>
      </c>
      <c r="AB26" s="1353">
        <f t="shared" si="4"/>
        <v>1</v>
      </c>
      <c r="AC26" s="1353">
        <f t="shared" si="5"/>
        <v>1</v>
      </c>
    </row>
    <row r="27" spans="1:29" s="422" customFormat="1" ht="15">
      <c r="A27" s="419"/>
      <c r="B27" s="375" t="s">
        <v>1839</v>
      </c>
      <c r="C27" s="425">
        <f>'数据-取费表'!N6</f>
        <v>0.88</v>
      </c>
      <c r="D27" s="127">
        <v>100</v>
      </c>
      <c r="E27" s="426">
        <v>0.87</v>
      </c>
      <c r="F27" s="412">
        <f>LOOKUP(E27,80:80,81:81)-LOOKUP(C27,80:80,81:81)+100</f>
        <v>100</v>
      </c>
      <c r="G27" s="427">
        <v>0.78</v>
      </c>
      <c r="H27" s="386">
        <f>LOOKUP(G27,80:80,81:81)-LOOKUP(C27,80:80,81:81)+100</f>
        <v>99</v>
      </c>
      <c r="I27" s="427">
        <v>0.9</v>
      </c>
      <c r="J27" s="386">
        <f>LOOKUP(I27,80:80,81:81)-LOOKUP(C27,80:80,81:81)+100</f>
        <v>101</v>
      </c>
      <c r="K27" s="561">
        <v>1</v>
      </c>
      <c r="L27" s="2721"/>
      <c r="M27" s="2723"/>
      <c r="N27" s="2723"/>
      <c r="O27" s="2775"/>
      <c r="P27" s="3759"/>
      <c r="Q27" s="707" t="str">
        <f t="shared" si="11"/>
        <v>成新率</v>
      </c>
      <c r="R27" s="708" t="s">
        <v>14</v>
      </c>
      <c r="S27" s="709">
        <f t="shared" si="12"/>
        <v>100</v>
      </c>
      <c r="T27" s="708" t="s">
        <v>14</v>
      </c>
      <c r="U27" s="709">
        <f t="shared" si="13"/>
        <v>99</v>
      </c>
      <c r="V27" s="708" t="s">
        <v>14</v>
      </c>
      <c r="W27" s="709">
        <f t="shared" si="14"/>
        <v>101</v>
      </c>
      <c r="X27" s="710"/>
      <c r="Y27" s="3759"/>
      <c r="Z27" s="711" t="str">
        <f t="shared" si="15"/>
        <v>成新率</v>
      </c>
      <c r="AA27" s="1353">
        <f t="shared" si="3"/>
        <v>1</v>
      </c>
      <c r="AB27" s="1353">
        <f t="shared" si="4"/>
        <v>1.0101010101010102</v>
      </c>
      <c r="AC27" s="1353">
        <f t="shared" si="5"/>
        <v>0.99009900990099009</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v>1</v>
      </c>
      <c r="L28" s="2722"/>
      <c r="M28" s="2716"/>
      <c r="N28" s="2716"/>
      <c r="O28" s="2774"/>
      <c r="P28" s="3759"/>
      <c r="Q28" s="1352" t="str">
        <f t="shared" si="11"/>
        <v>物业等级</v>
      </c>
      <c r="R28" s="705" t="s">
        <v>14</v>
      </c>
      <c r="S28" s="706">
        <f t="shared" si="12"/>
        <v>100</v>
      </c>
      <c r="T28" s="705" t="s">
        <v>14</v>
      </c>
      <c r="U28" s="706">
        <f t="shared" si="13"/>
        <v>100</v>
      </c>
      <c r="V28" s="705" t="s">
        <v>14</v>
      </c>
      <c r="W28" s="706">
        <f t="shared" si="14"/>
        <v>100</v>
      </c>
      <c r="X28" s="1355"/>
      <c r="Y28" s="375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v>1</v>
      </c>
      <c r="L29" s="2722"/>
      <c r="M29" s="2716"/>
      <c r="N29" s="2716"/>
      <c r="O29" s="2774"/>
      <c r="P29" s="3759"/>
      <c r="Q29" s="1352" t="str">
        <f t="shared" si="11"/>
        <v>有无电梯</v>
      </c>
      <c r="R29" s="705" t="s">
        <v>14</v>
      </c>
      <c r="S29" s="706">
        <f t="shared" si="12"/>
        <v>100</v>
      </c>
      <c r="T29" s="705" t="s">
        <v>14</v>
      </c>
      <c r="U29" s="706">
        <f t="shared" si="13"/>
        <v>100</v>
      </c>
      <c r="V29" s="705" t="s">
        <v>14</v>
      </c>
      <c r="W29" s="706">
        <f t="shared" si="14"/>
        <v>100</v>
      </c>
      <c r="X29" s="1355"/>
      <c r="Y29" s="3759"/>
      <c r="Z29" s="1356" t="str">
        <f t="shared" si="15"/>
        <v>有无电梯</v>
      </c>
      <c r="AA29" s="1353">
        <f t="shared" si="3"/>
        <v>1</v>
      </c>
      <c r="AB29" s="1353">
        <f t="shared" si="4"/>
        <v>1</v>
      </c>
      <c r="AC29" s="1353">
        <f t="shared" si="5"/>
        <v>1</v>
      </c>
    </row>
    <row r="30" spans="1:29" ht="15">
      <c r="A30" s="423"/>
      <c r="B30" s="375" t="s">
        <v>1861</v>
      </c>
      <c r="C30" s="420">
        <f>'数据-汇总表'!G19</f>
        <v>1674.92</v>
      </c>
      <c r="D30" s="386">
        <v>100</v>
      </c>
      <c r="E30" s="420">
        <v>10.98</v>
      </c>
      <c r="F30" s="412">
        <f>LOOKUP(E30,87:87,88:88)-LOOKUP(C30,87:87,88:88)+100</f>
        <v>104</v>
      </c>
      <c r="G30" s="420">
        <v>13.29</v>
      </c>
      <c r="H30" s="386">
        <f>LOOKUP(G30,87:87,88:88)-LOOKUP(C30,87:87,88:88)+100</f>
        <v>104</v>
      </c>
      <c r="I30" s="420">
        <v>76.41</v>
      </c>
      <c r="J30" s="386">
        <f>LOOKUP(I30,87:87,88:88)-LOOKUP(C30,87:87,88:88)+100</f>
        <v>104</v>
      </c>
      <c r="K30" s="562"/>
      <c r="L30" s="2722"/>
      <c r="M30" s="2716"/>
      <c r="N30" s="2716"/>
      <c r="O30" s="2774"/>
      <c r="P30" s="3759"/>
      <c r="Q30" s="1352" t="str">
        <f t="shared" si="11"/>
        <v>建筑面积</v>
      </c>
      <c r="R30" s="705" t="s">
        <v>14</v>
      </c>
      <c r="S30" s="706">
        <f t="shared" si="12"/>
        <v>104</v>
      </c>
      <c r="T30" s="705" t="s">
        <v>14</v>
      </c>
      <c r="U30" s="706">
        <f t="shared" si="13"/>
        <v>104</v>
      </c>
      <c r="V30" s="705" t="s">
        <v>14</v>
      </c>
      <c r="W30" s="706">
        <f t="shared" si="14"/>
        <v>104</v>
      </c>
      <c r="X30" s="1355"/>
      <c r="Y30" s="3759"/>
      <c r="Z30" s="1356" t="str">
        <f t="shared" si="15"/>
        <v>建筑面积</v>
      </c>
      <c r="AA30" s="1353">
        <f t="shared" si="3"/>
        <v>0.96153846153846156</v>
      </c>
      <c r="AB30" s="1353">
        <f t="shared" si="4"/>
        <v>0.96153846153846156</v>
      </c>
      <c r="AC30" s="1353">
        <f t="shared" si="5"/>
        <v>0.96153846153846156</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59"/>
      <c r="Q31" s="1343" t="str">
        <f t="shared" si="11"/>
        <v>是否封闭</v>
      </c>
      <c r="R31" s="701" t="s">
        <v>14</v>
      </c>
      <c r="S31" s="702">
        <f t="shared" si="12"/>
        <v>100</v>
      </c>
      <c r="T31" s="701" t="s">
        <v>14</v>
      </c>
      <c r="U31" s="702">
        <f t="shared" si="13"/>
        <v>100</v>
      </c>
      <c r="V31" s="701" t="s">
        <v>14</v>
      </c>
      <c r="W31" s="702">
        <f t="shared" si="14"/>
        <v>100</v>
      </c>
      <c r="X31" s="703"/>
      <c r="Y31" s="375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59" t="s">
        <v>1696</v>
      </c>
      <c r="Q32" s="1352">
        <f t="shared" si="11"/>
        <v>111</v>
      </c>
      <c r="R32" s="705" t="s">
        <v>14</v>
      </c>
      <c r="S32" s="706">
        <f t="shared" si="12"/>
        <v>100</v>
      </c>
      <c r="T32" s="705" t="s">
        <v>14</v>
      </c>
      <c r="U32" s="706">
        <f t="shared" si="13"/>
        <v>100</v>
      </c>
      <c r="V32" s="705" t="s">
        <v>14</v>
      </c>
      <c r="W32" s="706">
        <f t="shared" si="14"/>
        <v>100</v>
      </c>
      <c r="X32" s="1355"/>
      <c r="Y32" s="375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59"/>
      <c r="Q33" s="1352">
        <f t="shared" si="11"/>
        <v>111</v>
      </c>
      <c r="R33" s="705" t="s">
        <v>14</v>
      </c>
      <c r="S33" s="706">
        <f t="shared" si="12"/>
        <v>100</v>
      </c>
      <c r="T33" s="705" t="s">
        <v>14</v>
      </c>
      <c r="U33" s="706">
        <f t="shared" si="13"/>
        <v>100</v>
      </c>
      <c r="V33" s="705" t="s">
        <v>14</v>
      </c>
      <c r="W33" s="706">
        <f t="shared" si="14"/>
        <v>100</v>
      </c>
      <c r="X33" s="1355"/>
      <c r="Y33" s="3759"/>
      <c r="Z33" s="1356">
        <f t="shared" si="15"/>
        <v>111</v>
      </c>
      <c r="AA33" s="1353">
        <f t="shared" si="3"/>
        <v>1</v>
      </c>
      <c r="AB33" s="1353">
        <f t="shared" si="4"/>
        <v>1</v>
      </c>
      <c r="AC33" s="1353">
        <f t="shared" si="5"/>
        <v>1</v>
      </c>
    </row>
    <row r="34" spans="1:30" ht="15.75" thickBot="1">
      <c r="A34" s="429"/>
      <c r="B34" s="1895">
        <v>111</v>
      </c>
      <c r="C34" s="388"/>
      <c r="D34" s="389">
        <v>100</v>
      </c>
      <c r="E34" s="1975">
        <v>2017</v>
      </c>
      <c r="F34" s="390">
        <f>SUMIF(95:95,E34,96:96)-SUMIF(95:95,C34,96:96)+100</f>
        <v>100</v>
      </c>
      <c r="G34" s="1975"/>
      <c r="H34" s="389">
        <f>SUMIF(95:95,G34,96:96)-SUMIF(95:95,C34,96:96)+100</f>
        <v>100</v>
      </c>
      <c r="I34" s="1975"/>
      <c r="J34" s="389">
        <f>SUMIF(95:95,I34,96:96)-SUMIF(95:95,C34,96:96)+100</f>
        <v>100</v>
      </c>
      <c r="K34" s="562"/>
      <c r="L34" s="2722"/>
      <c r="M34" s="2716"/>
      <c r="N34" s="2716"/>
      <c r="O34" s="2774"/>
      <c r="P34" s="3759"/>
      <c r="Q34" s="1352">
        <f t="shared" si="11"/>
        <v>111</v>
      </c>
      <c r="R34" s="705" t="s">
        <v>14</v>
      </c>
      <c r="S34" s="706">
        <f t="shared" si="12"/>
        <v>100</v>
      </c>
      <c r="T34" s="705" t="s">
        <v>14</v>
      </c>
      <c r="U34" s="706">
        <f t="shared" si="13"/>
        <v>100</v>
      </c>
      <c r="V34" s="705" t="s">
        <v>14</v>
      </c>
      <c r="W34" s="706">
        <f t="shared" si="14"/>
        <v>100</v>
      </c>
      <c r="X34" s="1355"/>
      <c r="Y34" s="3759"/>
      <c r="Z34" s="1356">
        <f t="shared" si="15"/>
        <v>111</v>
      </c>
      <c r="AA34" s="1353">
        <f t="shared" si="3"/>
        <v>1</v>
      </c>
      <c r="AB34" s="1353">
        <f t="shared" si="4"/>
        <v>1</v>
      </c>
      <c r="AC34" s="1353">
        <f t="shared" si="5"/>
        <v>1</v>
      </c>
    </row>
    <row r="35" spans="1:30" ht="15">
      <c r="A35" s="430" t="s">
        <v>1708</v>
      </c>
      <c r="B35" s="431"/>
      <c r="C35" s="1154" t="s">
        <v>0</v>
      </c>
      <c r="D35" s="1155"/>
      <c r="E35" s="1156">
        <v>5000</v>
      </c>
      <c r="F35" s="1157"/>
      <c r="G35" s="1158">
        <v>4800</v>
      </c>
      <c r="H35" s="1159"/>
      <c r="I35" s="1156">
        <v>4100</v>
      </c>
      <c r="J35" s="1159"/>
      <c r="K35" s="714"/>
      <c r="L35" s="2724"/>
      <c r="M35" s="2725"/>
      <c r="N35" s="2716"/>
      <c r="O35" s="2725"/>
      <c r="P35" s="3752" t="str">
        <f>A35</f>
        <v>成交单价（元/平方米）</v>
      </c>
      <c r="Q35" s="3752"/>
      <c r="R35" s="3753">
        <f>E35</f>
        <v>5000</v>
      </c>
      <c r="S35" s="3753"/>
      <c r="T35" s="3753">
        <f>G35</f>
        <v>4800</v>
      </c>
      <c r="U35" s="3753"/>
      <c r="V35" s="3753">
        <f>I35</f>
        <v>4100</v>
      </c>
      <c r="W35" s="3753"/>
      <c r="X35" s="690"/>
      <c r="Y35" s="712"/>
      <c r="Z35" s="690"/>
      <c r="AA35" s="690"/>
      <c r="AB35" s="690"/>
      <c r="AC35" s="690"/>
    </row>
    <row r="36" spans="1:30" ht="15.75" thickBot="1">
      <c r="A36" s="437" t="s">
        <v>1793</v>
      </c>
      <c r="B36" s="438"/>
      <c r="C36" s="1160">
        <f>R37</f>
        <v>4667</v>
      </c>
      <c r="D36" s="2317" t="s">
        <v>2138</v>
      </c>
      <c r="E36" s="1161">
        <f>R36</f>
        <v>5006</v>
      </c>
      <c r="F36" s="2318"/>
      <c r="G36" s="1160">
        <f>T36</f>
        <v>4806</v>
      </c>
      <c r="H36" s="2318"/>
      <c r="I36" s="1161">
        <f>V36</f>
        <v>4190</v>
      </c>
      <c r="J36" s="2318"/>
      <c r="K36" s="2320">
        <f>F36+H36+J36</f>
        <v>0</v>
      </c>
      <c r="L36" s="2724"/>
      <c r="M36" s="2725"/>
      <c r="N36" s="2716"/>
      <c r="O36" s="2725"/>
      <c r="P36" s="3752" t="str">
        <f>A36</f>
        <v>比较价值（元/平方米）</v>
      </c>
      <c r="Q36" s="3752"/>
      <c r="R36" s="3753">
        <f>IF(F1="售价",ROUND(PRODUCT(R35,AA7:AA34),0),ROUND(PRODUCT(R35,AA7:AA34),1))</f>
        <v>5006</v>
      </c>
      <c r="S36" s="3753"/>
      <c r="T36" s="3753">
        <f>IF(F1="售价",ROUND(PRODUCT(T35,AB7:AB34),0),ROUND(PRODUCT(T35,AB7:AB34),1))</f>
        <v>4806</v>
      </c>
      <c r="U36" s="3753"/>
      <c r="V36" s="3753">
        <f>IF(F1="售价",ROUND(PRODUCT(V35,AC7:AC34),0),ROUND(PRODUCT(V35,AC7:AC34),1))</f>
        <v>4190</v>
      </c>
      <c r="W36" s="3753"/>
      <c r="X36" s="690"/>
      <c r="Y36" s="690"/>
      <c r="Z36" s="690"/>
      <c r="AA36" s="690"/>
      <c r="AB36" s="690"/>
      <c r="AC36" s="690"/>
    </row>
    <row r="37" spans="1:30" ht="15.75" thickBot="1">
      <c r="A37" s="441" t="s">
        <v>1794</v>
      </c>
      <c r="B37" s="442"/>
      <c r="C37" s="1163">
        <f>R37</f>
        <v>4667</v>
      </c>
      <c r="D37" s="1163"/>
      <c r="E37" s="1163"/>
      <c r="F37" s="1163"/>
      <c r="G37" s="1163"/>
      <c r="H37" s="1163"/>
      <c r="I37" s="1163"/>
      <c r="J37" s="1163"/>
      <c r="K37" s="715"/>
      <c r="L37" s="2724"/>
      <c r="M37" s="2725"/>
      <c r="N37" s="2725"/>
      <c r="O37" s="2725"/>
      <c r="P37" s="3749" t="str">
        <f>A37</f>
        <v>估价对象XX用房的比较价值（楼面单价，元/平方米）</v>
      </c>
      <c r="Q37" s="3750"/>
      <c r="R37" s="3779">
        <f>IF(F1="售价",ROUND(IF(D36="简单平均",AVERAGE(R36:W36),R36*F36+T36*H36+V36*J36),0),ROUND(IF(D36="简单平均",AVERAGE(R36:V36),R36*F36+T36*H36+V36*J36),1))</f>
        <v>4667</v>
      </c>
      <c r="S37" s="3779"/>
      <c r="T37" s="3779"/>
      <c r="U37" s="3779"/>
      <c r="V37" s="3779"/>
      <c r="W37" s="377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f>IF(E35&lt;E36,E36/E35-1,E35/E36-1)</f>
        <v>1.2000000000000899E-3</v>
      </c>
      <c r="F40" s="449" t="str">
        <f>IF(OR(E40&gt;=0.3,E40&lt;=-0.3),"超过30%","")</f>
        <v/>
      </c>
      <c r="G40" s="448">
        <f>IF(G35&lt;G36,G36/G35-1,G35/G36-1)</f>
        <v>1.2499999999999734E-3</v>
      </c>
      <c r="H40" s="449" t="str">
        <f>IF(OR(G40&gt;=0.3,G40&lt;=-0.3),"超过30%","")</f>
        <v/>
      </c>
      <c r="I40" s="448">
        <f>IF(I35&lt;I36,I36/I35-1,I35/I36-1)</f>
        <v>2.1951219512195141E-2</v>
      </c>
      <c r="J40" s="449" t="str">
        <f>IF(OR(I40&gt;=0.3,I40&lt;=-0.3),"超过30%","")</f>
        <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f>IF(E36&lt;G36,G36/E36-1,E36/G36-1)</f>
        <v>4.1614648356221418E-2</v>
      </c>
      <c r="F41" s="449" t="str">
        <f>IF(OR(E41&gt;=0.2,E41&lt;=-0.2),"超过20%","")</f>
        <v/>
      </c>
      <c r="G41" s="448">
        <f>IF(G36&lt;I36,I36/G36-1,G36/I36-1)</f>
        <v>0.14701670644391407</v>
      </c>
      <c r="H41" s="449" t="str">
        <f>IF(OR(G41&gt;=0.2,G41&lt;=-0.2),"超过20%","")</f>
        <v/>
      </c>
      <c r="I41" s="448">
        <f>IF(I36&lt;E36,E36/I36-1,I36/E36-1)</f>
        <v>0.19474940334128887</v>
      </c>
      <c r="J41" s="449" t="str">
        <f>IF(OR(I41&gt;=0.2,I41&lt;=-0.2),"超过20%","")</f>
        <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f>IF(E35&lt;G35,G35/E35-1,E35/G35-1)</f>
        <v>4.1666666666666741E-2</v>
      </c>
      <c r="F42" s="449" t="str">
        <f>IF(OR(E42&gt;=0.3,E42&lt;=-0.3),"超过30%","")</f>
        <v/>
      </c>
      <c r="G42" s="448">
        <f>IF(G35&lt;I35,I35/G35-1,G35/I35-1)</f>
        <v>0.1707317073170731</v>
      </c>
      <c r="H42" s="449" t="str">
        <f>IF(OR(G42&gt;=0.3,G42&lt;=-0.3),"超过30%","")</f>
        <v/>
      </c>
      <c r="I42" s="448">
        <f>IF(I35&lt;E35,E35/I35-1,I35/E35-1)</f>
        <v>0.21951219512195119</v>
      </c>
      <c r="J42" s="449" t="str">
        <f>IF(OR(I42&gt;=0.3,I42&lt;=-0.3),"超过30%","")</f>
        <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2025-8</v>
      </c>
      <c r="D46" s="1185">
        <f>EDATE(C46,-1)</f>
        <v>45839</v>
      </c>
      <c r="E46" s="1185">
        <f t="shared" ref="E46:O46" si="16">EDATE(D46,-1)</f>
        <v>45809</v>
      </c>
      <c r="F46" s="1185">
        <f t="shared" si="16"/>
        <v>45778</v>
      </c>
      <c r="G46" s="1185">
        <f t="shared" si="16"/>
        <v>45748</v>
      </c>
      <c r="H46" s="1185">
        <f t="shared" si="16"/>
        <v>45717</v>
      </c>
      <c r="I46" s="1185">
        <f t="shared" si="16"/>
        <v>45689</v>
      </c>
      <c r="J46" s="1185">
        <f t="shared" si="16"/>
        <v>45658</v>
      </c>
      <c r="K46" s="1185">
        <f t="shared" si="16"/>
        <v>45627</v>
      </c>
      <c r="L46" s="1185">
        <f t="shared" si="16"/>
        <v>45597</v>
      </c>
      <c r="M46" s="1185">
        <f t="shared" si="16"/>
        <v>45566</v>
      </c>
      <c r="N46" s="1185">
        <f t="shared" si="16"/>
        <v>45536</v>
      </c>
      <c r="O46" s="1185">
        <f t="shared" si="16"/>
        <v>45505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v>100</v>
      </c>
      <c r="E47" s="461">
        <v>100</v>
      </c>
      <c r="F47" s="461">
        <v>100</v>
      </c>
      <c r="G47" s="461">
        <v>100</v>
      </c>
      <c r="H47" s="461">
        <v>100</v>
      </c>
      <c r="I47" s="461">
        <v>100</v>
      </c>
      <c r="J47" s="461">
        <v>100</v>
      </c>
      <c r="K47" s="461">
        <v>100</v>
      </c>
      <c r="L47" s="461">
        <v>100</v>
      </c>
      <c r="M47" s="461">
        <v>100</v>
      </c>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t="str">
        <f>C9</f>
        <v>仓储</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t="s">
        <v>3562</v>
      </c>
      <c r="D53" s="532" t="s">
        <v>3563</v>
      </c>
      <c r="E53" s="532" t="s">
        <v>3564</v>
      </c>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v>100</v>
      </c>
      <c r="D54" s="485">
        <f>C54-2</f>
        <v>98</v>
      </c>
      <c r="E54" s="485">
        <f t="shared" ref="E54:G54" si="17">D54-2</f>
        <v>96</v>
      </c>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98</v>
      </c>
      <c r="E62" s="493">
        <f>D62-$K14</f>
        <v>96</v>
      </c>
      <c r="F62" s="493">
        <f>E62-$K14</f>
        <v>94</v>
      </c>
      <c r="G62" s="493">
        <f>F62-$K14</f>
        <v>92</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98</v>
      </c>
      <c r="E64" s="493">
        <f>D64-$K16</f>
        <v>96</v>
      </c>
      <c r="F64" s="493">
        <f>E64-$K16</f>
        <v>94</v>
      </c>
      <c r="G64" s="493">
        <f>F64-$K16</f>
        <v>92</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99</v>
      </c>
      <c r="E66" s="493">
        <f>D66-$K18</f>
        <v>98</v>
      </c>
      <c r="F66" s="493">
        <f>E66-$K18</f>
        <v>97</v>
      </c>
      <c r="G66" s="493">
        <f>F66-$K18</f>
        <v>96</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98</v>
      </c>
      <c r="E68" s="493">
        <f>D68-$K20</f>
        <v>96</v>
      </c>
      <c r="F68" s="493">
        <f>E68-$K20</f>
        <v>94</v>
      </c>
      <c r="G68" s="493">
        <f>F68-$K20</f>
        <v>92</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t="s">
        <v>3551</v>
      </c>
      <c r="D69" s="503" t="s">
        <v>3552</v>
      </c>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97</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8">C78-$K26</f>
        <v>100</v>
      </c>
      <c r="E78" s="493">
        <f t="shared" si="18"/>
        <v>100</v>
      </c>
      <c r="F78" s="493">
        <f t="shared" si="18"/>
        <v>100</v>
      </c>
      <c r="G78" s="493">
        <f t="shared" si="18"/>
        <v>100</v>
      </c>
      <c r="H78" s="493">
        <f t="shared" si="18"/>
        <v>100</v>
      </c>
      <c r="I78" s="493">
        <f t="shared" si="18"/>
        <v>100</v>
      </c>
      <c r="J78" s="493">
        <f t="shared" si="18"/>
        <v>100</v>
      </c>
      <c r="K78" s="493">
        <f t="shared" si="18"/>
        <v>100</v>
      </c>
      <c r="L78" s="493">
        <f t="shared" si="18"/>
        <v>100</v>
      </c>
      <c r="M78" s="494">
        <f t="shared" si="18"/>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9">C81+$K27</f>
        <v>101</v>
      </c>
      <c r="E81" s="493">
        <f t="shared" si="19"/>
        <v>102</v>
      </c>
      <c r="F81" s="493">
        <f t="shared" si="19"/>
        <v>103</v>
      </c>
      <c r="G81" s="493">
        <f t="shared" si="19"/>
        <v>104</v>
      </c>
      <c r="H81" s="493">
        <f t="shared" si="19"/>
        <v>105</v>
      </c>
      <c r="I81" s="493">
        <f t="shared" si="19"/>
        <v>106</v>
      </c>
      <c r="J81" s="493">
        <f t="shared" si="19"/>
        <v>107</v>
      </c>
      <c r="K81" s="493">
        <f t="shared" si="19"/>
        <v>108</v>
      </c>
      <c r="L81" s="493">
        <f t="shared" si="19"/>
        <v>109</v>
      </c>
      <c r="M81" s="493">
        <f t="shared" si="19"/>
        <v>110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20">C83-$K28</f>
        <v>99</v>
      </c>
      <c r="E83" s="493">
        <f t="shared" si="20"/>
        <v>98</v>
      </c>
      <c r="F83" s="493">
        <f t="shared" si="20"/>
        <v>97</v>
      </c>
      <c r="G83" s="493">
        <f t="shared" si="20"/>
        <v>96</v>
      </c>
      <c r="H83" s="493">
        <f t="shared" si="20"/>
        <v>95</v>
      </c>
      <c r="I83" s="493">
        <f t="shared" si="20"/>
        <v>94</v>
      </c>
      <c r="J83" s="493">
        <f t="shared" si="20"/>
        <v>93</v>
      </c>
      <c r="K83" s="493">
        <f t="shared" si="20"/>
        <v>92</v>
      </c>
      <c r="L83" s="493">
        <f t="shared" si="20"/>
        <v>91</v>
      </c>
      <c r="M83" s="494">
        <f t="shared" si="20"/>
        <v>90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1">C85+$K29</f>
        <v>101</v>
      </c>
      <c r="E85" s="493">
        <f t="shared" si="21"/>
        <v>102</v>
      </c>
      <c r="F85" s="493">
        <f t="shared" si="21"/>
        <v>103</v>
      </c>
      <c r="G85" s="493">
        <f t="shared" si="21"/>
        <v>104</v>
      </c>
      <c r="H85" s="493">
        <f t="shared" si="21"/>
        <v>105</v>
      </c>
      <c r="I85" s="493">
        <f t="shared" si="21"/>
        <v>106</v>
      </c>
      <c r="J85" s="493">
        <f t="shared" si="21"/>
        <v>107</v>
      </c>
      <c r="K85" s="493">
        <f t="shared" si="21"/>
        <v>108</v>
      </c>
      <c r="L85" s="493">
        <f t="shared" si="21"/>
        <v>109</v>
      </c>
      <c r="M85" s="493">
        <f t="shared" si="21"/>
        <v>110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2">C87&amp;"(含)"&amp;"-"&amp;D87</f>
        <v>0(含)-100</v>
      </c>
      <c r="D86" s="527" t="str">
        <f t="shared" si="22"/>
        <v>100(含)-500</v>
      </c>
      <c r="E86" s="527" t="str">
        <f t="shared" si="22"/>
        <v>500(含)-1000</v>
      </c>
      <c r="F86" s="527" t="str">
        <f t="shared" si="22"/>
        <v>1000(含)-1500</v>
      </c>
      <c r="G86" s="527" t="str">
        <f t="shared" si="22"/>
        <v>1500(含)-2000</v>
      </c>
      <c r="H86" s="527" t="str">
        <f t="shared" si="22"/>
        <v>2000(含)-</v>
      </c>
      <c r="I86" s="527" t="str">
        <f t="shared" si="22"/>
        <v>(含)-</v>
      </c>
      <c r="J86" s="527" t="str">
        <f t="shared" si="22"/>
        <v>(含)-</v>
      </c>
      <c r="K86" s="527" t="str">
        <f t="shared" si="22"/>
        <v>(含)-</v>
      </c>
      <c r="L86" s="527" t="str">
        <f t="shared" si="22"/>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v>0</v>
      </c>
      <c r="D87" s="544">
        <v>100</v>
      </c>
      <c r="E87" s="544">
        <v>500</v>
      </c>
      <c r="F87" s="544">
        <v>1000</v>
      </c>
      <c r="G87" s="544">
        <v>1500</v>
      </c>
      <c r="H87" s="544">
        <v>2000</v>
      </c>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v>100</v>
      </c>
      <c r="D88" s="485">
        <v>99</v>
      </c>
      <c r="E88" s="485">
        <v>98</v>
      </c>
      <c r="F88" s="485">
        <v>97</v>
      </c>
      <c r="G88" s="485">
        <v>96</v>
      </c>
      <c r="H88" s="485">
        <v>95</v>
      </c>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80" zoomScaleNormal="70" zoomScaleSheetLayoutView="80" workbookViewId="0">
      <selection activeCell="C36" sqref="C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3430</v>
      </c>
      <c r="D1" s="1362" t="s">
        <v>43</v>
      </c>
      <c r="E1" s="1363" t="s">
        <v>678</v>
      </c>
      <c r="F1" s="1062">
        <f ca="1">J53</f>
        <v>40.64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875.35090000000002</v>
      </c>
      <c r="C2" s="1387" t="s">
        <v>879</v>
      </c>
      <c r="D2" s="1471">
        <f ca="1">C40+J29+L46</f>
        <v>8753509</v>
      </c>
      <c r="E2" s="1388" t="s">
        <v>880</v>
      </c>
      <c r="F2" s="1389"/>
      <c r="G2" s="2706"/>
      <c r="H2" s="2695"/>
      <c r="I2" s="2695"/>
      <c r="J2" s="2695"/>
      <c r="K2" s="2696"/>
      <c r="L2" s="2695"/>
      <c r="M2" s="2695"/>
    </row>
    <row r="3" spans="1:37" ht="18" customHeight="1" thickBot="1">
      <c r="A3" s="1390" t="s">
        <v>881</v>
      </c>
      <c r="B3" s="1391">
        <f ca="1">IF(ISERROR(D2/F43),0,ROUND(D2/F43,0))</f>
        <v>5226</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520294</v>
      </c>
      <c r="D5" s="1364" t="s">
        <v>889</v>
      </c>
      <c r="E5" s="1071"/>
      <c r="F5" s="1072"/>
      <c r="G5" s="1384"/>
      <c r="H5" s="299">
        <v>1</v>
      </c>
      <c r="I5" s="300" t="s">
        <v>888</v>
      </c>
      <c r="J5" s="1070">
        <f ca="1">J6+J10+J12</f>
        <v>0</v>
      </c>
      <c r="K5" s="1364" t="s">
        <v>889</v>
      </c>
      <c r="L5" s="1071"/>
      <c r="M5" s="1072"/>
    </row>
    <row r="6" spans="1:37" ht="18" customHeight="1">
      <c r="A6" s="1069" t="s">
        <v>398</v>
      </c>
      <c r="B6" s="3693" t="s">
        <v>694</v>
      </c>
      <c r="C6" s="1074">
        <f ca="1">ROUND(F6*F8*F7*(1-F9),0)</f>
        <v>519644</v>
      </c>
      <c r="D6" s="155" t="s">
        <v>2106</v>
      </c>
      <c r="E6" s="302" t="s">
        <v>696</v>
      </c>
      <c r="F6" s="303">
        <f ca="1">INDIRECT("'数据-取费表'!u"&amp;$G$1)</f>
        <v>1</v>
      </c>
      <c r="G6" s="1384"/>
      <c r="H6" s="1069" t="s">
        <v>398</v>
      </c>
      <c r="I6" s="3693" t="s">
        <v>694</v>
      </c>
      <c r="J6" s="301">
        <f ca="1">ROUND(M6*M8*M7*(1-M9),0)</f>
        <v>0</v>
      </c>
      <c r="K6" s="1376" t="s">
        <v>2107</v>
      </c>
      <c r="L6" s="302" t="s">
        <v>696</v>
      </c>
      <c r="M6" s="303">
        <f ca="1">INDIRECT("'数据-取费表'!z"&amp;$G$1)</f>
        <v>0</v>
      </c>
    </row>
    <row r="7" spans="1:37" ht="18" customHeight="1">
      <c r="A7" s="1073"/>
      <c r="B7" s="3694"/>
      <c r="C7" s="1075"/>
      <c r="D7" s="307"/>
      <c r="E7" s="1076" t="s">
        <v>697</v>
      </c>
      <c r="F7" s="303">
        <f ca="1">IF(INDIRECT("'数据-取费表'!ah"&amp;$G$1)="",INDIRECT("'数据-取费表'!k"&amp;$G$1),INDIRECT("'数据-取费表'!ah"&amp;$G$1))</f>
        <v>1674.92</v>
      </c>
      <c r="G7" s="1384"/>
      <c r="H7" s="304"/>
      <c r="I7" s="3694"/>
      <c r="J7" s="306"/>
      <c r="K7" s="307"/>
      <c r="L7" s="302" t="s">
        <v>697</v>
      </c>
      <c r="M7" s="303">
        <f ca="1">F7</f>
        <v>1674.92</v>
      </c>
    </row>
    <row r="8" spans="1:37" ht="18" customHeight="1">
      <c r="A8" s="304"/>
      <c r="B8" s="3694"/>
      <c r="C8" s="306"/>
      <c r="D8" s="307"/>
      <c r="E8" s="302" t="s">
        <v>698</v>
      </c>
      <c r="F8" s="303">
        <f ca="1">INDIRECT("'数据-取费表'!ai"&amp;$G$1)</f>
        <v>365</v>
      </c>
      <c r="G8" s="1384"/>
      <c r="H8" s="304"/>
      <c r="I8" s="3694"/>
      <c r="J8" s="306"/>
      <c r="K8" s="307"/>
      <c r="L8" s="302" t="s">
        <v>698</v>
      </c>
      <c r="M8" s="303">
        <f ca="1">INDIRECT("'数据-取费表'!ai"&amp;$G$1)</f>
        <v>365</v>
      </c>
    </row>
    <row r="9" spans="1:37" ht="18" customHeight="1">
      <c r="A9" s="304"/>
      <c r="B9" s="3695"/>
      <c r="C9" s="306"/>
      <c r="D9" s="307"/>
      <c r="E9" s="302" t="s">
        <v>699</v>
      </c>
      <c r="F9" s="312">
        <f ca="1">INDIRECT("'数据-取费表'!w"&amp;$G$1)</f>
        <v>0.15</v>
      </c>
      <c r="G9" s="1384"/>
      <c r="H9" s="304"/>
      <c r="I9" s="3695"/>
      <c r="J9" s="306"/>
      <c r="K9" s="307"/>
      <c r="L9" s="313" t="s">
        <v>699</v>
      </c>
      <c r="M9" s="314">
        <f ca="1">INDIRECT("'数据-取费表'!ab"&amp;$G$1)</f>
        <v>0</v>
      </c>
    </row>
    <row r="10" spans="1:37" ht="18" customHeight="1">
      <c r="A10" s="1069" t="s">
        <v>402</v>
      </c>
      <c r="B10" s="1365" t="s">
        <v>700</v>
      </c>
      <c r="C10" s="316">
        <f ca="1">ROUND(IF(F10="押一",C6/12*F11,IF(F10="押二",C6/12*2*F11,IF(F10="押三",C6/12*3*F11,C11*F11))),0)</f>
        <v>650</v>
      </c>
      <c r="D10" s="1366" t="s">
        <v>2116</v>
      </c>
      <c r="E10" s="313" t="s">
        <v>701</v>
      </c>
      <c r="F10" s="1116" t="s">
        <v>3435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6340246</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5024760</v>
      </c>
      <c r="D14" s="1345" t="s">
        <v>708</v>
      </c>
      <c r="E14" s="1342"/>
      <c r="F14" s="319"/>
      <c r="G14" s="1384"/>
      <c r="H14" s="982" t="s">
        <v>398</v>
      </c>
      <c r="I14" s="302" t="s">
        <v>709</v>
      </c>
      <c r="J14" s="21">
        <f ca="1">C29</f>
        <v>7204825</v>
      </c>
      <c r="K14" s="12"/>
      <c r="L14" s="807"/>
      <c r="M14" s="808"/>
    </row>
    <row r="15" spans="1:37" s="1397" customFormat="1" ht="18" customHeight="1" thickBot="1">
      <c r="A15" s="982" t="s">
        <v>399</v>
      </c>
      <c r="B15" s="302" t="s">
        <v>710</v>
      </c>
      <c r="C15" s="21">
        <f ca="1">ROUND(C14*F15,0)</f>
        <v>251238</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14410</v>
      </c>
      <c r="K16" s="1087" t="s">
        <v>715</v>
      </c>
      <c r="L16" s="1088"/>
      <c r="M16" s="1072"/>
    </row>
    <row r="17" spans="1:37" s="1397" customFormat="1" ht="18" customHeight="1">
      <c r="A17" s="982" t="s">
        <v>681</v>
      </c>
      <c r="B17" s="302" t="s">
        <v>716</v>
      </c>
      <c r="C17" s="21">
        <f ca="1">ROUND(F17*(F43+INDIRECT("'数据-取费表'!S"&amp;$G$1)),0)</f>
        <v>334984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100495</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5711477</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114230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14410</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174771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-14410</v>
      </c>
      <c r="K25" s="1095" t="s">
        <v>753</v>
      </c>
      <c r="L25" s="1096"/>
      <c r="M25" s="1097"/>
    </row>
    <row r="26" spans="1:37" ht="18" customHeight="1">
      <c r="A26" s="982" t="s">
        <v>397</v>
      </c>
      <c r="B26" s="302" t="s">
        <v>754</v>
      </c>
      <c r="C26" s="21">
        <f ca="1">ROUND((C19+C20)*F26,0)</f>
        <v>582571</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7204825</v>
      </c>
      <c r="D29" s="1092"/>
      <c r="E29" s="1090"/>
      <c r="F29" s="1093"/>
      <c r="G29" s="1396"/>
      <c r="H29" s="334" t="s">
        <v>396</v>
      </c>
      <c r="I29" s="335" t="s">
        <v>768</v>
      </c>
      <c r="J29" s="336">
        <f ca="1">ROUND(J26/(1+F40)^F41,0)</f>
        <v>0</v>
      </c>
      <c r="K29" s="337" t="s">
        <v>769</v>
      </c>
      <c r="L29" s="338"/>
      <c r="M29" s="339">
        <f ca="1">INDIRECT("'数据-取费表'!k"&amp;$G$1)</f>
        <v>1674.92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117763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86607</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27219</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59388</v>
      </c>
      <c r="D33" s="1370" t="s">
        <v>3335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14410</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6340</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10406</v>
      </c>
      <c r="D38" s="1092" t="s">
        <v>748</v>
      </c>
      <c r="E38" s="1090" t="s">
        <v>744</v>
      </c>
      <c r="F38" s="1086">
        <f ca="1">INDIRECT("'数据-取费表'!Am"&amp;$G$1)</f>
        <v>0.02</v>
      </c>
      <c r="G38" s="1384"/>
      <c r="H38" s="2700"/>
      <c r="I38" s="1398"/>
      <c r="J38" s="1399"/>
      <c r="K38" s="2704"/>
      <c r="L38" s="2700"/>
      <c r="M38" s="2700"/>
    </row>
    <row r="39" spans="1:18" ht="24.6" customHeight="1" thickTop="1">
      <c r="A39" s="1079" t="s">
        <v>394</v>
      </c>
      <c r="B39" s="1094" t="s">
        <v>772</v>
      </c>
      <c r="C39" s="310">
        <f ca="1">C5-C30</f>
        <v>402531</v>
      </c>
      <c r="D39" s="1095" t="s">
        <v>773</v>
      </c>
      <c r="E39" s="1096"/>
      <c r="F39" s="1097"/>
      <c r="G39" s="1384"/>
      <c r="H39" s="2700"/>
      <c r="I39" s="1398"/>
      <c r="J39" s="1399"/>
      <c r="K39" s="2704"/>
      <c r="L39" s="2700"/>
      <c r="M39" s="2700"/>
    </row>
    <row r="40" spans="1:18" ht="18" customHeight="1">
      <c r="A40" s="299" t="s">
        <v>395</v>
      </c>
      <c r="B40" s="300" t="s">
        <v>774</v>
      </c>
      <c r="C40" s="301">
        <f ca="1">ROUND(C39*(1-((1+F42)/(1+F40))^F41)/(F40-F42),0)</f>
        <v>8601018</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40.64</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ROUND(C40/F43,0)</f>
        <v>5135</v>
      </c>
      <c r="D43" s="337" t="s">
        <v>777</v>
      </c>
      <c r="E43" s="338" t="s">
        <v>778</v>
      </c>
      <c r="F43" s="339">
        <f ca="1">INDIRECT("'数据-取费表'!k"&amp;$G$1)</f>
        <v>1674.92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3351</v>
      </c>
      <c r="B45" s="1400"/>
      <c r="C45" s="1472">
        <f ca="1">ROUND((C68-C40)/10000,4)</f>
        <v>-895.88810000000001</v>
      </c>
      <c r="D45" s="3432" t="s">
        <v>3352</v>
      </c>
      <c r="E45" s="1400"/>
      <c r="F45" s="1400"/>
      <c r="O45" s="1403" t="s">
        <v>808</v>
      </c>
      <c r="P45" s="1461"/>
      <c r="Q45" s="1461"/>
      <c r="R45" s="1461"/>
    </row>
    <row r="46" spans="1:18" s="1384" customFormat="1" ht="13.5" thickBot="1">
      <c r="A46" s="1404" t="s">
        <v>809</v>
      </c>
      <c r="C46" s="1405">
        <f ca="1">ROUND(C45,0)</f>
        <v>-896</v>
      </c>
      <c r="D46" s="1406" t="str">
        <f>C2</f>
        <v>万元</v>
      </c>
      <c r="I46" s="1407" t="s">
        <v>810</v>
      </c>
      <c r="J46" s="1408"/>
      <c r="K46" s="1409"/>
      <c r="L46" s="1410">
        <f ca="1">IF(M47="住宅",0,IF(L48&gt;J51,L60,J60))</f>
        <v>152491</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3436</v>
      </c>
      <c r="K47" s="1416" t="s">
        <v>816</v>
      </c>
      <c r="L47" s="1417">
        <f ca="1">INDIRECT("'数据-取费表'!d"&amp;$G$1)</f>
        <v>50</v>
      </c>
      <c r="M47" s="1380" t="str">
        <f>IF(ISNUMBER(FIND("住宅",C1)),"住宅","非住宅")</f>
        <v>非住宅</v>
      </c>
      <c r="O47" s="1418" t="s">
        <v>403</v>
      </c>
      <c r="P47" s="1419" t="s">
        <v>817</v>
      </c>
      <c r="Q47" s="1420">
        <f ca="1">C40+J29</f>
        <v>8601018</v>
      </c>
      <c r="R47" s="1420" t="s">
        <v>818</v>
      </c>
    </row>
    <row r="48" spans="1:18" s="1384" customFormat="1" ht="28.5" thickBot="1">
      <c r="A48" s="1110" t="s">
        <v>438</v>
      </c>
      <c r="B48" s="300" t="s">
        <v>692</v>
      </c>
      <c r="C48" s="1359">
        <f ca="1">C49+C53+C55</f>
        <v>0</v>
      </c>
      <c r="D48" s="1112"/>
      <c r="E48" s="1113"/>
      <c r="F48" s="962"/>
      <c r="G48" s="722"/>
      <c r="H48" s="723"/>
      <c r="I48" s="1421" t="s">
        <v>819</v>
      </c>
      <c r="J48" s="1422" t="s">
        <v>3437</v>
      </c>
      <c r="K48" s="1423" t="s">
        <v>820</v>
      </c>
      <c r="L48" s="1424">
        <f ca="1">INDIRECT("'数据-取费表'!f"&amp;$G$1)</f>
        <v>40.64</v>
      </c>
      <c r="O48" s="1418" t="s">
        <v>404</v>
      </c>
      <c r="P48" s="1419" t="s">
        <v>821</v>
      </c>
      <c r="Q48" s="1420">
        <f ca="1">J60</f>
        <v>152491</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2018</v>
      </c>
      <c r="K49" s="1423" t="s">
        <v>824</v>
      </c>
      <c r="L49" s="1427"/>
      <c r="O49" s="1428" t="s">
        <v>405</v>
      </c>
      <c r="P49" s="1419" t="s">
        <v>825</v>
      </c>
      <c r="Q49" s="1420">
        <f ca="1">C29</f>
        <v>7204825</v>
      </c>
      <c r="R49" s="1420" t="s">
        <v>818</v>
      </c>
    </row>
    <row r="50" spans="1:18" s="1384" customFormat="1" ht="13.5" thickBot="1">
      <c r="A50" s="976"/>
      <c r="B50" s="979"/>
      <c r="C50" s="980"/>
      <c r="D50" s="953"/>
      <c r="E50" s="1056" t="s">
        <v>697</v>
      </c>
      <c r="F50" s="1057">
        <f ca="1">F7</f>
        <v>1674.92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-828464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40.64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40.64</v>
      </c>
      <c r="K53" s="3691" t="s">
        <v>837</v>
      </c>
      <c r="L53" s="3692"/>
      <c r="O53" s="1418" t="s">
        <v>409</v>
      </c>
      <c r="P53" s="1419" t="s">
        <v>838</v>
      </c>
      <c r="Q53" s="1420">
        <f ca="1">Q47+Q48</f>
        <v>8753509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0.20599999999999999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6340246</v>
      </c>
      <c r="D56" s="1447"/>
      <c r="E56" s="1448"/>
      <c r="F56" s="1440"/>
      <c r="I56" s="1449" t="s">
        <v>842</v>
      </c>
      <c r="J56" s="1450" t="s">
        <v>3422</v>
      </c>
      <c r="K56" s="1421" t="s">
        <v>843</v>
      </c>
      <c r="L56" s="1424" t="str">
        <f ca="1">IF(L48&lt;J51,"——",L48-J51)</f>
        <v>——</v>
      </c>
      <c r="O56" s="1418" t="s">
        <v>403</v>
      </c>
      <c r="P56" s="1419" t="s">
        <v>817</v>
      </c>
      <c r="Q56" s="1420">
        <f ca="1">C40+J29</f>
        <v>8601018</v>
      </c>
      <c r="R56" s="1420" t="s">
        <v>818</v>
      </c>
    </row>
    <row r="57" spans="1:18" s="1384" customFormat="1" ht="24.75" thickBot="1">
      <c r="A57" s="1451"/>
      <c r="B57" s="950" t="s">
        <v>767</v>
      </c>
      <c r="C57" s="238">
        <f ca="1">C29</f>
        <v>7204825</v>
      </c>
      <c r="D57" s="1452"/>
      <c r="E57" s="1453"/>
      <c r="F57" s="1454"/>
      <c r="I57" s="1455" t="s">
        <v>844</v>
      </c>
      <c r="J57" s="1456">
        <f ca="1">IF(OR(M47="住宅",J51&lt;L48,J56="是"),"——",J51-L48)</f>
        <v>12.36</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20750</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2881930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152491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8601018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14410</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6340</v>
      </c>
      <c r="D65" s="964" t="s">
        <v>743</v>
      </c>
      <c r="E65" s="950" t="s">
        <v>744</v>
      </c>
      <c r="F65" s="330">
        <f t="shared" ca="1" si="0"/>
        <v>1E-3</v>
      </c>
      <c r="I65" s="1462" t="s">
        <v>867</v>
      </c>
      <c r="J65" s="1463">
        <v>40</v>
      </c>
      <c r="K65" s="1463">
        <v>30</v>
      </c>
      <c r="L65" s="1463">
        <v>50</v>
      </c>
      <c r="M65" s="1465">
        <v>0.02</v>
      </c>
      <c r="O65" s="1418" t="s">
        <v>403</v>
      </c>
      <c r="P65" s="1419" t="s">
        <v>868</v>
      </c>
      <c r="Q65" s="1420">
        <f ca="1">C40+J29</f>
        <v>8601018</v>
      </c>
      <c r="R65" s="1420" t="s">
        <v>818</v>
      </c>
    </row>
    <row r="66" spans="1:18" s="1384" customFormat="1" ht="16.5" thickBot="1">
      <c r="A66" s="982" t="s">
        <v>793</v>
      </c>
      <c r="B66" s="950" t="s">
        <v>728</v>
      </c>
      <c r="C66" s="21">
        <f ca="1">ROUND(C48*F66,0)</f>
        <v>0</v>
      </c>
      <c r="D66" s="964" t="s">
        <v>794</v>
      </c>
      <c r="E66" s="950" t="s">
        <v>712</v>
      </c>
      <c r="F66" s="312">
        <f t="shared" ca="1" si="0"/>
        <v>0.02</v>
      </c>
      <c r="O66" s="1418" t="s">
        <v>404</v>
      </c>
      <c r="P66" s="1419" t="s">
        <v>846</v>
      </c>
      <c r="Q66" s="1420">
        <f ca="1">L60</f>
        <v>0</v>
      </c>
      <c r="R66" s="1420" t="s">
        <v>869</v>
      </c>
    </row>
    <row r="67" spans="1:18" s="1384" customFormat="1" ht="16.5" thickBot="1">
      <c r="A67" s="957" t="s">
        <v>394</v>
      </c>
      <c r="B67" s="967" t="s">
        <v>752</v>
      </c>
      <c r="C67" s="316">
        <f ca="1">C48-C58</f>
        <v>-20750</v>
      </c>
      <c r="D67" s="963" t="s">
        <v>753</v>
      </c>
      <c r="E67" s="968"/>
      <c r="F67" s="969"/>
      <c r="O67" s="1428" t="s">
        <v>405</v>
      </c>
      <c r="P67" s="1419" t="s">
        <v>850</v>
      </c>
      <c r="Q67" s="1466">
        <f ca="1">L51</f>
        <v>-828464</v>
      </c>
      <c r="R67" s="1420" t="s">
        <v>870</v>
      </c>
    </row>
    <row r="68" spans="1:18" s="1384" customFormat="1" ht="16.5" thickBot="1">
      <c r="A68" s="947" t="s">
        <v>395</v>
      </c>
      <c r="B68" s="948" t="s">
        <v>774</v>
      </c>
      <c r="C68" s="301">
        <f ca="1">ROUND(C67*(1-((1+F70)/(1+F68))^F69)/(F68-F70),0)</f>
        <v>-357863</v>
      </c>
      <c r="D68" s="965" t="s">
        <v>758</v>
      </c>
      <c r="E68" s="950" t="s">
        <v>759</v>
      </c>
      <c r="F68" s="312">
        <f ca="1">F40</f>
        <v>0.05</v>
      </c>
      <c r="O68" s="1428" t="s">
        <v>406</v>
      </c>
      <c r="P68" s="1467" t="s">
        <v>871</v>
      </c>
      <c r="Q68" s="1420">
        <f ca="1">ROUND(Q69-Q70*Q71,0)</f>
        <v>-41286</v>
      </c>
      <c r="R68" s="1420" t="s">
        <v>414</v>
      </c>
    </row>
    <row r="69" spans="1:18" s="1384" customFormat="1" ht="13.5" thickBot="1">
      <c r="A69" s="951"/>
      <c r="B69" s="952"/>
      <c r="C69" s="306"/>
      <c r="D69" s="970" t="s">
        <v>762</v>
      </c>
      <c r="E69" s="950" t="s">
        <v>763</v>
      </c>
      <c r="F69" s="333">
        <f ca="1">F41</f>
        <v>40.64</v>
      </c>
      <c r="O69" s="1428" t="s">
        <v>411</v>
      </c>
      <c r="P69" s="1467" t="s">
        <v>872</v>
      </c>
      <c r="Q69" s="1420">
        <f ca="1">C39</f>
        <v>402531</v>
      </c>
      <c r="R69" s="1420" t="s">
        <v>818</v>
      </c>
    </row>
    <row r="70" spans="1:18" s="1384" customFormat="1" ht="13.5" thickBot="1">
      <c r="A70" s="954"/>
      <c r="B70" s="955"/>
      <c r="C70" s="310"/>
      <c r="D70" s="966"/>
      <c r="E70" s="950" t="s">
        <v>766</v>
      </c>
      <c r="F70" s="1054"/>
      <c r="O70" s="1428" t="s">
        <v>412</v>
      </c>
      <c r="P70" s="1467" t="s">
        <v>873</v>
      </c>
      <c r="Q70" s="1420">
        <f ca="1">C13</f>
        <v>6340246</v>
      </c>
      <c r="R70" s="1420" t="s">
        <v>818</v>
      </c>
    </row>
    <row r="71" spans="1:18" s="1384" customFormat="1" ht="13.5" thickBot="1">
      <c r="A71" s="971" t="s">
        <v>396</v>
      </c>
      <c r="B71" s="972" t="s">
        <v>776</v>
      </c>
      <c r="C71" s="336">
        <f ca="1">ROUND(C68/F71,0)</f>
        <v>-214</v>
      </c>
      <c r="D71" s="973" t="s">
        <v>777</v>
      </c>
      <c r="E71" s="974" t="s">
        <v>778</v>
      </c>
      <c r="F71" s="339">
        <f ca="1">F43</f>
        <v>1674.92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443817</v>
      </c>
      <c r="D75" s="1384"/>
      <c r="E75" s="1384"/>
      <c r="F75" s="1384"/>
      <c r="K75" s="1402"/>
      <c r="L75" s="1384"/>
      <c r="O75" s="1418" t="s">
        <v>409</v>
      </c>
      <c r="P75" s="1419" t="s">
        <v>838</v>
      </c>
      <c r="Q75" s="1420">
        <f ca="1">Q65+Q66</f>
        <v>8601018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-0.10299999999999998</v>
      </c>
    </row>
    <row r="80" spans="1:18">
      <c r="B80" s="340" t="s">
        <v>800</v>
      </c>
      <c r="C80" s="274">
        <f ca="1">ROUND(C75/C39,3)</f>
        <v>1.103</v>
      </c>
    </row>
    <row r="81" spans="2:3">
      <c r="B81" s="270" t="s">
        <v>801</v>
      </c>
      <c r="C81" s="238"/>
    </row>
    <row r="82" spans="2:3">
      <c r="B82" s="273" t="s">
        <v>802</v>
      </c>
      <c r="C82" s="275">
        <f ca="1">1-C83</f>
        <v>0.26300000000000001</v>
      </c>
    </row>
    <row r="83" spans="2:3">
      <c r="B83" s="273" t="s">
        <v>803</v>
      </c>
      <c r="C83" s="274">
        <f ca="1">ROUND(C13/C40,3)</f>
        <v>0.73699999999999999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3358</v>
      </c>
      <c r="E2" s="3444"/>
      <c r="F2" s="2846"/>
      <c r="G2" s="2847"/>
      <c r="H2" s="2848"/>
      <c r="I2" s="2849"/>
      <c r="J2" s="3696" t="s">
        <v>2317</v>
      </c>
      <c r="K2" s="3697"/>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98" t="s">
        <v>2327</v>
      </c>
      <c r="K3" s="3699"/>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98" t="s">
        <v>2329</v>
      </c>
      <c r="K4" s="3699"/>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700" t="s">
        <v>2333</v>
      </c>
      <c r="B6" s="3701"/>
      <c r="C6" s="3702"/>
      <c r="D6" s="2870"/>
      <c r="E6" s="2871"/>
      <c r="F6" s="2872"/>
      <c r="G6" s="2873"/>
      <c r="H6" s="2848"/>
      <c r="I6" s="2849"/>
      <c r="J6" s="3703">
        <v>1</v>
      </c>
      <c r="K6" s="3704"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703"/>
      <c r="K7" s="3705"/>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707" t="s">
        <v>2347</v>
      </c>
      <c r="C8" s="3708"/>
      <c r="D8" s="2889" t="s">
        <v>2348</v>
      </c>
      <c r="E8" s="2890" t="s">
        <v>2349</v>
      </c>
      <c r="F8" s="2891" t="s">
        <v>2350</v>
      </c>
      <c r="G8" s="2892"/>
      <c r="H8" s="2848"/>
      <c r="I8" s="2849"/>
      <c r="J8" s="3703"/>
      <c r="K8" s="3705"/>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707" t="s">
        <v>2353</v>
      </c>
      <c r="C9" s="3708"/>
      <c r="D9" s="2889">
        <f>ROUND(D6*E9,0)</f>
        <v>0</v>
      </c>
      <c r="E9" s="2893"/>
      <c r="F9" s="2894" t="s">
        <v>2354</v>
      </c>
      <c r="G9" s="2873"/>
      <c r="H9" s="2848"/>
      <c r="I9" s="2849"/>
      <c r="J9" s="3703"/>
      <c r="K9" s="3705"/>
      <c r="L9" s="2883" t="s">
        <v>2355</v>
      </c>
      <c r="M9" s="2884"/>
      <c r="N9" s="2860"/>
      <c r="O9" s="2885"/>
      <c r="P9" s="2885"/>
      <c r="Q9" s="2886">
        <v>365</v>
      </c>
      <c r="R9" s="2887">
        <f t="shared" si="0"/>
        <v>0</v>
      </c>
      <c r="S9" s="2841"/>
      <c r="T9" s="2841"/>
      <c r="U9" s="2841"/>
      <c r="V9" s="2849"/>
    </row>
    <row r="10" spans="1:22" s="2853" customFormat="1" ht="13.15" customHeight="1">
      <c r="A10" s="2888">
        <v>2</v>
      </c>
      <c r="B10" s="3707" t="s">
        <v>2356</v>
      </c>
      <c r="C10" s="3708"/>
      <c r="D10" s="2889">
        <f>ROUND(D6*E10,0)</f>
        <v>0</v>
      </c>
      <c r="E10" s="2893"/>
      <c r="F10" s="2894" t="s">
        <v>2357</v>
      </c>
      <c r="G10" s="2873"/>
      <c r="H10" s="2848"/>
      <c r="I10" s="2849"/>
      <c r="J10" s="3703"/>
      <c r="K10" s="3705"/>
      <c r="L10" s="2883" t="s">
        <v>2358</v>
      </c>
      <c r="M10" s="2884"/>
      <c r="N10" s="2860"/>
      <c r="O10" s="2885"/>
      <c r="P10" s="2885"/>
      <c r="Q10" s="2886">
        <v>365</v>
      </c>
      <c r="R10" s="2887">
        <f t="shared" si="0"/>
        <v>0</v>
      </c>
      <c r="S10" s="2841"/>
      <c r="T10" s="2841"/>
      <c r="U10" s="2841"/>
      <c r="V10" s="2849"/>
    </row>
    <row r="11" spans="1:22" s="2853" customFormat="1" ht="13.15" customHeight="1">
      <c r="A11" s="2888">
        <v>3</v>
      </c>
      <c r="B11" s="3707" t="s">
        <v>2359</v>
      </c>
      <c r="C11" s="3708"/>
      <c r="D11" s="2889">
        <f>D12+D14+D15+D16</f>
        <v>0</v>
      </c>
      <c r="E11" s="2895" t="e">
        <f>D11/D6</f>
        <v>#DIV/0!</v>
      </c>
      <c r="F11" s="2891"/>
      <c r="G11" s="2892"/>
      <c r="H11" s="2848"/>
      <c r="I11" s="2849"/>
      <c r="J11" s="3703"/>
      <c r="K11" s="3705"/>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709" t="s">
        <v>2362</v>
      </c>
      <c r="C12" s="3710"/>
      <c r="D12" s="2897">
        <f>ROUND(D13*1.2%*(1-30%),0)</f>
        <v>0</v>
      </c>
      <c r="E12" s="2898">
        <v>1.2E-2</v>
      </c>
      <c r="F12" s="2891" t="s">
        <v>2363</v>
      </c>
      <c r="G12" s="2892"/>
      <c r="H12" s="2848"/>
      <c r="I12" s="2849"/>
      <c r="J12" s="3703"/>
      <c r="K12" s="3705"/>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703"/>
      <c r="K13" s="3705"/>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709" t="s">
        <v>2368</v>
      </c>
      <c r="C14" s="3710"/>
      <c r="D14" s="2897">
        <f>ROUND(E14*B5/10000,0)</f>
        <v>0</v>
      </c>
      <c r="E14" s="2886"/>
      <c r="F14" s="2891" t="s">
        <v>2369</v>
      </c>
      <c r="G14" s="2892"/>
      <c r="H14" s="2848"/>
      <c r="I14" s="2849"/>
      <c r="J14" s="3703"/>
      <c r="K14" s="3706"/>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709" t="s">
        <v>2372</v>
      </c>
      <c r="C15" s="3710"/>
      <c r="D15" s="2897">
        <f>ROUND(D6*E15,0)</f>
        <v>0</v>
      </c>
      <c r="E15" s="2898">
        <v>5.5E-2</v>
      </c>
      <c r="F15" s="2891" t="s">
        <v>2373</v>
      </c>
      <c r="G15" s="2873"/>
      <c r="H15" s="2848"/>
      <c r="I15" s="2849"/>
      <c r="J15" s="3703">
        <v>2</v>
      </c>
      <c r="K15" s="3704"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709" t="s">
        <v>2381</v>
      </c>
      <c r="C16" s="3710"/>
      <c r="D16" s="2908">
        <f>D6*E16</f>
        <v>0</v>
      </c>
      <c r="E16" s="2909"/>
      <c r="F16" s="2894" t="s">
        <v>2382</v>
      </c>
      <c r="G16" s="2873"/>
      <c r="H16" s="2848"/>
      <c r="I16" s="2849"/>
      <c r="J16" s="3703"/>
      <c r="K16" s="3705"/>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711" t="s">
        <v>2384</v>
      </c>
      <c r="C17" s="3712"/>
      <c r="D17" s="2911">
        <f>ROUND(D6*E17,0)</f>
        <v>0</v>
      </c>
      <c r="E17" s="2912"/>
      <c r="F17" s="2913" t="s">
        <v>2385</v>
      </c>
      <c r="G17" s="2873"/>
      <c r="H17" s="2848"/>
      <c r="I17" s="2849"/>
      <c r="J17" s="3703"/>
      <c r="K17" s="3705"/>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703"/>
      <c r="K18" s="3705"/>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703"/>
      <c r="K19" s="3706"/>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3">
        <v>3</v>
      </c>
      <c r="K20" s="3704"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703"/>
      <c r="K21" s="3705"/>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703"/>
      <c r="K22" s="3705"/>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703"/>
      <c r="K23" s="3705"/>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703"/>
      <c r="K24" s="3706"/>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713">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71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96" t="s">
        <v>2317</v>
      </c>
      <c r="K32" s="3697"/>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98" t="s">
        <v>2327</v>
      </c>
      <c r="K33" s="3699"/>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98" t="s">
        <v>2329</v>
      </c>
      <c r="K34" s="369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703">
        <v>1</v>
      </c>
      <c r="K36" s="3704"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703"/>
      <c r="K37" s="3705"/>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3"/>
      <c r="K38" s="3705"/>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703"/>
      <c r="K39" s="3705"/>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703"/>
      <c r="K40" s="3706"/>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3">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71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875.35090000000002</v>
      </c>
      <c r="C2" s="1872" t="s">
        <v>1651</v>
      </c>
      <c r="D2" s="1873" t="s">
        <v>1652</v>
      </c>
      <c r="E2" s="2607">
        <f>SUM(E6:E13)</f>
        <v>1674.92</v>
      </c>
      <c r="F2" s="2707"/>
      <c r="G2" s="1489"/>
      <c r="H2" s="1489"/>
      <c r="I2" s="1489"/>
      <c r="J2" s="1489"/>
      <c r="K2" s="1489"/>
      <c r="L2" s="1489"/>
      <c r="M2" s="1489"/>
      <c r="N2" s="1489"/>
      <c r="O2" s="1489"/>
      <c r="P2" s="1489"/>
      <c r="Q2" s="1489"/>
      <c r="R2" s="1489"/>
      <c r="S2" s="1489"/>
    </row>
    <row r="3" spans="1:22" ht="15.75">
      <c r="A3" s="1870" t="s">
        <v>686</v>
      </c>
      <c r="B3" s="2601">
        <f ca="1">ROUND(B2*10000/E2,0)</f>
        <v>5226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15" t="s">
        <v>1654</v>
      </c>
      <c r="C5" s="371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875.35090000000002</v>
      </c>
      <c r="C6" s="1872" t="s">
        <v>1651</v>
      </c>
      <c r="D6" s="2709"/>
      <c r="E6" s="2606">
        <f>IF(OR(A6=0,F6="否"),0,'数据-取费表'!K6+'数据-取费表'!S6)</f>
        <v>1674.92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1674.92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35" t="s">
        <v>1667</v>
      </c>
      <c r="D4" s="3736"/>
      <c r="E4" s="3737" t="s">
        <v>1668</v>
      </c>
      <c r="F4" s="3738"/>
      <c r="G4" s="3735" t="s">
        <v>1669</v>
      </c>
      <c r="H4" s="3736"/>
      <c r="I4" s="3735" t="s">
        <v>1670</v>
      </c>
      <c r="J4" s="3736"/>
      <c r="K4" s="1889" t="s">
        <v>1671</v>
      </c>
      <c r="L4" s="2715"/>
      <c r="M4" s="2716"/>
      <c r="N4" s="2716"/>
      <c r="O4" s="2716"/>
      <c r="P4" s="3739" t="s">
        <v>1672</v>
      </c>
      <c r="Q4" s="3740"/>
      <c r="R4" s="3722" t="s">
        <v>1668</v>
      </c>
      <c r="S4" s="3723"/>
      <c r="T4" s="3722" t="s">
        <v>1669</v>
      </c>
      <c r="U4" s="3723"/>
      <c r="V4" s="3747" t="s">
        <v>1670</v>
      </c>
      <c r="W4" s="3747"/>
      <c r="X4" s="1355"/>
      <c r="Y4" s="3722" t="s">
        <v>1672</v>
      </c>
      <c r="Z4" s="3723"/>
      <c r="AA4" s="3717" t="s">
        <v>1668</v>
      </c>
      <c r="AB4" s="3717" t="s">
        <v>1669</v>
      </c>
      <c r="AC4" s="3717" t="s">
        <v>1670</v>
      </c>
    </row>
    <row r="5" spans="1:29" ht="15">
      <c r="A5" s="358"/>
      <c r="B5" s="359"/>
      <c r="C5" s="3728" t="s">
        <v>1673</v>
      </c>
      <c r="D5" s="3729"/>
      <c r="E5" s="3726" t="s">
        <v>1674</v>
      </c>
      <c r="F5" s="3727"/>
      <c r="G5" s="3728" t="s">
        <v>1675</v>
      </c>
      <c r="H5" s="3729"/>
      <c r="I5" s="3728" t="s">
        <v>1676</v>
      </c>
      <c r="J5" s="3729"/>
      <c r="K5" s="1890"/>
      <c r="L5" s="2715"/>
      <c r="M5" s="2716"/>
      <c r="N5" s="2716"/>
      <c r="O5" s="2716"/>
      <c r="P5" s="3741"/>
      <c r="Q5" s="3742"/>
      <c r="R5" s="3724"/>
      <c r="S5" s="3725"/>
      <c r="T5" s="3724"/>
      <c r="U5" s="3725"/>
      <c r="V5" s="3747"/>
      <c r="W5" s="3747"/>
      <c r="X5" s="1355"/>
      <c r="Y5" s="3724"/>
      <c r="Z5" s="3725"/>
      <c r="AA5" s="3718"/>
      <c r="AB5" s="3718"/>
      <c r="AC5" s="3718"/>
    </row>
    <row r="6" spans="1:29" ht="15.75" thickBot="1">
      <c r="A6" s="360"/>
      <c r="B6" s="361"/>
      <c r="C6" s="3730" t="s">
        <v>1677</v>
      </c>
      <c r="D6" s="3731"/>
      <c r="E6" s="3732" t="s">
        <v>1677</v>
      </c>
      <c r="F6" s="3733"/>
      <c r="G6" s="3730" t="s">
        <v>1677</v>
      </c>
      <c r="H6" s="3731"/>
      <c r="I6" s="3730" t="s">
        <v>1677</v>
      </c>
      <c r="J6" s="3731"/>
      <c r="K6" s="1890" t="s">
        <v>1678</v>
      </c>
      <c r="L6" s="2715"/>
      <c r="M6" s="2716"/>
      <c r="N6" s="2716"/>
      <c r="O6" s="2716"/>
      <c r="P6" s="3743"/>
      <c r="Q6" s="3744"/>
      <c r="R6" s="3724"/>
      <c r="S6" s="3725"/>
      <c r="T6" s="3745"/>
      <c r="U6" s="3746"/>
      <c r="V6" s="3747"/>
      <c r="W6" s="3747"/>
      <c r="X6" s="1355"/>
      <c r="Y6" s="3745"/>
      <c r="Z6" s="3746"/>
      <c r="AA6" s="3719"/>
      <c r="AB6" s="3719"/>
      <c r="AC6" s="3719"/>
    </row>
    <row r="7" spans="1:29" s="108" customFormat="1" ht="15.75" thickBot="1">
      <c r="A7" s="362" t="s">
        <v>1679</v>
      </c>
      <c r="B7" s="363"/>
      <c r="C7" s="364">
        <f>'数据-取费表'!B2</f>
        <v>45891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0" t="s">
        <v>1680</v>
      </c>
      <c r="Q7" s="3748"/>
      <c r="R7" s="701" t="s">
        <v>20</v>
      </c>
      <c r="S7" s="702">
        <f t="shared" ref="S7:S15" si="0">F7</f>
        <v>0</v>
      </c>
      <c r="T7" s="701" t="s">
        <v>20</v>
      </c>
      <c r="U7" s="702">
        <f t="shared" ref="U7:U15" si="1">H7</f>
        <v>0</v>
      </c>
      <c r="V7" s="701" t="s">
        <v>20</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0" t="s">
        <v>1683</v>
      </c>
      <c r="Q8" s="3721"/>
      <c r="R8" s="701" t="s">
        <v>20</v>
      </c>
      <c r="S8" s="702">
        <f t="shared" si="0"/>
        <v>100</v>
      </c>
      <c r="T8" s="701" t="s">
        <v>20</v>
      </c>
      <c r="U8" s="702">
        <f t="shared" si="1"/>
        <v>100</v>
      </c>
      <c r="V8" s="701" t="s">
        <v>20</v>
      </c>
      <c r="W8" s="702">
        <f t="shared" si="2"/>
        <v>100</v>
      </c>
      <c r="X8" s="703"/>
      <c r="Y8" s="3720" t="s">
        <v>1683</v>
      </c>
      <c r="Z8" s="372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34" t="s">
        <v>1686</v>
      </c>
      <c r="Q9" s="1343" t="str">
        <f t="shared" ref="Q9:Q15" si="6">B9</f>
        <v>用途</v>
      </c>
      <c r="R9" s="701" t="s">
        <v>14</v>
      </c>
      <c r="S9" s="702">
        <f t="shared" si="0"/>
        <v>100</v>
      </c>
      <c r="T9" s="701" t="s">
        <v>14</v>
      </c>
      <c r="U9" s="702">
        <f t="shared" si="1"/>
        <v>100</v>
      </c>
      <c r="V9" s="701" t="s">
        <v>14</v>
      </c>
      <c r="W9" s="702">
        <f t="shared" si="2"/>
        <v>100</v>
      </c>
      <c r="X9" s="703"/>
      <c r="Y9" s="364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34"/>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34"/>
      <c r="Q11" s="1343" t="str">
        <f t="shared" si="6"/>
        <v>容积率</v>
      </c>
      <c r="R11" s="701" t="s">
        <v>18</v>
      </c>
      <c r="S11" s="702" t="e">
        <f t="shared" si="0"/>
        <v>#N/A</v>
      </c>
      <c r="T11" s="701" t="s">
        <v>18</v>
      </c>
      <c r="U11" s="702" t="e">
        <f t="shared" si="1"/>
        <v>#N/A</v>
      </c>
      <c r="V11" s="701" t="s">
        <v>18</v>
      </c>
      <c r="W11" s="702" t="e">
        <f t="shared" si="2"/>
        <v>#N/A</v>
      </c>
      <c r="X11" s="703"/>
      <c r="Y11" s="364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34"/>
      <c r="Q12" s="1343">
        <f t="shared" si="6"/>
        <v>111</v>
      </c>
      <c r="R12" s="701" t="s">
        <v>18</v>
      </c>
      <c r="S12" s="702">
        <f t="shared" si="0"/>
        <v>100</v>
      </c>
      <c r="T12" s="701" t="s">
        <v>18</v>
      </c>
      <c r="U12" s="702">
        <f t="shared" si="1"/>
        <v>100</v>
      </c>
      <c r="V12" s="701" t="s">
        <v>18</v>
      </c>
      <c r="W12" s="702">
        <f t="shared" si="2"/>
        <v>100</v>
      </c>
      <c r="X12" s="703"/>
      <c r="Y12" s="36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34"/>
      <c r="Q13" s="1343">
        <f t="shared" si="6"/>
        <v>111</v>
      </c>
      <c r="R13" s="701" t="s">
        <v>18</v>
      </c>
      <c r="S13" s="702">
        <f t="shared" si="0"/>
        <v>100</v>
      </c>
      <c r="T13" s="701" t="s">
        <v>18</v>
      </c>
      <c r="U13" s="702">
        <f t="shared" si="1"/>
        <v>100</v>
      </c>
      <c r="V13" s="701" t="s">
        <v>18</v>
      </c>
      <c r="W13" s="702">
        <f t="shared" si="2"/>
        <v>100</v>
      </c>
      <c r="X13" s="703"/>
      <c r="Y13" s="364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34"/>
      <c r="Q14" s="1343">
        <f t="shared" si="6"/>
        <v>111</v>
      </c>
      <c r="R14" s="701" t="s">
        <v>18</v>
      </c>
      <c r="S14" s="702">
        <f t="shared" si="0"/>
        <v>100</v>
      </c>
      <c r="T14" s="701" t="s">
        <v>18</v>
      </c>
      <c r="U14" s="702">
        <f t="shared" si="1"/>
        <v>100</v>
      </c>
      <c r="V14" s="701" t="s">
        <v>18</v>
      </c>
      <c r="W14" s="702">
        <f t="shared" si="2"/>
        <v>100</v>
      </c>
      <c r="X14" s="703"/>
      <c r="Y14" s="364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61" t="s">
        <v>1691</v>
      </c>
      <c r="Q15" s="1352" t="str">
        <f t="shared" si="6"/>
        <v>居住社区成熟度</v>
      </c>
      <c r="R15" s="705" t="s">
        <v>18</v>
      </c>
      <c r="S15" s="706">
        <f t="shared" si="0"/>
        <v>100</v>
      </c>
      <c r="T15" s="705" t="s">
        <v>18</v>
      </c>
      <c r="U15" s="706">
        <f t="shared" si="1"/>
        <v>100</v>
      </c>
      <c r="V15" s="705" t="s">
        <v>18</v>
      </c>
      <c r="W15" s="706">
        <f t="shared" si="2"/>
        <v>100</v>
      </c>
      <c r="X15" s="1355"/>
      <c r="Y15" s="375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62"/>
      <c r="Q16" s="1352"/>
      <c r="R16" s="705"/>
      <c r="S16" s="706"/>
      <c r="T16" s="705"/>
      <c r="U16" s="706"/>
      <c r="V16" s="705"/>
      <c r="W16" s="706"/>
      <c r="X16" s="1355"/>
      <c r="Y16" s="375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62"/>
      <c r="Q17" s="1352" t="str">
        <f>B17</f>
        <v>交通便捷度</v>
      </c>
      <c r="R17" s="705" t="s">
        <v>18</v>
      </c>
      <c r="S17" s="706">
        <f>F17</f>
        <v>100</v>
      </c>
      <c r="T17" s="705" t="s">
        <v>18</v>
      </c>
      <c r="U17" s="706">
        <f>H17</f>
        <v>100</v>
      </c>
      <c r="V17" s="705" t="s">
        <v>18</v>
      </c>
      <c r="W17" s="706">
        <f>J17</f>
        <v>100</v>
      </c>
      <c r="X17" s="1355"/>
      <c r="Y17" s="375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62"/>
      <c r="Q18" s="1352"/>
      <c r="R18" s="705"/>
      <c r="S18" s="706"/>
      <c r="T18" s="705"/>
      <c r="U18" s="706"/>
      <c r="V18" s="705"/>
      <c r="W18" s="706"/>
      <c r="X18" s="1355"/>
      <c r="Y18" s="375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62"/>
      <c r="Q19" s="1352" t="str">
        <f>B19</f>
        <v>公共配套设施</v>
      </c>
      <c r="R19" s="705" t="s">
        <v>18</v>
      </c>
      <c r="S19" s="706">
        <f>F19</f>
        <v>100</v>
      </c>
      <c r="T19" s="705" t="s">
        <v>18</v>
      </c>
      <c r="U19" s="706">
        <f>H19</f>
        <v>100</v>
      </c>
      <c r="V19" s="705" t="s">
        <v>18</v>
      </c>
      <c r="W19" s="706">
        <f>J19</f>
        <v>100</v>
      </c>
      <c r="X19" s="1355"/>
      <c r="Y19" s="375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62"/>
      <c r="Q20" s="1352"/>
      <c r="R20" s="705"/>
      <c r="S20" s="706"/>
      <c r="T20" s="705"/>
      <c r="U20" s="706"/>
      <c r="V20" s="705"/>
      <c r="W20" s="706"/>
      <c r="X20" s="1355"/>
      <c r="Y20" s="375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62"/>
      <c r="Q21" s="1352" t="str">
        <f>B21</f>
        <v>基础设施水平</v>
      </c>
      <c r="R21" s="705" t="s">
        <v>14</v>
      </c>
      <c r="S21" s="706">
        <f>F21</f>
        <v>100</v>
      </c>
      <c r="T21" s="705" t="s">
        <v>14</v>
      </c>
      <c r="U21" s="706">
        <f>H21</f>
        <v>100</v>
      </c>
      <c r="V21" s="705" t="s">
        <v>14</v>
      </c>
      <c r="W21" s="706">
        <f>J21</f>
        <v>100</v>
      </c>
      <c r="X21" s="1355"/>
      <c r="Y21" s="375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62"/>
      <c r="Q22" s="1352"/>
      <c r="R22" s="705"/>
      <c r="S22" s="706"/>
      <c r="T22" s="705"/>
      <c r="U22" s="706"/>
      <c r="V22" s="705"/>
      <c r="W22" s="706"/>
      <c r="X22" s="1355"/>
      <c r="Y22" s="375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62"/>
      <c r="Q23" s="1352" t="str">
        <f>B23</f>
        <v>自然及人文环境</v>
      </c>
      <c r="R23" s="705" t="s">
        <v>18</v>
      </c>
      <c r="S23" s="706">
        <f>F23</f>
        <v>100</v>
      </c>
      <c r="T23" s="705" t="s">
        <v>18</v>
      </c>
      <c r="U23" s="706">
        <f>H23</f>
        <v>100</v>
      </c>
      <c r="V23" s="705" t="s">
        <v>18</v>
      </c>
      <c r="W23" s="706">
        <f>J23</f>
        <v>100</v>
      </c>
      <c r="X23" s="1355"/>
      <c r="Y23" s="375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62"/>
      <c r="Q24" s="1352"/>
      <c r="R24" s="705"/>
      <c r="S24" s="706"/>
      <c r="T24" s="705"/>
      <c r="U24" s="706"/>
      <c r="V24" s="705"/>
      <c r="W24" s="706"/>
      <c r="X24" s="1355"/>
      <c r="Y24" s="375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6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5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62"/>
      <c r="Q26" s="1352" t="str">
        <f t="shared" si="11"/>
        <v>朝向</v>
      </c>
      <c r="R26" s="705" t="s">
        <v>18</v>
      </c>
      <c r="S26" s="706">
        <f t="shared" si="12"/>
        <v>100</v>
      </c>
      <c r="T26" s="705" t="s">
        <v>18</v>
      </c>
      <c r="U26" s="706">
        <f t="shared" si="13"/>
        <v>100</v>
      </c>
      <c r="V26" s="705" t="s">
        <v>18</v>
      </c>
      <c r="W26" s="706">
        <f t="shared" si="14"/>
        <v>100</v>
      </c>
      <c r="X26" s="1355"/>
      <c r="Y26" s="375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62"/>
      <c r="Q27" s="1343">
        <f t="shared" si="11"/>
        <v>111</v>
      </c>
      <c r="R27" s="701" t="s">
        <v>18</v>
      </c>
      <c r="S27" s="702">
        <f t="shared" si="12"/>
        <v>100</v>
      </c>
      <c r="T27" s="701" t="s">
        <v>18</v>
      </c>
      <c r="U27" s="702">
        <f t="shared" si="13"/>
        <v>100</v>
      </c>
      <c r="V27" s="701" t="s">
        <v>18</v>
      </c>
      <c r="W27" s="702">
        <f t="shared" si="14"/>
        <v>100</v>
      </c>
      <c r="X27" s="703"/>
      <c r="Y27" s="375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62"/>
      <c r="Q28" s="1352">
        <f t="shared" si="11"/>
        <v>111</v>
      </c>
      <c r="R28" s="705" t="s">
        <v>18</v>
      </c>
      <c r="S28" s="706">
        <f t="shared" si="12"/>
        <v>100</v>
      </c>
      <c r="T28" s="705" t="s">
        <v>18</v>
      </c>
      <c r="U28" s="706">
        <f t="shared" si="13"/>
        <v>100</v>
      </c>
      <c r="V28" s="705" t="s">
        <v>18</v>
      </c>
      <c r="W28" s="706">
        <f t="shared" si="14"/>
        <v>100</v>
      </c>
      <c r="X28" s="1355"/>
      <c r="Y28" s="375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62"/>
      <c r="Q29" s="1352">
        <f t="shared" si="11"/>
        <v>111</v>
      </c>
      <c r="R29" s="705" t="s">
        <v>18</v>
      </c>
      <c r="S29" s="706">
        <f t="shared" si="12"/>
        <v>100</v>
      </c>
      <c r="T29" s="705" t="s">
        <v>18</v>
      </c>
      <c r="U29" s="706">
        <f t="shared" si="13"/>
        <v>100</v>
      </c>
      <c r="V29" s="705" t="s">
        <v>18</v>
      </c>
      <c r="W29" s="706">
        <f t="shared" si="14"/>
        <v>100</v>
      </c>
      <c r="X29" s="1355"/>
      <c r="Y29" s="375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62"/>
      <c r="Q30" s="1352">
        <f t="shared" si="11"/>
        <v>111</v>
      </c>
      <c r="R30" s="705" t="s">
        <v>18</v>
      </c>
      <c r="S30" s="706">
        <f t="shared" si="12"/>
        <v>100</v>
      </c>
      <c r="T30" s="705" t="s">
        <v>18</v>
      </c>
      <c r="U30" s="706">
        <f t="shared" si="13"/>
        <v>100</v>
      </c>
      <c r="V30" s="705" t="s">
        <v>18</v>
      </c>
      <c r="W30" s="706">
        <f t="shared" si="14"/>
        <v>100</v>
      </c>
      <c r="X30" s="1355"/>
      <c r="Y30" s="375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62"/>
      <c r="Q31" s="1352">
        <f t="shared" si="11"/>
        <v>111</v>
      </c>
      <c r="R31" s="705" t="s">
        <v>18</v>
      </c>
      <c r="S31" s="706">
        <f t="shared" si="12"/>
        <v>100</v>
      </c>
      <c r="T31" s="705" t="s">
        <v>18</v>
      </c>
      <c r="U31" s="706">
        <f t="shared" si="13"/>
        <v>100</v>
      </c>
      <c r="V31" s="705" t="s">
        <v>18</v>
      </c>
      <c r="W31" s="706">
        <f t="shared" si="14"/>
        <v>100</v>
      </c>
      <c r="X31" s="1355"/>
      <c r="Y31" s="375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56" t="s">
        <v>1696</v>
      </c>
      <c r="Q32" s="1352" t="str">
        <f t="shared" si="11"/>
        <v>建筑类型</v>
      </c>
      <c r="R32" s="705" t="s">
        <v>18</v>
      </c>
      <c r="S32" s="706">
        <f t="shared" si="12"/>
        <v>100</v>
      </c>
      <c r="T32" s="705" t="s">
        <v>18</v>
      </c>
      <c r="U32" s="706">
        <f t="shared" si="13"/>
        <v>100</v>
      </c>
      <c r="V32" s="705" t="s">
        <v>18</v>
      </c>
      <c r="W32" s="706">
        <f t="shared" si="14"/>
        <v>100</v>
      </c>
      <c r="X32" s="1355"/>
      <c r="Y32" s="375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57"/>
      <c r="Q33" s="707" t="str">
        <f t="shared" si="11"/>
        <v>项目建筑规模</v>
      </c>
      <c r="R33" s="708" t="s">
        <v>18</v>
      </c>
      <c r="S33" s="709" t="e">
        <f t="shared" si="12"/>
        <v>#N/A</v>
      </c>
      <c r="T33" s="708" t="s">
        <v>18</v>
      </c>
      <c r="U33" s="709" t="e">
        <f t="shared" si="13"/>
        <v>#N/A</v>
      </c>
      <c r="V33" s="708" t="s">
        <v>18</v>
      </c>
      <c r="W33" s="709" t="e">
        <f t="shared" si="14"/>
        <v>#N/A</v>
      </c>
      <c r="X33" s="710"/>
      <c r="Y33" s="375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57"/>
      <c r="Q34" s="1352" t="str">
        <f t="shared" si="11"/>
        <v>建筑结构</v>
      </c>
      <c r="R34" s="705" t="s">
        <v>18</v>
      </c>
      <c r="S34" s="706">
        <f t="shared" si="12"/>
        <v>100</v>
      </c>
      <c r="T34" s="705" t="s">
        <v>18</v>
      </c>
      <c r="U34" s="706">
        <f t="shared" si="13"/>
        <v>100</v>
      </c>
      <c r="V34" s="705" t="s">
        <v>18</v>
      </c>
      <c r="W34" s="706">
        <f t="shared" si="14"/>
        <v>100</v>
      </c>
      <c r="X34" s="1355"/>
      <c r="Y34" s="375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57"/>
      <c r="Q35" s="1352" t="str">
        <f t="shared" si="11"/>
        <v>建筑品质</v>
      </c>
      <c r="R35" s="705" t="s">
        <v>18</v>
      </c>
      <c r="S35" s="706">
        <f t="shared" si="12"/>
        <v>100</v>
      </c>
      <c r="T35" s="705" t="s">
        <v>18</v>
      </c>
      <c r="U35" s="706">
        <f t="shared" si="13"/>
        <v>100</v>
      </c>
      <c r="V35" s="705" t="s">
        <v>18</v>
      </c>
      <c r="W35" s="706">
        <f t="shared" si="14"/>
        <v>100</v>
      </c>
      <c r="X35" s="1355"/>
      <c r="Y35" s="375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57"/>
      <c r="Q36" s="1352" t="str">
        <f t="shared" si="11"/>
        <v>公共部分装修</v>
      </c>
      <c r="R36" s="705" t="s">
        <v>18</v>
      </c>
      <c r="S36" s="706">
        <f t="shared" si="12"/>
        <v>100</v>
      </c>
      <c r="T36" s="705" t="s">
        <v>18</v>
      </c>
      <c r="U36" s="706">
        <f t="shared" si="13"/>
        <v>100</v>
      </c>
      <c r="V36" s="705" t="s">
        <v>18</v>
      </c>
      <c r="W36" s="706">
        <f t="shared" si="14"/>
        <v>100</v>
      </c>
      <c r="X36" s="1355"/>
      <c r="Y36" s="375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57"/>
      <c r="Q37" s="1343" t="str">
        <f t="shared" si="11"/>
        <v>成新度</v>
      </c>
      <c r="R37" s="701" t="s">
        <v>18</v>
      </c>
      <c r="S37" s="702" t="e">
        <f t="shared" si="12"/>
        <v>#N/A</v>
      </c>
      <c r="T37" s="701" t="s">
        <v>18</v>
      </c>
      <c r="U37" s="702" t="e">
        <f t="shared" si="13"/>
        <v>#N/A</v>
      </c>
      <c r="V37" s="701" t="s">
        <v>18</v>
      </c>
      <c r="W37" s="702" t="e">
        <f t="shared" si="14"/>
        <v>#N/A</v>
      </c>
      <c r="X37" s="703"/>
      <c r="Y37" s="375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57" t="s">
        <v>1696</v>
      </c>
      <c r="Q38" s="1352" t="str">
        <f t="shared" si="11"/>
        <v>物业管理</v>
      </c>
      <c r="R38" s="705" t="s">
        <v>18</v>
      </c>
      <c r="S38" s="706">
        <f t="shared" si="12"/>
        <v>100</v>
      </c>
      <c r="T38" s="705" t="s">
        <v>18</v>
      </c>
      <c r="U38" s="706">
        <f t="shared" si="13"/>
        <v>100</v>
      </c>
      <c r="V38" s="705" t="s">
        <v>18</v>
      </c>
      <c r="W38" s="706">
        <f t="shared" si="14"/>
        <v>100</v>
      </c>
      <c r="X38" s="1355"/>
      <c r="Y38" s="375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57"/>
      <c r="Q39" s="1352" t="str">
        <f t="shared" si="11"/>
        <v>市政基础设施</v>
      </c>
      <c r="R39" s="705" t="s">
        <v>18</v>
      </c>
      <c r="S39" s="706">
        <f t="shared" si="12"/>
        <v>100</v>
      </c>
      <c r="T39" s="705" t="s">
        <v>18</v>
      </c>
      <c r="U39" s="706">
        <f t="shared" si="13"/>
        <v>100</v>
      </c>
      <c r="V39" s="705" t="s">
        <v>18</v>
      </c>
      <c r="W39" s="706">
        <f t="shared" si="14"/>
        <v>100</v>
      </c>
      <c r="X39" s="1355"/>
      <c r="Y39" s="375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57"/>
      <c r="Q40" s="1352" t="str">
        <f t="shared" si="11"/>
        <v>房型</v>
      </c>
      <c r="R40" s="705" t="s">
        <v>18</v>
      </c>
      <c r="S40" s="706">
        <f t="shared" si="12"/>
        <v>100</v>
      </c>
      <c r="T40" s="705" t="s">
        <v>18</v>
      </c>
      <c r="U40" s="706">
        <f t="shared" si="13"/>
        <v>100</v>
      </c>
      <c r="V40" s="705" t="s">
        <v>18</v>
      </c>
      <c r="W40" s="706">
        <f t="shared" si="14"/>
        <v>100</v>
      </c>
      <c r="X40" s="1355"/>
      <c r="Y40" s="375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57"/>
      <c r="Q41" s="707" t="str">
        <f t="shared" si="11"/>
        <v>单套/主力户型建筑面积</v>
      </c>
      <c r="R41" s="708" t="s">
        <v>18</v>
      </c>
      <c r="S41" s="709">
        <f t="shared" si="12"/>
        <v>100</v>
      </c>
      <c r="T41" s="708" t="s">
        <v>18</v>
      </c>
      <c r="U41" s="709">
        <f t="shared" si="13"/>
        <v>100</v>
      </c>
      <c r="V41" s="708" t="s">
        <v>18</v>
      </c>
      <c r="W41" s="709">
        <f t="shared" si="14"/>
        <v>100</v>
      </c>
      <c r="X41" s="710"/>
      <c r="Y41" s="375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57"/>
      <c r="Q42" s="1352" t="str">
        <f t="shared" si="11"/>
        <v>内部装修</v>
      </c>
      <c r="R42" s="705" t="s">
        <v>18</v>
      </c>
      <c r="S42" s="706">
        <f t="shared" si="12"/>
        <v>100</v>
      </c>
      <c r="T42" s="705" t="s">
        <v>18</v>
      </c>
      <c r="U42" s="706">
        <f t="shared" si="13"/>
        <v>100</v>
      </c>
      <c r="V42" s="705" t="s">
        <v>18</v>
      </c>
      <c r="W42" s="706">
        <f t="shared" si="14"/>
        <v>100</v>
      </c>
      <c r="X42" s="1355"/>
      <c r="Y42" s="375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57"/>
      <c r="Q43" s="1352" t="str">
        <f t="shared" si="11"/>
        <v>内部装修维护情况</v>
      </c>
      <c r="R43" s="705" t="s">
        <v>18</v>
      </c>
      <c r="S43" s="706">
        <f t="shared" si="12"/>
        <v>100</v>
      </c>
      <c r="T43" s="705" t="s">
        <v>18</v>
      </c>
      <c r="U43" s="706">
        <f t="shared" si="13"/>
        <v>100</v>
      </c>
      <c r="V43" s="705" t="s">
        <v>18</v>
      </c>
      <c r="W43" s="706">
        <f t="shared" si="14"/>
        <v>100</v>
      </c>
      <c r="X43" s="1355"/>
      <c r="Y43" s="375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57"/>
      <c r="Q44" s="1343">
        <f t="shared" si="11"/>
        <v>111</v>
      </c>
      <c r="R44" s="701" t="s">
        <v>18</v>
      </c>
      <c r="S44" s="702">
        <f t="shared" si="12"/>
        <v>100</v>
      </c>
      <c r="T44" s="701" t="s">
        <v>18</v>
      </c>
      <c r="U44" s="702">
        <f t="shared" si="13"/>
        <v>100</v>
      </c>
      <c r="V44" s="701" t="s">
        <v>18</v>
      </c>
      <c r="W44" s="702">
        <f t="shared" si="14"/>
        <v>100</v>
      </c>
      <c r="X44" s="703"/>
      <c r="Y44" s="375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57"/>
      <c r="Q45" s="1352">
        <f t="shared" si="11"/>
        <v>111</v>
      </c>
      <c r="R45" s="705" t="s">
        <v>18</v>
      </c>
      <c r="S45" s="706">
        <f t="shared" si="12"/>
        <v>100</v>
      </c>
      <c r="T45" s="705" t="s">
        <v>18</v>
      </c>
      <c r="U45" s="706">
        <f t="shared" si="13"/>
        <v>100</v>
      </c>
      <c r="V45" s="705" t="s">
        <v>18</v>
      </c>
      <c r="W45" s="706">
        <f t="shared" si="14"/>
        <v>100</v>
      </c>
      <c r="X45" s="1355"/>
      <c r="Y45" s="375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58"/>
      <c r="Q46" s="1352">
        <f t="shared" si="11"/>
        <v>111</v>
      </c>
      <c r="R46" s="705" t="s">
        <v>17</v>
      </c>
      <c r="S46" s="706">
        <f t="shared" si="12"/>
        <v>100</v>
      </c>
      <c r="T46" s="705" t="s">
        <v>17</v>
      </c>
      <c r="U46" s="706">
        <f t="shared" si="13"/>
        <v>100</v>
      </c>
      <c r="V46" s="705" t="s">
        <v>17</v>
      </c>
      <c r="W46" s="706">
        <f t="shared" si="14"/>
        <v>100</v>
      </c>
      <c r="X46" s="1355"/>
      <c r="Y46" s="376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52" t="str">
        <f>A47</f>
        <v>成交单价（元/平方米）</v>
      </c>
      <c r="Q47" s="3752"/>
      <c r="R47" s="3753">
        <f>E47</f>
        <v>0</v>
      </c>
      <c r="S47" s="3753"/>
      <c r="T47" s="3753">
        <f>G47</f>
        <v>0</v>
      </c>
      <c r="U47" s="3753"/>
      <c r="V47" s="3753">
        <f>I47</f>
        <v>0</v>
      </c>
      <c r="W47" s="375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52" t="str">
        <f>A48</f>
        <v>比较价值（元/平方米）</v>
      </c>
      <c r="Q48" s="3752"/>
      <c r="R48" s="3753" t="e">
        <f>IF(F1="售价",ROUND(PRODUCT(R47,AA7:AA46),0),ROUND(PRODUCT(R47,AA7:AA46),1))</f>
        <v>#DIV/0!</v>
      </c>
      <c r="S48" s="3753"/>
      <c r="T48" s="3753" t="e">
        <f>IF(F1="售价",ROUND(PRODUCT(T47,AB7:AB46),0),ROUND(PRODUCT(T47,AB7:AB46),1))</f>
        <v>#DIV/0!</v>
      </c>
      <c r="U48" s="3753"/>
      <c r="V48" s="3753" t="e">
        <f>IF(F1="售价",ROUND(PRODUCT(V47,AC7:AC46),0),ROUND(PRODUCT(V47,AC7:AC46),1))</f>
        <v>#DIV/0!</v>
      </c>
      <c r="W48" s="375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49" t="str">
        <f>A49</f>
        <v>估价对象XX用房的比较价值（楼面单价，元/平方米）</v>
      </c>
      <c r="Q49" s="3750"/>
      <c r="R49" s="3751" t="e">
        <f>IF(F1="售价",ROUND(IF(D48="简单平均",AVERAGE(R48:V48),R48*F48+T48*H48+V48*J48),0),ROUND(IF(D48="简单平均",AVERAGE(R48:V48),R48*F48+T48*H48+V48*J48),1))</f>
        <v>#DIV/0!</v>
      </c>
      <c r="S49" s="3751"/>
      <c r="T49" s="3751"/>
      <c r="U49" s="3751"/>
      <c r="V49" s="3751"/>
      <c r="W49" s="375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2025-8</v>
      </c>
      <c r="D58" s="1185">
        <f>EDATE(C58,-1)</f>
        <v>45839</v>
      </c>
      <c r="E58" s="1185">
        <f>EDATE(D58,-1)</f>
        <v>45809</v>
      </c>
      <c r="F58" s="1185">
        <f t="shared" ref="F58:O58" si="19">EDATE(E58,-1)</f>
        <v>45778</v>
      </c>
      <c r="G58" s="1185">
        <f t="shared" si="19"/>
        <v>45748</v>
      </c>
      <c r="H58" s="1185">
        <f t="shared" si="19"/>
        <v>45717</v>
      </c>
      <c r="I58" s="1185">
        <f t="shared" si="19"/>
        <v>45689</v>
      </c>
      <c r="J58" s="1185">
        <f t="shared" si="19"/>
        <v>45658</v>
      </c>
      <c r="K58" s="1185">
        <f t="shared" si="19"/>
        <v>45627</v>
      </c>
      <c r="L58" s="1185">
        <f t="shared" si="19"/>
        <v>45597</v>
      </c>
      <c r="M58" s="1185">
        <f t="shared" si="19"/>
        <v>45566</v>
      </c>
      <c r="N58" s="1185">
        <f t="shared" si="19"/>
        <v>45536</v>
      </c>
      <c r="O58" s="1185">
        <f t="shared" si="19"/>
        <v>45505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1674.92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35" t="s">
        <v>1770</v>
      </c>
      <c r="D4" s="3736"/>
      <c r="E4" s="3737" t="s">
        <v>1771</v>
      </c>
      <c r="F4" s="3738"/>
      <c r="G4" s="3735" t="s">
        <v>1772</v>
      </c>
      <c r="H4" s="3736"/>
      <c r="I4" s="3735" t="s">
        <v>1773</v>
      </c>
      <c r="J4" s="3736"/>
      <c r="K4" s="559" t="s">
        <v>1774</v>
      </c>
      <c r="L4" s="2715"/>
      <c r="M4" s="2716"/>
      <c r="N4" s="2716"/>
      <c r="O4" s="2716"/>
      <c r="P4" s="3739" t="s">
        <v>1775</v>
      </c>
      <c r="Q4" s="3740"/>
      <c r="R4" s="3722" t="s">
        <v>1771</v>
      </c>
      <c r="S4" s="3723"/>
      <c r="T4" s="3722" t="s">
        <v>1772</v>
      </c>
      <c r="U4" s="3723"/>
      <c r="V4" s="3747" t="s">
        <v>1773</v>
      </c>
      <c r="W4" s="3747"/>
      <c r="X4" s="1355"/>
      <c r="Y4" s="3722" t="s">
        <v>1775</v>
      </c>
      <c r="Z4" s="3723"/>
      <c r="AA4" s="3717" t="s">
        <v>1771</v>
      </c>
      <c r="AB4" s="3747" t="s">
        <v>1772</v>
      </c>
      <c r="AC4" s="3717" t="s">
        <v>1773</v>
      </c>
    </row>
    <row r="5" spans="1:29" ht="15">
      <c r="A5" s="358"/>
      <c r="B5" s="359"/>
      <c r="C5" s="3728" t="s">
        <v>1673</v>
      </c>
      <c r="D5" s="3729"/>
      <c r="E5" s="3726" t="s">
        <v>1674</v>
      </c>
      <c r="F5" s="3727"/>
      <c r="G5" s="3728" t="s">
        <v>1675</v>
      </c>
      <c r="H5" s="3729"/>
      <c r="I5" s="3728" t="s">
        <v>1676</v>
      </c>
      <c r="J5" s="3729"/>
      <c r="K5" s="559"/>
      <c r="L5" s="2715"/>
      <c r="M5" s="2716"/>
      <c r="N5" s="2716"/>
      <c r="O5" s="2716"/>
      <c r="P5" s="3741"/>
      <c r="Q5" s="3742"/>
      <c r="R5" s="3724"/>
      <c r="S5" s="3725"/>
      <c r="T5" s="3724"/>
      <c r="U5" s="3725"/>
      <c r="V5" s="3747"/>
      <c r="W5" s="3747"/>
      <c r="X5" s="1355"/>
      <c r="Y5" s="3724"/>
      <c r="Z5" s="3725"/>
      <c r="AA5" s="3718"/>
      <c r="AB5" s="3747"/>
      <c r="AC5" s="3718"/>
    </row>
    <row r="6" spans="1:29" ht="15.75" thickBot="1">
      <c r="A6" s="360"/>
      <c r="B6" s="361"/>
      <c r="C6" s="3730" t="s">
        <v>1677</v>
      </c>
      <c r="D6" s="3731"/>
      <c r="E6" s="3732" t="s">
        <v>1677</v>
      </c>
      <c r="F6" s="3733"/>
      <c r="G6" s="3730" t="s">
        <v>1677</v>
      </c>
      <c r="H6" s="3731"/>
      <c r="I6" s="3730" t="s">
        <v>1677</v>
      </c>
      <c r="J6" s="3731"/>
      <c r="K6" s="559" t="s">
        <v>1678</v>
      </c>
      <c r="L6" s="2715"/>
      <c r="M6" s="2716"/>
      <c r="N6" s="2716"/>
      <c r="O6" s="2716"/>
      <c r="P6" s="3743"/>
      <c r="Q6" s="3744"/>
      <c r="R6" s="3724"/>
      <c r="S6" s="3725"/>
      <c r="T6" s="3745"/>
      <c r="U6" s="3746"/>
      <c r="V6" s="3747"/>
      <c r="W6" s="3747"/>
      <c r="X6" s="1355"/>
      <c r="Y6" s="3745"/>
      <c r="Z6" s="3746"/>
      <c r="AA6" s="3719"/>
      <c r="AB6" s="3747"/>
      <c r="AC6" s="3719"/>
    </row>
    <row r="7" spans="1:29" s="108" customFormat="1" ht="15.75" thickBot="1">
      <c r="A7" s="362" t="s">
        <v>1679</v>
      </c>
      <c r="B7" s="363"/>
      <c r="C7" s="364">
        <f>'数据-取费表'!B2</f>
        <v>45891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0" t="s">
        <v>1680</v>
      </c>
      <c r="Q7" s="3748"/>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0" t="s">
        <v>1683</v>
      </c>
      <c r="Q8" s="3721"/>
      <c r="R8" s="701" t="s">
        <v>14</v>
      </c>
      <c r="S8" s="702">
        <f t="shared" si="0"/>
        <v>100</v>
      </c>
      <c r="T8" s="701" t="s">
        <v>14</v>
      </c>
      <c r="U8" s="702">
        <f t="shared" si="1"/>
        <v>100</v>
      </c>
      <c r="V8" s="701" t="s">
        <v>14</v>
      </c>
      <c r="W8" s="702">
        <f t="shared" si="2"/>
        <v>100</v>
      </c>
      <c r="X8" s="703"/>
      <c r="Y8" s="3720" t="s">
        <v>1683</v>
      </c>
      <c r="Z8" s="372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34" t="s">
        <v>1686</v>
      </c>
      <c r="Q9" s="1343" t="str">
        <f t="shared" ref="Q9:Q15" si="6">B9</f>
        <v>用途</v>
      </c>
      <c r="R9" s="701" t="s">
        <v>14</v>
      </c>
      <c r="S9" s="702">
        <f t="shared" si="0"/>
        <v>100</v>
      </c>
      <c r="T9" s="701" t="s">
        <v>14</v>
      </c>
      <c r="U9" s="702">
        <f t="shared" si="1"/>
        <v>100</v>
      </c>
      <c r="V9" s="701" t="s">
        <v>14</v>
      </c>
      <c r="W9" s="702">
        <f t="shared" si="2"/>
        <v>100</v>
      </c>
      <c r="X9" s="703"/>
      <c r="Y9" s="364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34"/>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34"/>
      <c r="Q11" s="1343" t="str">
        <f t="shared" si="6"/>
        <v>容积率</v>
      </c>
      <c r="R11" s="701" t="s">
        <v>14</v>
      </c>
      <c r="S11" s="702" t="e">
        <f t="shared" si="0"/>
        <v>#N/A</v>
      </c>
      <c r="T11" s="701" t="s">
        <v>14</v>
      </c>
      <c r="U11" s="702" t="e">
        <f t="shared" si="1"/>
        <v>#N/A</v>
      </c>
      <c r="V11" s="701" t="s">
        <v>14</v>
      </c>
      <c r="W11" s="702" t="e">
        <f t="shared" si="2"/>
        <v>#N/A</v>
      </c>
      <c r="X11" s="703"/>
      <c r="Y11" s="364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34"/>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34"/>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34"/>
      <c r="Q14" s="1343">
        <f t="shared" si="6"/>
        <v>111</v>
      </c>
      <c r="R14" s="701" t="s">
        <v>14</v>
      </c>
      <c r="S14" s="702">
        <f t="shared" si="0"/>
        <v>100</v>
      </c>
      <c r="T14" s="701" t="s">
        <v>14</v>
      </c>
      <c r="U14" s="702">
        <f t="shared" si="1"/>
        <v>100</v>
      </c>
      <c r="V14" s="701" t="s">
        <v>14</v>
      </c>
      <c r="W14" s="702">
        <f t="shared" si="2"/>
        <v>100</v>
      </c>
      <c r="X14" s="703"/>
      <c r="Y14" s="364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61" t="s">
        <v>1691</v>
      </c>
      <c r="Q15" s="1352" t="str">
        <f t="shared" si="6"/>
        <v>商业繁华度</v>
      </c>
      <c r="R15" s="705" t="s">
        <v>14</v>
      </c>
      <c r="S15" s="706">
        <f t="shared" si="0"/>
        <v>100</v>
      </c>
      <c r="T15" s="705" t="s">
        <v>14</v>
      </c>
      <c r="U15" s="706">
        <f t="shared" si="1"/>
        <v>100</v>
      </c>
      <c r="V15" s="705" t="s">
        <v>14</v>
      </c>
      <c r="W15" s="706">
        <f t="shared" si="2"/>
        <v>100</v>
      </c>
      <c r="X15" s="1355"/>
      <c r="Y15" s="375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62"/>
      <c r="Q16" s="1352"/>
      <c r="R16" s="705"/>
      <c r="S16" s="706"/>
      <c r="T16" s="705"/>
      <c r="U16" s="706"/>
      <c r="V16" s="705"/>
      <c r="W16" s="706"/>
      <c r="X16" s="1355"/>
      <c r="Y16" s="375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62"/>
      <c r="Q17" s="1352" t="str">
        <f>B17</f>
        <v>交通便捷度</v>
      </c>
      <c r="R17" s="705" t="s">
        <v>14</v>
      </c>
      <c r="S17" s="706">
        <f>F17</f>
        <v>100</v>
      </c>
      <c r="T17" s="705" t="s">
        <v>14</v>
      </c>
      <c r="U17" s="706">
        <f>H17</f>
        <v>100</v>
      </c>
      <c r="V17" s="705" t="s">
        <v>14</v>
      </c>
      <c r="W17" s="706">
        <f>J17</f>
        <v>100</v>
      </c>
      <c r="X17" s="1355"/>
      <c r="Y17" s="375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62"/>
      <c r="Q18" s="1352"/>
      <c r="R18" s="705"/>
      <c r="S18" s="706"/>
      <c r="T18" s="705"/>
      <c r="U18" s="706"/>
      <c r="V18" s="705"/>
      <c r="W18" s="706"/>
      <c r="X18" s="1355"/>
      <c r="Y18" s="375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62"/>
      <c r="Q19" s="1352" t="str">
        <f>B19</f>
        <v>公共配套设施</v>
      </c>
      <c r="R19" s="705" t="s">
        <v>14</v>
      </c>
      <c r="S19" s="706">
        <f>F19</f>
        <v>100</v>
      </c>
      <c r="T19" s="705" t="s">
        <v>14</v>
      </c>
      <c r="U19" s="706">
        <f>H19</f>
        <v>100</v>
      </c>
      <c r="V19" s="705" t="s">
        <v>14</v>
      </c>
      <c r="W19" s="706">
        <f>J19</f>
        <v>100</v>
      </c>
      <c r="X19" s="1355"/>
      <c r="Y19" s="375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62"/>
      <c r="Q20" s="1352"/>
      <c r="R20" s="705"/>
      <c r="S20" s="706"/>
      <c r="T20" s="705"/>
      <c r="U20" s="706"/>
      <c r="V20" s="705"/>
      <c r="W20" s="706"/>
      <c r="X20" s="1355"/>
      <c r="Y20" s="375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62"/>
      <c r="Q21" s="1352" t="str">
        <f>B21</f>
        <v>基础设施水平</v>
      </c>
      <c r="R21" s="705" t="s">
        <v>14</v>
      </c>
      <c r="S21" s="706">
        <f>F21</f>
        <v>100</v>
      </c>
      <c r="T21" s="705" t="s">
        <v>14</v>
      </c>
      <c r="U21" s="706">
        <f>H21</f>
        <v>100</v>
      </c>
      <c r="V21" s="705" t="s">
        <v>14</v>
      </c>
      <c r="W21" s="706">
        <f>J21</f>
        <v>100</v>
      </c>
      <c r="X21" s="1355"/>
      <c r="Y21" s="375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62"/>
      <c r="Q22" s="1352"/>
      <c r="R22" s="705"/>
      <c r="S22" s="706"/>
      <c r="T22" s="705"/>
      <c r="U22" s="706"/>
      <c r="V22" s="705"/>
      <c r="W22" s="706"/>
      <c r="X22" s="1355"/>
      <c r="Y22" s="375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62"/>
      <c r="Q23" s="1352" t="str">
        <f>B23</f>
        <v>自然及人文环境</v>
      </c>
      <c r="R23" s="705" t="s">
        <v>14</v>
      </c>
      <c r="S23" s="706">
        <f>F23</f>
        <v>100</v>
      </c>
      <c r="T23" s="705" t="s">
        <v>14</v>
      </c>
      <c r="U23" s="706">
        <f>H23</f>
        <v>100</v>
      </c>
      <c r="V23" s="705" t="s">
        <v>14</v>
      </c>
      <c r="W23" s="706">
        <f>J23</f>
        <v>100</v>
      </c>
      <c r="X23" s="1355"/>
      <c r="Y23" s="375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62"/>
      <c r="Q24" s="1352"/>
      <c r="R24" s="705"/>
      <c r="S24" s="706"/>
      <c r="T24" s="705"/>
      <c r="U24" s="706"/>
      <c r="V24" s="705"/>
      <c r="W24" s="706"/>
      <c r="X24" s="1355"/>
      <c r="Y24" s="375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62"/>
      <c r="Q25" s="1352" t="str">
        <f t="shared" ref="Q25:Q46" si="11">B25</f>
        <v>临街状况</v>
      </c>
      <c r="R25" s="705" t="s">
        <v>14</v>
      </c>
      <c r="S25" s="706">
        <f>F25</f>
        <v>100</v>
      </c>
      <c r="T25" s="705" t="s">
        <v>14</v>
      </c>
      <c r="U25" s="706">
        <f>H25</f>
        <v>100</v>
      </c>
      <c r="V25" s="705" t="s">
        <v>14</v>
      </c>
      <c r="W25" s="706">
        <f>J25</f>
        <v>100</v>
      </c>
      <c r="X25" s="1355"/>
      <c r="Y25" s="375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62"/>
      <c r="Q26" s="1352" t="str">
        <f t="shared" si="11"/>
        <v>平面位置/可视性</v>
      </c>
      <c r="R26" s="705" t="s">
        <v>14</v>
      </c>
      <c r="S26" s="706">
        <f>F26</f>
        <v>100</v>
      </c>
      <c r="T26" s="705" t="s">
        <v>14</v>
      </c>
      <c r="U26" s="706">
        <f>H26</f>
        <v>100</v>
      </c>
      <c r="V26" s="705" t="s">
        <v>14</v>
      </c>
      <c r="W26" s="706">
        <f>J26</f>
        <v>100</v>
      </c>
      <c r="X26" s="1355"/>
      <c r="Y26" s="375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62"/>
      <c r="Q27" s="1343" t="str">
        <f t="shared" si="11"/>
        <v>人流量</v>
      </c>
      <c r="R27" s="701" t="s">
        <v>14</v>
      </c>
      <c r="S27" s="702">
        <f>F27</f>
        <v>100</v>
      </c>
      <c r="T27" s="701" t="s">
        <v>14</v>
      </c>
      <c r="U27" s="702">
        <f>H27</f>
        <v>100</v>
      </c>
      <c r="V27" s="701" t="s">
        <v>14</v>
      </c>
      <c r="W27" s="702">
        <f>J27</f>
        <v>100</v>
      </c>
      <c r="X27" s="703"/>
      <c r="Y27" s="375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6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5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62"/>
      <c r="Q29" s="1352">
        <f t="shared" si="11"/>
        <v>111</v>
      </c>
      <c r="R29" s="705" t="s">
        <v>14</v>
      </c>
      <c r="S29" s="706">
        <f t="shared" si="12"/>
        <v>100</v>
      </c>
      <c r="T29" s="705" t="s">
        <v>14</v>
      </c>
      <c r="U29" s="706">
        <f t="shared" si="13"/>
        <v>100</v>
      </c>
      <c r="V29" s="705" t="s">
        <v>14</v>
      </c>
      <c r="W29" s="706">
        <f t="shared" si="14"/>
        <v>100</v>
      </c>
      <c r="X29" s="1355"/>
      <c r="Y29" s="375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62"/>
      <c r="Q30" s="1352">
        <f t="shared" si="11"/>
        <v>111</v>
      </c>
      <c r="R30" s="705" t="s">
        <v>14</v>
      </c>
      <c r="S30" s="706">
        <f t="shared" si="12"/>
        <v>100</v>
      </c>
      <c r="T30" s="705" t="s">
        <v>14</v>
      </c>
      <c r="U30" s="706">
        <f t="shared" si="13"/>
        <v>100</v>
      </c>
      <c r="V30" s="705" t="s">
        <v>14</v>
      </c>
      <c r="W30" s="706">
        <f t="shared" si="14"/>
        <v>100</v>
      </c>
      <c r="X30" s="1355"/>
      <c r="Y30" s="375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62"/>
      <c r="Q31" s="1352">
        <f t="shared" si="11"/>
        <v>111</v>
      </c>
      <c r="R31" s="705" t="s">
        <v>14</v>
      </c>
      <c r="S31" s="706">
        <f t="shared" si="12"/>
        <v>100</v>
      </c>
      <c r="T31" s="705" t="s">
        <v>14</v>
      </c>
      <c r="U31" s="706">
        <f t="shared" si="13"/>
        <v>100</v>
      </c>
      <c r="V31" s="705" t="s">
        <v>14</v>
      </c>
      <c r="W31" s="706">
        <f t="shared" si="14"/>
        <v>100</v>
      </c>
      <c r="X31" s="1355"/>
      <c r="Y31" s="375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56" t="s">
        <v>1696</v>
      </c>
      <c r="Q32" s="1352" t="str">
        <f t="shared" si="11"/>
        <v>商业类型</v>
      </c>
      <c r="R32" s="705" t="s">
        <v>14</v>
      </c>
      <c r="S32" s="706">
        <f t="shared" si="12"/>
        <v>100</v>
      </c>
      <c r="T32" s="705" t="s">
        <v>14</v>
      </c>
      <c r="U32" s="706">
        <f t="shared" si="13"/>
        <v>100</v>
      </c>
      <c r="V32" s="705" t="s">
        <v>14</v>
      </c>
      <c r="W32" s="706">
        <f t="shared" si="14"/>
        <v>100</v>
      </c>
      <c r="X32" s="1355"/>
      <c r="Y32" s="375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57"/>
      <c r="Q33" s="707" t="str">
        <f t="shared" si="11"/>
        <v>项目建筑规模</v>
      </c>
      <c r="R33" s="708" t="s">
        <v>14</v>
      </c>
      <c r="S33" s="709" t="e">
        <f t="shared" si="12"/>
        <v>#N/A</v>
      </c>
      <c r="T33" s="708" t="s">
        <v>14</v>
      </c>
      <c r="U33" s="709" t="e">
        <f t="shared" si="13"/>
        <v>#N/A</v>
      </c>
      <c r="V33" s="708" t="s">
        <v>14</v>
      </c>
      <c r="W33" s="709" t="e">
        <f t="shared" si="14"/>
        <v>#N/A</v>
      </c>
      <c r="X33" s="710"/>
      <c r="Y33" s="375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57"/>
      <c r="Q34" s="1352" t="str">
        <f t="shared" si="11"/>
        <v>建筑结构</v>
      </c>
      <c r="R34" s="705" t="s">
        <v>14</v>
      </c>
      <c r="S34" s="706">
        <f t="shared" si="12"/>
        <v>100</v>
      </c>
      <c r="T34" s="705" t="s">
        <v>14</v>
      </c>
      <c r="U34" s="706">
        <f t="shared" si="13"/>
        <v>100</v>
      </c>
      <c r="V34" s="705" t="s">
        <v>14</v>
      </c>
      <c r="W34" s="706">
        <f t="shared" si="14"/>
        <v>100</v>
      </c>
      <c r="X34" s="1355"/>
      <c r="Y34" s="375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57"/>
      <c r="Q35" s="1352" t="str">
        <f t="shared" si="11"/>
        <v>公共部分装修</v>
      </c>
      <c r="R35" s="705" t="s">
        <v>14</v>
      </c>
      <c r="S35" s="706">
        <f t="shared" si="12"/>
        <v>100</v>
      </c>
      <c r="T35" s="705" t="s">
        <v>14</v>
      </c>
      <c r="U35" s="706">
        <f t="shared" si="13"/>
        <v>100</v>
      </c>
      <c r="V35" s="705" t="s">
        <v>14</v>
      </c>
      <c r="W35" s="706">
        <f t="shared" si="14"/>
        <v>100</v>
      </c>
      <c r="X35" s="1355"/>
      <c r="Y35" s="375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57"/>
      <c r="Q36" s="1352" t="str">
        <f t="shared" si="11"/>
        <v>成新度</v>
      </c>
      <c r="R36" s="705" t="s">
        <v>14</v>
      </c>
      <c r="S36" s="706" t="e">
        <f t="shared" si="12"/>
        <v>#N/A</v>
      </c>
      <c r="T36" s="705" t="s">
        <v>14</v>
      </c>
      <c r="U36" s="706" t="e">
        <f t="shared" si="13"/>
        <v>#N/A</v>
      </c>
      <c r="V36" s="705" t="s">
        <v>14</v>
      </c>
      <c r="W36" s="706" t="e">
        <f t="shared" si="14"/>
        <v>#N/A</v>
      </c>
      <c r="X36" s="1355"/>
      <c r="Y36" s="375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57"/>
      <c r="Q37" s="1343" t="str">
        <f t="shared" si="11"/>
        <v>市政基础设施</v>
      </c>
      <c r="R37" s="701" t="s">
        <v>14</v>
      </c>
      <c r="S37" s="702">
        <f t="shared" si="12"/>
        <v>100</v>
      </c>
      <c r="T37" s="701" t="s">
        <v>14</v>
      </c>
      <c r="U37" s="702">
        <f t="shared" si="13"/>
        <v>100</v>
      </c>
      <c r="V37" s="701" t="s">
        <v>14</v>
      </c>
      <c r="W37" s="702">
        <f t="shared" si="14"/>
        <v>100</v>
      </c>
      <c r="X37" s="703"/>
      <c r="Y37" s="375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57" t="s">
        <v>1696</v>
      </c>
      <c r="Q38" s="1352" t="str">
        <f t="shared" si="11"/>
        <v>业态</v>
      </c>
      <c r="R38" s="705" t="s">
        <v>14</v>
      </c>
      <c r="S38" s="706">
        <f t="shared" si="12"/>
        <v>100</v>
      </c>
      <c r="T38" s="705" t="s">
        <v>14</v>
      </c>
      <c r="U38" s="706">
        <f t="shared" si="13"/>
        <v>100</v>
      </c>
      <c r="V38" s="705" t="s">
        <v>14</v>
      </c>
      <c r="W38" s="706">
        <f t="shared" si="14"/>
        <v>100</v>
      </c>
      <c r="X38" s="1355"/>
      <c r="Y38" s="375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57"/>
      <c r="Q39" s="1352" t="str">
        <f t="shared" si="11"/>
        <v>层高</v>
      </c>
      <c r="R39" s="705" t="s">
        <v>14</v>
      </c>
      <c r="S39" s="706">
        <f t="shared" si="12"/>
        <v>100</v>
      </c>
      <c r="T39" s="705" t="s">
        <v>14</v>
      </c>
      <c r="U39" s="706">
        <f t="shared" si="13"/>
        <v>100</v>
      </c>
      <c r="V39" s="705" t="s">
        <v>14</v>
      </c>
      <c r="W39" s="706">
        <f t="shared" si="14"/>
        <v>100</v>
      </c>
      <c r="X39" s="1355"/>
      <c r="Y39" s="375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57"/>
      <c r="Q40" s="1352" t="str">
        <f t="shared" si="11"/>
        <v>单套建筑面积</v>
      </c>
      <c r="R40" s="705" t="s">
        <v>14</v>
      </c>
      <c r="S40" s="706">
        <f t="shared" si="12"/>
        <v>100</v>
      </c>
      <c r="T40" s="705" t="s">
        <v>14</v>
      </c>
      <c r="U40" s="706">
        <f t="shared" si="13"/>
        <v>100</v>
      </c>
      <c r="V40" s="705" t="s">
        <v>14</v>
      </c>
      <c r="W40" s="706">
        <f t="shared" si="14"/>
        <v>100</v>
      </c>
      <c r="X40" s="1355"/>
      <c r="Y40" s="375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57"/>
      <c r="Q41" s="707" t="str">
        <f t="shared" si="11"/>
        <v>进深比</v>
      </c>
      <c r="R41" s="708" t="s">
        <v>14</v>
      </c>
      <c r="S41" s="709">
        <f t="shared" si="12"/>
        <v>100</v>
      </c>
      <c r="T41" s="708" t="s">
        <v>14</v>
      </c>
      <c r="U41" s="709">
        <f t="shared" si="13"/>
        <v>100</v>
      </c>
      <c r="V41" s="708" t="s">
        <v>14</v>
      </c>
      <c r="W41" s="709">
        <f t="shared" si="14"/>
        <v>100</v>
      </c>
      <c r="X41" s="710"/>
      <c r="Y41" s="375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57"/>
      <c r="Q42" s="1352" t="str">
        <f t="shared" si="11"/>
        <v>内部装修</v>
      </c>
      <c r="R42" s="705" t="s">
        <v>14</v>
      </c>
      <c r="S42" s="706">
        <f t="shared" si="12"/>
        <v>100</v>
      </c>
      <c r="T42" s="705" t="s">
        <v>14</v>
      </c>
      <c r="U42" s="706">
        <f t="shared" si="13"/>
        <v>100</v>
      </c>
      <c r="V42" s="705" t="s">
        <v>14</v>
      </c>
      <c r="W42" s="706">
        <f t="shared" si="14"/>
        <v>100</v>
      </c>
      <c r="X42" s="1355"/>
      <c r="Y42" s="375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57"/>
      <c r="Q43" s="1352" t="str">
        <f t="shared" si="11"/>
        <v>内部装修维护情况</v>
      </c>
      <c r="R43" s="705" t="s">
        <v>14</v>
      </c>
      <c r="S43" s="706">
        <f t="shared" si="12"/>
        <v>100</v>
      </c>
      <c r="T43" s="705" t="s">
        <v>14</v>
      </c>
      <c r="U43" s="706">
        <f t="shared" si="13"/>
        <v>100</v>
      </c>
      <c r="V43" s="705" t="s">
        <v>14</v>
      </c>
      <c r="W43" s="706">
        <f t="shared" si="14"/>
        <v>100</v>
      </c>
      <c r="X43" s="1355"/>
      <c r="Y43" s="375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57"/>
      <c r="Q44" s="1343">
        <f t="shared" si="11"/>
        <v>111</v>
      </c>
      <c r="R44" s="701" t="s">
        <v>14</v>
      </c>
      <c r="S44" s="702">
        <f t="shared" si="12"/>
        <v>100</v>
      </c>
      <c r="T44" s="701" t="s">
        <v>14</v>
      </c>
      <c r="U44" s="702">
        <f t="shared" si="13"/>
        <v>100</v>
      </c>
      <c r="V44" s="701" t="s">
        <v>14</v>
      </c>
      <c r="W44" s="702">
        <f t="shared" si="14"/>
        <v>100</v>
      </c>
      <c r="X44" s="703"/>
      <c r="Y44" s="375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57"/>
      <c r="Q45" s="1352">
        <f t="shared" si="11"/>
        <v>111</v>
      </c>
      <c r="R45" s="705" t="s">
        <v>14</v>
      </c>
      <c r="S45" s="706">
        <f t="shared" si="12"/>
        <v>100</v>
      </c>
      <c r="T45" s="705" t="s">
        <v>14</v>
      </c>
      <c r="U45" s="706">
        <f t="shared" si="13"/>
        <v>100</v>
      </c>
      <c r="V45" s="705" t="s">
        <v>14</v>
      </c>
      <c r="W45" s="706">
        <f t="shared" si="14"/>
        <v>100</v>
      </c>
      <c r="X45" s="1355"/>
      <c r="Y45" s="375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58"/>
      <c r="Q46" s="1352">
        <f t="shared" si="11"/>
        <v>111</v>
      </c>
      <c r="R46" s="705" t="s">
        <v>14</v>
      </c>
      <c r="S46" s="706">
        <f t="shared" si="12"/>
        <v>100</v>
      </c>
      <c r="T46" s="705" t="s">
        <v>14</v>
      </c>
      <c r="U46" s="706">
        <f t="shared" si="13"/>
        <v>100</v>
      </c>
      <c r="V46" s="705" t="s">
        <v>14</v>
      </c>
      <c r="W46" s="706">
        <f t="shared" si="14"/>
        <v>100</v>
      </c>
      <c r="X46" s="1355"/>
      <c r="Y46" s="376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52" t="str">
        <f>A47</f>
        <v>成交单价（元/平方米）</v>
      </c>
      <c r="Q47" s="3752"/>
      <c r="R47" s="3747">
        <f>E47</f>
        <v>0</v>
      </c>
      <c r="S47" s="3747"/>
      <c r="T47" s="3747">
        <f>G47</f>
        <v>0</v>
      </c>
      <c r="U47" s="3747"/>
      <c r="V47" s="3747">
        <f>I47</f>
        <v>0</v>
      </c>
      <c r="W47" s="374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52" t="str">
        <f>A48</f>
        <v>比较价值（元/平方米）</v>
      </c>
      <c r="Q48" s="3752"/>
      <c r="R48" s="3753" t="e">
        <f>IF(F1="售价",ROUND(PRODUCT(R47,AA7:AA46),0),ROUND(PRODUCT(R47,AA7:AA46),1))</f>
        <v>#DIV/0!</v>
      </c>
      <c r="S48" s="3753"/>
      <c r="T48" s="3753" t="e">
        <f>IF(F1="售价",ROUND(PRODUCT(T47,AB7:AB46),0),ROUND(PRODUCT(T47,AB7:AB46),1))</f>
        <v>#DIV/0!</v>
      </c>
      <c r="U48" s="3753"/>
      <c r="V48" s="3753" t="e">
        <f>IF(F1="售价",ROUND(PRODUCT(V47,AC7:AC46),0),ROUND(PRODUCT(V47,AC7:AC46),1))</f>
        <v>#DIV/0!</v>
      </c>
      <c r="W48" s="375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49" t="str">
        <f>A49</f>
        <v>估价对象XX用房的比较价值（楼面单价，元/平方米）</v>
      </c>
      <c r="Q49" s="3750"/>
      <c r="R49" s="3751" t="e">
        <f>IF(F1="售价",ROUND(IF(D48="简单平均",AVERAGE(R48:V48),R48*F48+T48*H48+V48*J48),0),ROUND(IF(D48="简单平均",AVERAGE(R48:V48),R48*F48+T48*H48+V48*J48),1))</f>
        <v>#DIV/0!</v>
      </c>
      <c r="S49" s="3751"/>
      <c r="T49" s="3751"/>
      <c r="U49" s="3751"/>
      <c r="V49" s="3751"/>
      <c r="W49" s="375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2025-8</v>
      </c>
      <c r="D58" s="1185">
        <f>EDATE(C58,-1)</f>
        <v>45839</v>
      </c>
      <c r="E58" s="1185">
        <f t="shared" ref="E58:N58" si="16">EDATE(D58,-1)</f>
        <v>45809</v>
      </c>
      <c r="F58" s="1185">
        <f t="shared" si="16"/>
        <v>45778</v>
      </c>
      <c r="G58" s="1185">
        <f t="shared" si="16"/>
        <v>45748</v>
      </c>
      <c r="H58" s="1185">
        <f t="shared" si="16"/>
        <v>45717</v>
      </c>
      <c r="I58" s="1185">
        <f t="shared" si="16"/>
        <v>45689</v>
      </c>
      <c r="J58" s="1185">
        <f t="shared" si="16"/>
        <v>45658</v>
      </c>
      <c r="K58" s="1185">
        <f t="shared" si="16"/>
        <v>45627</v>
      </c>
      <c r="L58" s="1185">
        <f t="shared" si="16"/>
        <v>45597</v>
      </c>
      <c r="M58" s="1185">
        <f t="shared" si="16"/>
        <v>45566</v>
      </c>
      <c r="N58" s="1185">
        <f t="shared" si="16"/>
        <v>45536</v>
      </c>
      <c r="O58" s="1185">
        <f>EDATE(N58,-1)</f>
        <v>45505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受贵公司委托，我公司对北京市大兴区天水街16号院1号楼负1层地下仓储用房房地产抵押价值进行了预评估。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估价对象为北京市大兴区天水街16号院1号楼负1层地下仓储用房房地产，为所有。根据《国有土地使用证》[]，估价对象（分摊）出让国有建设用地使用权面积为0平方米，建筑面积为1674.92平方米。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天水街16号院1号楼负1层地下仓储用房房地产,属开发建设的居住项目，该项目尚在开发建设中。根据《国有土地使用证》[]，估价对象（分摊）出让国有建设用地使用权面积为0平方米，规划建筑面积为1674.92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大兴区天水街16号院1号楼负1层地下仓储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2025年8月22日（评估专业人员实地查勘之日）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1674.92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35" t="s">
        <v>1770</v>
      </c>
      <c r="D4" s="3736"/>
      <c r="E4" s="3737" t="s">
        <v>1771</v>
      </c>
      <c r="F4" s="3738"/>
      <c r="G4" s="3735" t="s">
        <v>1772</v>
      </c>
      <c r="H4" s="3736"/>
      <c r="I4" s="3735" t="s">
        <v>1773</v>
      </c>
      <c r="J4" s="3736"/>
      <c r="K4" s="559" t="s">
        <v>1774</v>
      </c>
      <c r="L4" s="2715"/>
      <c r="M4" s="2716"/>
      <c r="N4" s="2716"/>
      <c r="O4" s="2716"/>
      <c r="P4" s="3769" t="s">
        <v>1775</v>
      </c>
      <c r="Q4" s="3770"/>
      <c r="R4" s="3764" t="s">
        <v>1771</v>
      </c>
      <c r="S4" s="3765"/>
      <c r="T4" s="3764" t="s">
        <v>1772</v>
      </c>
      <c r="U4" s="3765"/>
      <c r="V4" s="3773" t="s">
        <v>1773</v>
      </c>
      <c r="W4" s="3773"/>
      <c r="X4" s="1958"/>
      <c r="Y4" s="3764" t="s">
        <v>1775</v>
      </c>
      <c r="Z4" s="3765"/>
      <c r="AA4" s="3763" t="s">
        <v>1771</v>
      </c>
      <c r="AB4" s="3763" t="s">
        <v>1772</v>
      </c>
      <c r="AC4" s="3766" t="s">
        <v>1773</v>
      </c>
    </row>
    <row r="5" spans="1:29" ht="15">
      <c r="A5" s="358"/>
      <c r="B5" s="359"/>
      <c r="C5" s="3728" t="s">
        <v>1673</v>
      </c>
      <c r="D5" s="3729"/>
      <c r="E5" s="3726" t="s">
        <v>1674</v>
      </c>
      <c r="F5" s="3727"/>
      <c r="G5" s="3728" t="s">
        <v>1675</v>
      </c>
      <c r="H5" s="3729"/>
      <c r="I5" s="3728" t="s">
        <v>1676</v>
      </c>
      <c r="J5" s="3729"/>
      <c r="K5" s="559"/>
      <c r="L5" s="2715"/>
      <c r="M5" s="2716"/>
      <c r="N5" s="2716"/>
      <c r="O5" s="2716"/>
      <c r="P5" s="3771"/>
      <c r="Q5" s="3742"/>
      <c r="R5" s="3724"/>
      <c r="S5" s="3725"/>
      <c r="T5" s="3724"/>
      <c r="U5" s="3725"/>
      <c r="V5" s="3747"/>
      <c r="W5" s="3747"/>
      <c r="X5" s="1355"/>
      <c r="Y5" s="3724"/>
      <c r="Z5" s="3725"/>
      <c r="AA5" s="3718"/>
      <c r="AB5" s="3718"/>
      <c r="AC5" s="3767"/>
    </row>
    <row r="6" spans="1:29" ht="15.75" thickBot="1">
      <c r="A6" s="360"/>
      <c r="B6" s="361"/>
      <c r="C6" s="3730" t="s">
        <v>1677</v>
      </c>
      <c r="D6" s="3731"/>
      <c r="E6" s="3732" t="s">
        <v>1677</v>
      </c>
      <c r="F6" s="3733"/>
      <c r="G6" s="3730" t="s">
        <v>1677</v>
      </c>
      <c r="H6" s="3731"/>
      <c r="I6" s="3730" t="s">
        <v>1677</v>
      </c>
      <c r="J6" s="3731"/>
      <c r="K6" s="559" t="s">
        <v>1678</v>
      </c>
      <c r="L6" s="2715"/>
      <c r="M6" s="2716"/>
      <c r="N6" s="2716"/>
      <c r="O6" s="2716"/>
      <c r="P6" s="3772"/>
      <c r="Q6" s="3744"/>
      <c r="R6" s="3724"/>
      <c r="S6" s="3725"/>
      <c r="T6" s="3745"/>
      <c r="U6" s="3746"/>
      <c r="V6" s="3747"/>
      <c r="W6" s="3747"/>
      <c r="X6" s="1355"/>
      <c r="Y6" s="3745"/>
      <c r="Z6" s="3746"/>
      <c r="AA6" s="3719"/>
      <c r="AB6" s="3719"/>
      <c r="AC6" s="3768"/>
    </row>
    <row r="7" spans="1:29" s="108" customFormat="1" ht="15.75" thickBot="1">
      <c r="A7" s="362" t="s">
        <v>1679</v>
      </c>
      <c r="B7" s="363"/>
      <c r="C7" s="364">
        <f>'数据-取费表'!B2</f>
        <v>45891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74" t="s">
        <v>1680</v>
      </c>
      <c r="Q7" s="3748"/>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74" t="s">
        <v>1683</v>
      </c>
      <c r="Q8" s="3721"/>
      <c r="R8" s="701" t="s">
        <v>14</v>
      </c>
      <c r="S8" s="702">
        <f t="shared" si="0"/>
        <v>100</v>
      </c>
      <c r="T8" s="701" t="s">
        <v>14</v>
      </c>
      <c r="U8" s="702">
        <f t="shared" si="1"/>
        <v>100</v>
      </c>
      <c r="V8" s="701" t="s">
        <v>14</v>
      </c>
      <c r="W8" s="702">
        <f t="shared" si="2"/>
        <v>100</v>
      </c>
      <c r="X8" s="703"/>
      <c r="Y8" s="3720" t="s">
        <v>1683</v>
      </c>
      <c r="Z8" s="372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34" t="s">
        <v>1686</v>
      </c>
      <c r="Q9" s="1343" t="str">
        <f t="shared" ref="Q9:Q15" si="6">B9</f>
        <v>用途</v>
      </c>
      <c r="R9" s="701" t="s">
        <v>14</v>
      </c>
      <c r="S9" s="702">
        <f t="shared" si="0"/>
        <v>100</v>
      </c>
      <c r="T9" s="701" t="s">
        <v>14</v>
      </c>
      <c r="U9" s="702">
        <f t="shared" si="1"/>
        <v>100</v>
      </c>
      <c r="V9" s="701" t="s">
        <v>14</v>
      </c>
      <c r="W9" s="702">
        <f t="shared" si="2"/>
        <v>100</v>
      </c>
      <c r="X9" s="703"/>
      <c r="Y9" s="3645"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34"/>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34"/>
      <c r="Q11" s="1343" t="str">
        <f t="shared" si="6"/>
        <v>容积率</v>
      </c>
      <c r="R11" s="701" t="s">
        <v>14</v>
      </c>
      <c r="S11" s="702">
        <f t="shared" si="0"/>
        <v>100</v>
      </c>
      <c r="T11" s="701" t="s">
        <v>14</v>
      </c>
      <c r="U11" s="702">
        <f t="shared" si="1"/>
        <v>100</v>
      </c>
      <c r="V11" s="701" t="s">
        <v>14</v>
      </c>
      <c r="W11" s="702">
        <f t="shared" si="2"/>
        <v>100</v>
      </c>
      <c r="X11" s="703"/>
      <c r="Y11" s="364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34"/>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34"/>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34"/>
      <c r="Q14" s="1343">
        <f t="shared" si="6"/>
        <v>111</v>
      </c>
      <c r="R14" s="701" t="s">
        <v>14</v>
      </c>
      <c r="S14" s="702">
        <f t="shared" si="0"/>
        <v>100</v>
      </c>
      <c r="T14" s="701" t="s">
        <v>14</v>
      </c>
      <c r="U14" s="702">
        <f t="shared" si="1"/>
        <v>100</v>
      </c>
      <c r="V14" s="701" t="s">
        <v>14</v>
      </c>
      <c r="W14" s="702">
        <f t="shared" si="2"/>
        <v>100</v>
      </c>
      <c r="X14" s="703"/>
      <c r="Y14" s="364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61" t="s">
        <v>1691</v>
      </c>
      <c r="Q15" s="1352" t="str">
        <f t="shared" si="6"/>
        <v>办公集聚程度</v>
      </c>
      <c r="R15" s="705" t="s">
        <v>14</v>
      </c>
      <c r="S15" s="706">
        <f t="shared" si="0"/>
        <v>100</v>
      </c>
      <c r="T15" s="705" t="s">
        <v>14</v>
      </c>
      <c r="U15" s="706">
        <f t="shared" si="1"/>
        <v>100</v>
      </c>
      <c r="V15" s="705" t="s">
        <v>14</v>
      </c>
      <c r="W15" s="706">
        <f t="shared" si="2"/>
        <v>100</v>
      </c>
      <c r="X15" s="1355"/>
      <c r="Y15" s="375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62"/>
      <c r="Q16" s="1352"/>
      <c r="R16" s="705"/>
      <c r="S16" s="706"/>
      <c r="T16" s="705"/>
      <c r="U16" s="706"/>
      <c r="V16" s="705"/>
      <c r="W16" s="706"/>
      <c r="X16" s="1355"/>
      <c r="Y16" s="375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62"/>
      <c r="Q17" s="1352" t="str">
        <f>B17</f>
        <v>交通便捷度</v>
      </c>
      <c r="R17" s="705" t="s">
        <v>14</v>
      </c>
      <c r="S17" s="706">
        <f>F17</f>
        <v>100</v>
      </c>
      <c r="T17" s="705" t="s">
        <v>14</v>
      </c>
      <c r="U17" s="706">
        <f>H17</f>
        <v>100</v>
      </c>
      <c r="V17" s="705" t="s">
        <v>14</v>
      </c>
      <c r="W17" s="706">
        <f>J17</f>
        <v>100</v>
      </c>
      <c r="X17" s="1355"/>
      <c r="Y17" s="375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62"/>
      <c r="Q18" s="1352"/>
      <c r="R18" s="705"/>
      <c r="S18" s="706"/>
      <c r="T18" s="705"/>
      <c r="U18" s="706"/>
      <c r="V18" s="705"/>
      <c r="W18" s="706"/>
      <c r="X18" s="1355"/>
      <c r="Y18" s="375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62"/>
      <c r="Q19" s="1352" t="str">
        <f>B19</f>
        <v>公共配套设施</v>
      </c>
      <c r="R19" s="705" t="s">
        <v>14</v>
      </c>
      <c r="S19" s="706">
        <f>F19</f>
        <v>100</v>
      </c>
      <c r="T19" s="705" t="s">
        <v>14</v>
      </c>
      <c r="U19" s="706">
        <f>H19</f>
        <v>100</v>
      </c>
      <c r="V19" s="705" t="s">
        <v>14</v>
      </c>
      <c r="W19" s="706">
        <f>J19</f>
        <v>100</v>
      </c>
      <c r="X19" s="1355"/>
      <c r="Y19" s="375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62"/>
      <c r="Q20" s="1352"/>
      <c r="R20" s="705"/>
      <c r="S20" s="706"/>
      <c r="T20" s="705"/>
      <c r="U20" s="706"/>
      <c r="V20" s="705"/>
      <c r="W20" s="706"/>
      <c r="X20" s="1355"/>
      <c r="Y20" s="375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62"/>
      <c r="Q21" s="1352" t="str">
        <f>B21</f>
        <v>基础设施水平</v>
      </c>
      <c r="R21" s="705" t="s">
        <v>14</v>
      </c>
      <c r="S21" s="706">
        <f>F21</f>
        <v>100</v>
      </c>
      <c r="T21" s="705" t="s">
        <v>14</v>
      </c>
      <c r="U21" s="706">
        <f>H21</f>
        <v>100</v>
      </c>
      <c r="V21" s="705" t="s">
        <v>14</v>
      </c>
      <c r="W21" s="706">
        <f>J21</f>
        <v>100</v>
      </c>
      <c r="X21" s="1355"/>
      <c r="Y21" s="375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62"/>
      <c r="Q22" s="1352"/>
      <c r="R22" s="705"/>
      <c r="S22" s="706"/>
      <c r="T22" s="705"/>
      <c r="U22" s="706"/>
      <c r="V22" s="705"/>
      <c r="W22" s="706"/>
      <c r="X22" s="1355"/>
      <c r="Y22" s="375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62"/>
      <c r="Q23" s="1352" t="str">
        <f>B23</f>
        <v>环境质量</v>
      </c>
      <c r="R23" s="705" t="s">
        <v>14</v>
      </c>
      <c r="S23" s="706">
        <f>F23</f>
        <v>100</v>
      </c>
      <c r="T23" s="705" t="s">
        <v>14</v>
      </c>
      <c r="U23" s="706">
        <f>H23</f>
        <v>100</v>
      </c>
      <c r="V23" s="705" t="s">
        <v>14</v>
      </c>
      <c r="W23" s="706">
        <f>J23</f>
        <v>100</v>
      </c>
      <c r="X23" s="1355"/>
      <c r="Y23" s="375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62"/>
      <c r="Q24" s="1352"/>
      <c r="R24" s="705"/>
      <c r="S24" s="706"/>
      <c r="T24" s="705"/>
      <c r="U24" s="706"/>
      <c r="V24" s="705"/>
      <c r="W24" s="706"/>
      <c r="X24" s="1355"/>
      <c r="Y24" s="375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62"/>
      <c r="Q25" s="1352" t="str">
        <f>B25</f>
        <v>毗邻道路的类型与等级</v>
      </c>
      <c r="R25" s="705" t="s">
        <v>14</v>
      </c>
      <c r="S25" s="706">
        <f>F25</f>
        <v>100</v>
      </c>
      <c r="T25" s="705" t="s">
        <v>14</v>
      </c>
      <c r="U25" s="706">
        <f>H25</f>
        <v>100</v>
      </c>
      <c r="V25" s="705" t="s">
        <v>14</v>
      </c>
      <c r="W25" s="706">
        <f>J25</f>
        <v>100</v>
      </c>
      <c r="X25" s="1355"/>
      <c r="Y25" s="375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62"/>
      <c r="Q26" s="1352"/>
      <c r="R26" s="705"/>
      <c r="S26" s="706"/>
      <c r="T26" s="705"/>
      <c r="U26" s="706"/>
      <c r="V26" s="705"/>
      <c r="W26" s="706"/>
      <c r="X26" s="1355"/>
      <c r="Y26" s="375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62"/>
      <c r="Q27" s="1352" t="str">
        <f t="shared" ref="Q27:Q47" si="11">B27</f>
        <v>楼层</v>
      </c>
      <c r="R27" s="705" t="s">
        <v>14</v>
      </c>
      <c r="S27" s="706">
        <f>F27</f>
        <v>100</v>
      </c>
      <c r="T27" s="705" t="s">
        <v>14</v>
      </c>
      <c r="U27" s="706">
        <f>H27</f>
        <v>100</v>
      </c>
      <c r="V27" s="705" t="s">
        <v>14</v>
      </c>
      <c r="W27" s="706">
        <f>J27</f>
        <v>100</v>
      </c>
      <c r="X27" s="1355"/>
      <c r="Y27" s="375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62"/>
      <c r="Q28" s="1343" t="str">
        <f t="shared" si="11"/>
        <v>朝向</v>
      </c>
      <c r="R28" s="701" t="s">
        <v>14</v>
      </c>
      <c r="S28" s="702">
        <f>F28</f>
        <v>100</v>
      </c>
      <c r="T28" s="701" t="s">
        <v>14</v>
      </c>
      <c r="U28" s="702">
        <f>H28</f>
        <v>100</v>
      </c>
      <c r="V28" s="701" t="s">
        <v>14</v>
      </c>
      <c r="W28" s="702">
        <f>J28</f>
        <v>100</v>
      </c>
      <c r="X28" s="703"/>
      <c r="Y28" s="375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62"/>
      <c r="Q29" s="1352">
        <f t="shared" si="11"/>
        <v>111</v>
      </c>
      <c r="R29" s="705" t="s">
        <v>14</v>
      </c>
      <c r="S29" s="706">
        <f t="shared" ref="S29:S47" si="12">F29</f>
        <v>100</v>
      </c>
      <c r="T29" s="705" t="s">
        <v>14</v>
      </c>
      <c r="U29" s="706">
        <f t="shared" ref="U29:U47" si="13">H29</f>
        <v>100</v>
      </c>
      <c r="V29" s="705" t="s">
        <v>14</v>
      </c>
      <c r="W29" s="706">
        <f t="shared" ref="W29:W47" si="14">J29</f>
        <v>100</v>
      </c>
      <c r="X29" s="1355"/>
      <c r="Y29" s="375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62"/>
      <c r="Q30" s="1352">
        <f t="shared" si="11"/>
        <v>111</v>
      </c>
      <c r="R30" s="705" t="s">
        <v>14</v>
      </c>
      <c r="S30" s="706">
        <f t="shared" si="12"/>
        <v>100</v>
      </c>
      <c r="T30" s="705" t="s">
        <v>14</v>
      </c>
      <c r="U30" s="706">
        <f t="shared" si="13"/>
        <v>100</v>
      </c>
      <c r="V30" s="705" t="s">
        <v>14</v>
      </c>
      <c r="W30" s="706">
        <f t="shared" si="14"/>
        <v>100</v>
      </c>
      <c r="X30" s="1355"/>
      <c r="Y30" s="375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62"/>
      <c r="Q31" s="1352">
        <f t="shared" si="11"/>
        <v>111</v>
      </c>
      <c r="R31" s="705" t="s">
        <v>14</v>
      </c>
      <c r="S31" s="706">
        <f t="shared" si="12"/>
        <v>100</v>
      </c>
      <c r="T31" s="705" t="s">
        <v>14</v>
      </c>
      <c r="U31" s="706">
        <f t="shared" si="13"/>
        <v>100</v>
      </c>
      <c r="V31" s="705" t="s">
        <v>14</v>
      </c>
      <c r="W31" s="706">
        <f t="shared" si="14"/>
        <v>100</v>
      </c>
      <c r="X31" s="1355"/>
      <c r="Y31" s="375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62"/>
      <c r="Q32" s="1352">
        <f t="shared" si="11"/>
        <v>111</v>
      </c>
      <c r="R32" s="705" t="s">
        <v>14</v>
      </c>
      <c r="S32" s="706">
        <f t="shared" si="12"/>
        <v>100</v>
      </c>
      <c r="T32" s="705" t="s">
        <v>14</v>
      </c>
      <c r="U32" s="706">
        <f t="shared" si="13"/>
        <v>100</v>
      </c>
      <c r="V32" s="705" t="s">
        <v>14</v>
      </c>
      <c r="W32" s="706">
        <f t="shared" si="14"/>
        <v>100</v>
      </c>
      <c r="X32" s="1355"/>
      <c r="Y32" s="375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56" t="s">
        <v>1696</v>
      </c>
      <c r="Q33" s="1352" t="str">
        <f t="shared" si="11"/>
        <v>建筑类型</v>
      </c>
      <c r="R33" s="705" t="s">
        <v>14</v>
      </c>
      <c r="S33" s="706">
        <f t="shared" si="12"/>
        <v>100</v>
      </c>
      <c r="T33" s="705" t="s">
        <v>14</v>
      </c>
      <c r="U33" s="706">
        <f t="shared" si="13"/>
        <v>100</v>
      </c>
      <c r="V33" s="705" t="s">
        <v>14</v>
      </c>
      <c r="W33" s="706">
        <f t="shared" si="14"/>
        <v>100</v>
      </c>
      <c r="X33" s="1355"/>
      <c r="Y33" s="375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57"/>
      <c r="Q34" s="707" t="str">
        <f t="shared" si="11"/>
        <v>项目建筑规模</v>
      </c>
      <c r="R34" s="708" t="s">
        <v>14</v>
      </c>
      <c r="S34" s="709" t="e">
        <f t="shared" si="12"/>
        <v>#N/A</v>
      </c>
      <c r="T34" s="708" t="s">
        <v>14</v>
      </c>
      <c r="U34" s="709" t="e">
        <f t="shared" si="13"/>
        <v>#N/A</v>
      </c>
      <c r="V34" s="708" t="s">
        <v>14</v>
      </c>
      <c r="W34" s="709" t="e">
        <f t="shared" si="14"/>
        <v>#N/A</v>
      </c>
      <c r="X34" s="710"/>
      <c r="Y34" s="375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57"/>
      <c r="Q35" s="1352" t="str">
        <f t="shared" si="11"/>
        <v>建筑结构</v>
      </c>
      <c r="R35" s="705" t="s">
        <v>14</v>
      </c>
      <c r="S35" s="706">
        <f t="shared" si="12"/>
        <v>100</v>
      </c>
      <c r="T35" s="705" t="s">
        <v>14</v>
      </c>
      <c r="U35" s="706">
        <f t="shared" si="13"/>
        <v>100</v>
      </c>
      <c r="V35" s="705" t="s">
        <v>14</v>
      </c>
      <c r="W35" s="706">
        <f t="shared" si="14"/>
        <v>100</v>
      </c>
      <c r="X35" s="1355"/>
      <c r="Y35" s="375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57"/>
      <c r="Q36" s="1352" t="str">
        <f t="shared" si="11"/>
        <v>公共部分装修</v>
      </c>
      <c r="R36" s="705" t="s">
        <v>14</v>
      </c>
      <c r="S36" s="706">
        <f t="shared" si="12"/>
        <v>100</v>
      </c>
      <c r="T36" s="705" t="s">
        <v>14</v>
      </c>
      <c r="U36" s="706">
        <f t="shared" si="13"/>
        <v>100</v>
      </c>
      <c r="V36" s="705" t="s">
        <v>14</v>
      </c>
      <c r="W36" s="706">
        <f t="shared" si="14"/>
        <v>100</v>
      </c>
      <c r="X36" s="1355"/>
      <c r="Y36" s="375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57"/>
      <c r="Q37" s="1352" t="str">
        <f t="shared" si="11"/>
        <v>成新度</v>
      </c>
      <c r="R37" s="705" t="s">
        <v>14</v>
      </c>
      <c r="S37" s="706" t="e">
        <f t="shared" si="12"/>
        <v>#N/A</v>
      </c>
      <c r="T37" s="705" t="s">
        <v>14</v>
      </c>
      <c r="U37" s="706" t="e">
        <f t="shared" si="13"/>
        <v>#N/A</v>
      </c>
      <c r="V37" s="705" t="s">
        <v>14</v>
      </c>
      <c r="W37" s="706" t="e">
        <f t="shared" si="14"/>
        <v>#N/A</v>
      </c>
      <c r="X37" s="1355"/>
      <c r="Y37" s="375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57"/>
      <c r="Q38" s="1343" t="str">
        <f t="shared" si="11"/>
        <v>写字楼等级</v>
      </c>
      <c r="R38" s="701" t="s">
        <v>14</v>
      </c>
      <c r="S38" s="702">
        <f t="shared" si="12"/>
        <v>100</v>
      </c>
      <c r="T38" s="701" t="s">
        <v>14</v>
      </c>
      <c r="U38" s="702">
        <f t="shared" si="13"/>
        <v>100</v>
      </c>
      <c r="V38" s="701" t="s">
        <v>14</v>
      </c>
      <c r="W38" s="702">
        <f t="shared" si="14"/>
        <v>100</v>
      </c>
      <c r="X38" s="703"/>
      <c r="Y38" s="375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57" t="s">
        <v>1696</v>
      </c>
      <c r="Q39" s="1352" t="str">
        <f t="shared" si="11"/>
        <v>物业管理</v>
      </c>
      <c r="R39" s="705" t="s">
        <v>14</v>
      </c>
      <c r="S39" s="706">
        <f t="shared" si="12"/>
        <v>100</v>
      </c>
      <c r="T39" s="705" t="s">
        <v>14</v>
      </c>
      <c r="U39" s="706">
        <f t="shared" si="13"/>
        <v>100</v>
      </c>
      <c r="V39" s="705" t="s">
        <v>14</v>
      </c>
      <c r="W39" s="706">
        <f t="shared" si="14"/>
        <v>100</v>
      </c>
      <c r="X39" s="1355"/>
      <c r="Y39" s="375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57"/>
      <c r="Q40" s="1352" t="str">
        <f t="shared" si="11"/>
        <v>市政基础设施</v>
      </c>
      <c r="R40" s="705" t="s">
        <v>14</v>
      </c>
      <c r="S40" s="706">
        <f t="shared" si="12"/>
        <v>100</v>
      </c>
      <c r="T40" s="705" t="s">
        <v>14</v>
      </c>
      <c r="U40" s="706">
        <f t="shared" si="13"/>
        <v>100</v>
      </c>
      <c r="V40" s="705" t="s">
        <v>14</v>
      </c>
      <c r="W40" s="706">
        <f t="shared" si="14"/>
        <v>100</v>
      </c>
      <c r="X40" s="1355"/>
      <c r="Y40" s="375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57"/>
      <c r="Q41" s="1352" t="str">
        <f t="shared" si="11"/>
        <v>层高</v>
      </c>
      <c r="R41" s="705" t="s">
        <v>14</v>
      </c>
      <c r="S41" s="706">
        <f t="shared" si="12"/>
        <v>100</v>
      </c>
      <c r="T41" s="705" t="s">
        <v>14</v>
      </c>
      <c r="U41" s="706">
        <f t="shared" si="13"/>
        <v>100</v>
      </c>
      <c r="V41" s="705" t="s">
        <v>14</v>
      </c>
      <c r="W41" s="706">
        <f t="shared" si="14"/>
        <v>100</v>
      </c>
      <c r="X41" s="1355"/>
      <c r="Y41" s="375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57"/>
      <c r="Q42" s="707" t="str">
        <f t="shared" si="11"/>
        <v>单套建筑面积</v>
      </c>
      <c r="R42" s="708" t="s">
        <v>14</v>
      </c>
      <c r="S42" s="709">
        <f t="shared" si="12"/>
        <v>100</v>
      </c>
      <c r="T42" s="708" t="s">
        <v>14</v>
      </c>
      <c r="U42" s="709">
        <f t="shared" si="13"/>
        <v>100</v>
      </c>
      <c r="V42" s="708" t="s">
        <v>14</v>
      </c>
      <c r="W42" s="709">
        <f t="shared" si="14"/>
        <v>100</v>
      </c>
      <c r="X42" s="710"/>
      <c r="Y42" s="375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57"/>
      <c r="Q43" s="1352" t="str">
        <f t="shared" si="11"/>
        <v>内部装修</v>
      </c>
      <c r="R43" s="705" t="s">
        <v>14</v>
      </c>
      <c r="S43" s="706">
        <f t="shared" si="12"/>
        <v>100</v>
      </c>
      <c r="T43" s="705" t="s">
        <v>14</v>
      </c>
      <c r="U43" s="706">
        <f t="shared" si="13"/>
        <v>100</v>
      </c>
      <c r="V43" s="705" t="s">
        <v>14</v>
      </c>
      <c r="W43" s="706">
        <f t="shared" si="14"/>
        <v>100</v>
      </c>
      <c r="X43" s="1355"/>
      <c r="Y43" s="375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57"/>
      <c r="Q44" s="1352" t="str">
        <f t="shared" si="11"/>
        <v>内部装修维护情况</v>
      </c>
      <c r="R44" s="705" t="s">
        <v>14</v>
      </c>
      <c r="S44" s="706">
        <f t="shared" si="12"/>
        <v>100</v>
      </c>
      <c r="T44" s="705" t="s">
        <v>14</v>
      </c>
      <c r="U44" s="706">
        <f t="shared" si="13"/>
        <v>100</v>
      </c>
      <c r="V44" s="705" t="s">
        <v>14</v>
      </c>
      <c r="W44" s="706">
        <f t="shared" si="14"/>
        <v>100</v>
      </c>
      <c r="X44" s="1355"/>
      <c r="Y44" s="375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57"/>
      <c r="Q45" s="1343">
        <f t="shared" si="11"/>
        <v>111</v>
      </c>
      <c r="R45" s="701" t="s">
        <v>14</v>
      </c>
      <c r="S45" s="702">
        <f t="shared" si="12"/>
        <v>100</v>
      </c>
      <c r="T45" s="701" t="s">
        <v>14</v>
      </c>
      <c r="U45" s="702">
        <f t="shared" si="13"/>
        <v>100</v>
      </c>
      <c r="V45" s="701" t="s">
        <v>14</v>
      </c>
      <c r="W45" s="702">
        <f t="shared" si="14"/>
        <v>100</v>
      </c>
      <c r="X45" s="703"/>
      <c r="Y45" s="375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57"/>
      <c r="Q46" s="1352">
        <f t="shared" si="11"/>
        <v>111</v>
      </c>
      <c r="R46" s="705" t="s">
        <v>14</v>
      </c>
      <c r="S46" s="706">
        <f t="shared" si="12"/>
        <v>100</v>
      </c>
      <c r="T46" s="705" t="s">
        <v>14</v>
      </c>
      <c r="U46" s="706">
        <f t="shared" si="13"/>
        <v>100</v>
      </c>
      <c r="V46" s="705" t="s">
        <v>14</v>
      </c>
      <c r="W46" s="706">
        <f t="shared" si="14"/>
        <v>100</v>
      </c>
      <c r="X46" s="1355"/>
      <c r="Y46" s="375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58"/>
      <c r="Q47" s="1352">
        <f t="shared" si="11"/>
        <v>111</v>
      </c>
      <c r="R47" s="705" t="s">
        <v>14</v>
      </c>
      <c r="S47" s="706">
        <f t="shared" si="12"/>
        <v>100</v>
      </c>
      <c r="T47" s="705" t="s">
        <v>14</v>
      </c>
      <c r="U47" s="706">
        <f t="shared" si="13"/>
        <v>100</v>
      </c>
      <c r="V47" s="705" t="s">
        <v>14</v>
      </c>
      <c r="W47" s="706">
        <f t="shared" si="14"/>
        <v>100</v>
      </c>
      <c r="X47" s="1355"/>
      <c r="Y47" s="376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34" t="str">
        <f>A48</f>
        <v>成交单价（元/平方米）</v>
      </c>
      <c r="Q48" s="3752"/>
      <c r="R48" s="3753">
        <f>E48</f>
        <v>0</v>
      </c>
      <c r="S48" s="3753"/>
      <c r="T48" s="3753">
        <f>G48</f>
        <v>0</v>
      </c>
      <c r="U48" s="3753"/>
      <c r="V48" s="3753">
        <f>I48</f>
        <v>0</v>
      </c>
      <c r="W48" s="3753"/>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34" t="str">
        <f>A49</f>
        <v>比较价值（元/平方米）</v>
      </c>
      <c r="Q49" s="3752"/>
      <c r="R49" s="3753" t="e">
        <f>IF(F1="售价",ROUND(PRODUCT(R48,AA7:AA47),0),ROUND(PRODUCT(R48,AA7:AA47),1))</f>
        <v>#DIV/0!</v>
      </c>
      <c r="S49" s="3753"/>
      <c r="T49" s="3753" t="e">
        <f>IF(F1="售价",ROUND(PRODUCT(T48,AB7:AB47),0),ROUND(PRODUCT(T48,AB7:AB47),1))</f>
        <v>#DIV/0!</v>
      </c>
      <c r="U49" s="3753"/>
      <c r="V49" s="3753" t="e">
        <f>IF(F1="售价",ROUND(PRODUCT(V48,AC7:AC47),0),ROUND(PRODUCT(V48,AC7:AC47),1))</f>
        <v>#DIV/0!</v>
      </c>
      <c r="W49" s="375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75" t="str">
        <f>A50</f>
        <v>估价对象XX用房的比较价值（楼面单价，元/平方米）</v>
      </c>
      <c r="Q50" s="3776"/>
      <c r="R50" s="3777" t="e">
        <f>IF(F1="售价",ROUND(IF(D49="简单平均",AVERAGE(R49:V49),R49*F49+T49*H49+V49*J49),0),ROUND(IF(D49="简单平均",AVERAGE(R49:V49),R49*F49+T49*H49+V49*J49),1))</f>
        <v>#DIV/0!</v>
      </c>
      <c r="S50" s="3777"/>
      <c r="T50" s="3777"/>
      <c r="U50" s="3777"/>
      <c r="V50" s="3777"/>
      <c r="W50" s="377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2025-8</v>
      </c>
      <c r="D59" s="1185">
        <f>EDATE(C59,-1)</f>
        <v>45839</v>
      </c>
      <c r="E59" s="1185">
        <f>EDATE(D59,-1)</f>
        <v>45809</v>
      </c>
      <c r="F59" s="1185">
        <f t="shared" ref="F59:O59" si="16">EDATE(E59,-1)</f>
        <v>45778</v>
      </c>
      <c r="G59" s="1185">
        <f t="shared" si="16"/>
        <v>45748</v>
      </c>
      <c r="H59" s="1185">
        <f t="shared" si="16"/>
        <v>45717</v>
      </c>
      <c r="I59" s="1185">
        <f t="shared" si="16"/>
        <v>45689</v>
      </c>
      <c r="J59" s="1185">
        <f t="shared" si="16"/>
        <v>45658</v>
      </c>
      <c r="K59" s="1185">
        <f t="shared" si="16"/>
        <v>45627</v>
      </c>
      <c r="L59" s="1185">
        <f t="shared" si="16"/>
        <v>45597</v>
      </c>
      <c r="M59" s="1185">
        <f t="shared" si="16"/>
        <v>45566</v>
      </c>
      <c r="N59" s="1185">
        <f t="shared" si="16"/>
        <v>45536</v>
      </c>
      <c r="O59" s="1185">
        <f t="shared" si="16"/>
        <v>45505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1674.92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35" t="s">
        <v>1770</v>
      </c>
      <c r="D4" s="3736"/>
      <c r="E4" s="3737" t="s">
        <v>1771</v>
      </c>
      <c r="F4" s="3738"/>
      <c r="G4" s="3735" t="s">
        <v>1772</v>
      </c>
      <c r="H4" s="3736"/>
      <c r="I4" s="3735" t="s">
        <v>1773</v>
      </c>
      <c r="J4" s="3736"/>
      <c r="K4" s="559" t="s">
        <v>1774</v>
      </c>
      <c r="L4" s="913"/>
      <c r="M4" s="914"/>
      <c r="N4" s="914"/>
      <c r="O4" s="914"/>
      <c r="P4" s="3739" t="s">
        <v>1775</v>
      </c>
      <c r="Q4" s="3740"/>
      <c r="R4" s="3722" t="s">
        <v>1771</v>
      </c>
      <c r="S4" s="3723"/>
      <c r="T4" s="3722" t="s">
        <v>1772</v>
      </c>
      <c r="U4" s="3723"/>
      <c r="V4" s="3747" t="s">
        <v>1773</v>
      </c>
      <c r="W4" s="3747"/>
      <c r="X4" s="1355"/>
      <c r="Y4" s="3722" t="s">
        <v>1775</v>
      </c>
      <c r="Z4" s="3723"/>
      <c r="AA4" s="3717" t="s">
        <v>1771</v>
      </c>
      <c r="AB4" s="3718" t="s">
        <v>1772</v>
      </c>
      <c r="AC4" s="3717" t="s">
        <v>1773</v>
      </c>
    </row>
    <row r="5" spans="1:29" ht="15">
      <c r="A5" s="358"/>
      <c r="B5" s="359"/>
      <c r="C5" s="3728" t="s">
        <v>1673</v>
      </c>
      <c r="D5" s="3729"/>
      <c r="E5" s="3726" t="s">
        <v>1674</v>
      </c>
      <c r="F5" s="3727"/>
      <c r="G5" s="3728" t="s">
        <v>1675</v>
      </c>
      <c r="H5" s="3729"/>
      <c r="I5" s="3728" t="s">
        <v>1676</v>
      </c>
      <c r="J5" s="3729"/>
      <c r="K5" s="559"/>
      <c r="L5" s="913"/>
      <c r="M5" s="914"/>
      <c r="N5" s="914"/>
      <c r="O5" s="914"/>
      <c r="P5" s="3741"/>
      <c r="Q5" s="3742"/>
      <c r="R5" s="3724"/>
      <c r="S5" s="3725"/>
      <c r="T5" s="3724"/>
      <c r="U5" s="3725"/>
      <c r="V5" s="3747"/>
      <c r="W5" s="3747"/>
      <c r="X5" s="1355"/>
      <c r="Y5" s="3724"/>
      <c r="Z5" s="3725"/>
      <c r="AA5" s="3718"/>
      <c r="AB5" s="3718"/>
      <c r="AC5" s="3718"/>
    </row>
    <row r="6" spans="1:29" ht="15.75" thickBot="1">
      <c r="A6" s="360"/>
      <c r="B6" s="361"/>
      <c r="C6" s="3730" t="s">
        <v>1677</v>
      </c>
      <c r="D6" s="3731"/>
      <c r="E6" s="3732" t="s">
        <v>1677</v>
      </c>
      <c r="F6" s="3733"/>
      <c r="G6" s="3730" t="s">
        <v>1677</v>
      </c>
      <c r="H6" s="3731"/>
      <c r="I6" s="3730" t="s">
        <v>1677</v>
      </c>
      <c r="J6" s="3731"/>
      <c r="K6" s="559" t="s">
        <v>1678</v>
      </c>
      <c r="L6" s="913"/>
      <c r="M6" s="914"/>
      <c r="N6" s="914"/>
      <c r="O6" s="914"/>
      <c r="P6" s="3743"/>
      <c r="Q6" s="3744"/>
      <c r="R6" s="3724"/>
      <c r="S6" s="3725"/>
      <c r="T6" s="3745"/>
      <c r="U6" s="3746"/>
      <c r="V6" s="3747"/>
      <c r="W6" s="3747"/>
      <c r="X6" s="1355"/>
      <c r="Y6" s="3745"/>
      <c r="Z6" s="3746"/>
      <c r="AA6" s="3719"/>
      <c r="AB6" s="3719"/>
      <c r="AC6" s="3719"/>
    </row>
    <row r="7" spans="1:29" s="108" customFormat="1" ht="15.75" thickBot="1">
      <c r="A7" s="362" t="s">
        <v>1679</v>
      </c>
      <c r="B7" s="363"/>
      <c r="C7" s="364">
        <f>'数据-取费表'!B2</f>
        <v>45891</v>
      </c>
      <c r="D7" s="365">
        <v>100</v>
      </c>
      <c r="E7" s="366"/>
      <c r="F7" s="367">
        <f>SUMIF(52:52,YEAR(E7)&amp;"-"&amp;MONTH(E7),53:53)</f>
        <v>0</v>
      </c>
      <c r="G7" s="366"/>
      <c r="H7" s="365">
        <f>SUMIF(52:52,YEAR(G7)&amp;"-"&amp;MONTH(G7),53:53)</f>
        <v>0</v>
      </c>
      <c r="I7" s="366"/>
      <c r="J7" s="365">
        <f>SUMIF(52:52,YEAR(I7)&amp;"-"&amp;MONTH(I7),53:53)</f>
        <v>0</v>
      </c>
      <c r="K7" s="560"/>
      <c r="L7" s="915"/>
      <c r="M7" s="916"/>
      <c r="N7" s="916"/>
      <c r="O7" s="916"/>
      <c r="P7" s="3720" t="s">
        <v>1680</v>
      </c>
      <c r="Q7" s="3748"/>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0" t="s">
        <v>1683</v>
      </c>
      <c r="Q8" s="3721"/>
      <c r="R8" s="701" t="s">
        <v>14</v>
      </c>
      <c r="S8" s="702">
        <f t="shared" si="0"/>
        <v>100</v>
      </c>
      <c r="T8" s="701" t="s">
        <v>14</v>
      </c>
      <c r="U8" s="702">
        <f t="shared" si="1"/>
        <v>100</v>
      </c>
      <c r="V8" s="701" t="s">
        <v>14</v>
      </c>
      <c r="W8" s="702">
        <f t="shared" si="2"/>
        <v>100</v>
      </c>
      <c r="X8" s="703"/>
      <c r="Y8" s="3720" t="s">
        <v>1683</v>
      </c>
      <c r="Z8" s="372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52" t="s">
        <v>1686</v>
      </c>
      <c r="Q9" s="1343" t="str">
        <f t="shared" ref="Q9:Q15" si="6">B9</f>
        <v>用途</v>
      </c>
      <c r="R9" s="701" t="s">
        <v>14</v>
      </c>
      <c r="S9" s="702">
        <f t="shared" si="0"/>
        <v>100</v>
      </c>
      <c r="T9" s="701" t="s">
        <v>14</v>
      </c>
      <c r="U9" s="702">
        <f t="shared" si="1"/>
        <v>100</v>
      </c>
      <c r="V9" s="701" t="s">
        <v>14</v>
      </c>
      <c r="W9" s="702">
        <f t="shared" si="2"/>
        <v>100</v>
      </c>
      <c r="X9" s="703"/>
      <c r="Y9" s="364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52"/>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52"/>
      <c r="Q11" s="1343" t="str">
        <f t="shared" si="6"/>
        <v>容积率</v>
      </c>
      <c r="R11" s="701" t="s">
        <v>14</v>
      </c>
      <c r="S11" s="702">
        <f t="shared" si="0"/>
        <v>100</v>
      </c>
      <c r="T11" s="701" t="s">
        <v>14</v>
      </c>
      <c r="U11" s="702">
        <f t="shared" si="1"/>
        <v>100</v>
      </c>
      <c r="V11" s="701" t="s">
        <v>14</v>
      </c>
      <c r="W11" s="702">
        <f t="shared" si="2"/>
        <v>100</v>
      </c>
      <c r="X11" s="703"/>
      <c r="Y11" s="364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52"/>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52"/>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52"/>
      <c r="Q14" s="1343">
        <f t="shared" si="6"/>
        <v>111</v>
      </c>
      <c r="R14" s="701" t="s">
        <v>14</v>
      </c>
      <c r="S14" s="702">
        <f t="shared" si="0"/>
        <v>100</v>
      </c>
      <c r="T14" s="701" t="s">
        <v>14</v>
      </c>
      <c r="U14" s="702">
        <f t="shared" si="1"/>
        <v>100</v>
      </c>
      <c r="V14" s="701" t="s">
        <v>14</v>
      </c>
      <c r="W14" s="702">
        <f t="shared" si="2"/>
        <v>100</v>
      </c>
      <c r="X14" s="703"/>
      <c r="Y14" s="364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54" t="s">
        <v>1691</v>
      </c>
      <c r="Q15" s="1352" t="str">
        <f t="shared" si="6"/>
        <v>产业集聚程度</v>
      </c>
      <c r="R15" s="705" t="s">
        <v>14</v>
      </c>
      <c r="S15" s="706">
        <f t="shared" si="0"/>
        <v>100</v>
      </c>
      <c r="T15" s="705" t="s">
        <v>14</v>
      </c>
      <c r="U15" s="706">
        <f t="shared" si="1"/>
        <v>100</v>
      </c>
      <c r="V15" s="705" t="s">
        <v>14</v>
      </c>
      <c r="W15" s="706">
        <f t="shared" si="2"/>
        <v>100</v>
      </c>
      <c r="X15" s="1355"/>
      <c r="Y15" s="375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55"/>
      <c r="Q16" s="1352"/>
      <c r="R16" s="705"/>
      <c r="S16" s="706"/>
      <c r="T16" s="705"/>
      <c r="U16" s="706"/>
      <c r="V16" s="705"/>
      <c r="W16" s="706"/>
      <c r="X16" s="1355"/>
      <c r="Y16" s="375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55"/>
      <c r="Q17" s="1352" t="str">
        <f>B17</f>
        <v>交通便捷度</v>
      </c>
      <c r="R17" s="705" t="s">
        <v>14</v>
      </c>
      <c r="S17" s="706">
        <f>F17</f>
        <v>100</v>
      </c>
      <c r="T17" s="705" t="s">
        <v>14</v>
      </c>
      <c r="U17" s="706">
        <f>H17</f>
        <v>100</v>
      </c>
      <c r="V17" s="705" t="s">
        <v>14</v>
      </c>
      <c r="W17" s="706">
        <f>J17</f>
        <v>100</v>
      </c>
      <c r="X17" s="1355"/>
      <c r="Y17" s="375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55"/>
      <c r="Q18" s="1352"/>
      <c r="R18" s="705"/>
      <c r="S18" s="706"/>
      <c r="T18" s="705"/>
      <c r="U18" s="706"/>
      <c r="V18" s="705"/>
      <c r="W18" s="706"/>
      <c r="X18" s="1355"/>
      <c r="Y18" s="375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55"/>
      <c r="Q19" s="1352" t="str">
        <f>B19</f>
        <v>公共配套设施</v>
      </c>
      <c r="R19" s="705" t="s">
        <v>14</v>
      </c>
      <c r="S19" s="706">
        <f>F19</f>
        <v>100</v>
      </c>
      <c r="T19" s="705" t="s">
        <v>14</v>
      </c>
      <c r="U19" s="706">
        <f>H19</f>
        <v>100</v>
      </c>
      <c r="V19" s="705" t="s">
        <v>14</v>
      </c>
      <c r="W19" s="706">
        <f>J19</f>
        <v>100</v>
      </c>
      <c r="X19" s="1355"/>
      <c r="Y19" s="375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55"/>
      <c r="Q20" s="1352"/>
      <c r="R20" s="705"/>
      <c r="S20" s="706"/>
      <c r="T20" s="705"/>
      <c r="U20" s="706"/>
      <c r="V20" s="705"/>
      <c r="W20" s="706"/>
      <c r="X20" s="1355"/>
      <c r="Y20" s="375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55"/>
      <c r="Q21" s="1352" t="str">
        <f>B21</f>
        <v>基础设施水平</v>
      </c>
      <c r="R21" s="705" t="s">
        <v>14</v>
      </c>
      <c r="S21" s="706">
        <f>F21</f>
        <v>100</v>
      </c>
      <c r="T21" s="705" t="s">
        <v>14</v>
      </c>
      <c r="U21" s="706">
        <f>H21</f>
        <v>100</v>
      </c>
      <c r="V21" s="705" t="s">
        <v>14</v>
      </c>
      <c r="W21" s="706">
        <f>J21</f>
        <v>100</v>
      </c>
      <c r="X21" s="1355"/>
      <c r="Y21" s="375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55"/>
      <c r="Q22" s="1352"/>
      <c r="R22" s="705"/>
      <c r="S22" s="706"/>
      <c r="T22" s="705"/>
      <c r="U22" s="706"/>
      <c r="V22" s="705"/>
      <c r="W22" s="706"/>
      <c r="X22" s="1355"/>
      <c r="Y22" s="375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55"/>
      <c r="Q23" s="1352" t="str">
        <f>B23</f>
        <v>环境质量</v>
      </c>
      <c r="R23" s="705" t="s">
        <v>14</v>
      </c>
      <c r="S23" s="706">
        <f>F23</f>
        <v>100</v>
      </c>
      <c r="T23" s="705" t="s">
        <v>14</v>
      </c>
      <c r="U23" s="706">
        <f>H23</f>
        <v>100</v>
      </c>
      <c r="V23" s="705" t="s">
        <v>14</v>
      </c>
      <c r="W23" s="706">
        <f>J23</f>
        <v>100</v>
      </c>
      <c r="X23" s="1355"/>
      <c r="Y23" s="375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55"/>
      <c r="Q24" s="1352"/>
      <c r="R24" s="705"/>
      <c r="S24" s="706"/>
      <c r="T24" s="705"/>
      <c r="U24" s="706"/>
      <c r="V24" s="705"/>
      <c r="W24" s="706"/>
      <c r="X24" s="1355"/>
      <c r="Y24" s="375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55"/>
      <c r="Q25" s="1352">
        <f>B25</f>
        <v>111</v>
      </c>
      <c r="R25" s="705" t="s">
        <v>14</v>
      </c>
      <c r="S25" s="706">
        <f>F25</f>
        <v>100</v>
      </c>
      <c r="T25" s="705" t="s">
        <v>14</v>
      </c>
      <c r="U25" s="706">
        <f>H25</f>
        <v>100</v>
      </c>
      <c r="V25" s="705" t="s">
        <v>14</v>
      </c>
      <c r="W25" s="706">
        <f>J25</f>
        <v>100</v>
      </c>
      <c r="X25" s="1355"/>
      <c r="Y25" s="375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55"/>
      <c r="Q26" s="1352">
        <f t="shared" ref="Q26:Q40" si="11">B26</f>
        <v>111</v>
      </c>
      <c r="R26" s="705" t="s">
        <v>14</v>
      </c>
      <c r="S26" s="706">
        <f>F26</f>
        <v>100</v>
      </c>
      <c r="T26" s="705" t="s">
        <v>14</v>
      </c>
      <c r="U26" s="706">
        <f>H26</f>
        <v>100</v>
      </c>
      <c r="V26" s="705" t="s">
        <v>14</v>
      </c>
      <c r="W26" s="706">
        <f>J26</f>
        <v>100</v>
      </c>
      <c r="X26" s="1355"/>
      <c r="Y26" s="375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55"/>
      <c r="Q27" s="1343">
        <f t="shared" si="11"/>
        <v>111</v>
      </c>
      <c r="R27" s="701" t="s">
        <v>14</v>
      </c>
      <c r="S27" s="702">
        <f>F27</f>
        <v>100</v>
      </c>
      <c r="T27" s="701" t="s">
        <v>14</v>
      </c>
      <c r="U27" s="702">
        <f>H27</f>
        <v>100</v>
      </c>
      <c r="V27" s="701" t="s">
        <v>14</v>
      </c>
      <c r="W27" s="702">
        <f>J27</f>
        <v>100</v>
      </c>
      <c r="X27" s="703"/>
      <c r="Y27" s="375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55"/>
      <c r="Q28" s="1352">
        <f t="shared" si="11"/>
        <v>111</v>
      </c>
      <c r="R28" s="705" t="s">
        <v>14</v>
      </c>
      <c r="S28" s="706">
        <f t="shared" ref="S28:S40" si="12">F28</f>
        <v>100</v>
      </c>
      <c r="T28" s="705" t="s">
        <v>14</v>
      </c>
      <c r="U28" s="706">
        <f t="shared" ref="U28:U40" si="13">H28</f>
        <v>100</v>
      </c>
      <c r="V28" s="705" t="s">
        <v>14</v>
      </c>
      <c r="W28" s="706">
        <f t="shared" ref="W28:W40" si="14">J28</f>
        <v>100</v>
      </c>
      <c r="X28" s="1355"/>
      <c r="Y28" s="375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8" t="s">
        <v>1696</v>
      </c>
      <c r="Q29" s="1352" t="str">
        <f t="shared" si="11"/>
        <v>建筑类型</v>
      </c>
      <c r="R29" s="705" t="s">
        <v>14</v>
      </c>
      <c r="S29" s="706">
        <f t="shared" si="12"/>
        <v>100</v>
      </c>
      <c r="T29" s="705" t="s">
        <v>14</v>
      </c>
      <c r="U29" s="706">
        <f t="shared" si="13"/>
        <v>100</v>
      </c>
      <c r="V29" s="705" t="s">
        <v>14</v>
      </c>
      <c r="W29" s="706">
        <f t="shared" si="14"/>
        <v>100</v>
      </c>
      <c r="X29" s="1355"/>
      <c r="Y29" s="375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9"/>
      <c r="Q30" s="707" t="str">
        <f t="shared" si="11"/>
        <v>项目建筑规模</v>
      </c>
      <c r="R30" s="708" t="s">
        <v>14</v>
      </c>
      <c r="S30" s="709" t="e">
        <f t="shared" si="12"/>
        <v>#N/A</v>
      </c>
      <c r="T30" s="708" t="s">
        <v>14</v>
      </c>
      <c r="U30" s="709" t="e">
        <f t="shared" si="13"/>
        <v>#N/A</v>
      </c>
      <c r="V30" s="708" t="s">
        <v>14</v>
      </c>
      <c r="W30" s="709" t="e">
        <f t="shared" si="14"/>
        <v>#N/A</v>
      </c>
      <c r="X30" s="710"/>
      <c r="Y30" s="375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9"/>
      <c r="Q31" s="1352" t="str">
        <f t="shared" si="11"/>
        <v>建筑结构</v>
      </c>
      <c r="R31" s="705" t="s">
        <v>14</v>
      </c>
      <c r="S31" s="706">
        <f t="shared" si="12"/>
        <v>100</v>
      </c>
      <c r="T31" s="705" t="s">
        <v>14</v>
      </c>
      <c r="U31" s="706">
        <f t="shared" si="13"/>
        <v>100</v>
      </c>
      <c r="V31" s="705" t="s">
        <v>14</v>
      </c>
      <c r="W31" s="706">
        <f t="shared" si="14"/>
        <v>100</v>
      </c>
      <c r="X31" s="1355"/>
      <c r="Y31" s="375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9"/>
      <c r="Q32" s="1352" t="str">
        <f t="shared" si="11"/>
        <v>公共部分装修</v>
      </c>
      <c r="R32" s="705" t="s">
        <v>14</v>
      </c>
      <c r="S32" s="706">
        <f t="shared" si="12"/>
        <v>100</v>
      </c>
      <c r="T32" s="705" t="s">
        <v>14</v>
      </c>
      <c r="U32" s="706">
        <f t="shared" si="13"/>
        <v>100</v>
      </c>
      <c r="V32" s="705" t="s">
        <v>14</v>
      </c>
      <c r="W32" s="706">
        <f t="shared" si="14"/>
        <v>100</v>
      </c>
      <c r="X32" s="1355"/>
      <c r="Y32" s="375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9"/>
      <c r="Q33" s="1352" t="str">
        <f t="shared" si="11"/>
        <v>成新度</v>
      </c>
      <c r="R33" s="705" t="s">
        <v>14</v>
      </c>
      <c r="S33" s="706" t="e">
        <f t="shared" si="12"/>
        <v>#N/A</v>
      </c>
      <c r="T33" s="705" t="s">
        <v>14</v>
      </c>
      <c r="U33" s="706" t="e">
        <f t="shared" si="13"/>
        <v>#N/A</v>
      </c>
      <c r="V33" s="705" t="s">
        <v>14</v>
      </c>
      <c r="W33" s="706" t="e">
        <f t="shared" si="14"/>
        <v>#N/A</v>
      </c>
      <c r="X33" s="1355"/>
      <c r="Y33" s="375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9"/>
      <c r="Q34" s="1343" t="str">
        <f t="shared" si="11"/>
        <v>物业管理</v>
      </c>
      <c r="R34" s="701" t="s">
        <v>14</v>
      </c>
      <c r="S34" s="702">
        <f t="shared" si="12"/>
        <v>100</v>
      </c>
      <c r="T34" s="701" t="s">
        <v>14</v>
      </c>
      <c r="U34" s="702">
        <f t="shared" si="13"/>
        <v>100</v>
      </c>
      <c r="V34" s="701" t="s">
        <v>14</v>
      </c>
      <c r="W34" s="702">
        <f t="shared" si="14"/>
        <v>100</v>
      </c>
      <c r="X34" s="703"/>
      <c r="Y34" s="375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9" t="s">
        <v>1696</v>
      </c>
      <c r="Q35" s="1352" t="str">
        <f t="shared" si="11"/>
        <v>市政基础设施</v>
      </c>
      <c r="R35" s="705" t="s">
        <v>14</v>
      </c>
      <c r="S35" s="706">
        <f t="shared" si="12"/>
        <v>100</v>
      </c>
      <c r="T35" s="705" t="s">
        <v>14</v>
      </c>
      <c r="U35" s="706">
        <f t="shared" si="13"/>
        <v>100</v>
      </c>
      <c r="V35" s="705" t="s">
        <v>14</v>
      </c>
      <c r="W35" s="706">
        <f t="shared" si="14"/>
        <v>100</v>
      </c>
      <c r="X35" s="1355"/>
      <c r="Y35" s="375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9"/>
      <c r="Q36" s="1352" t="str">
        <f t="shared" si="11"/>
        <v>内部装修</v>
      </c>
      <c r="R36" s="705" t="s">
        <v>14</v>
      </c>
      <c r="S36" s="706">
        <f t="shared" si="12"/>
        <v>100</v>
      </c>
      <c r="T36" s="705" t="s">
        <v>14</v>
      </c>
      <c r="U36" s="706">
        <f t="shared" si="13"/>
        <v>100</v>
      </c>
      <c r="V36" s="705" t="s">
        <v>14</v>
      </c>
      <c r="W36" s="706">
        <f t="shared" si="14"/>
        <v>100</v>
      </c>
      <c r="X36" s="1355"/>
      <c r="Y36" s="375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9"/>
      <c r="Q37" s="1352" t="str">
        <f t="shared" si="11"/>
        <v>内部装修状况</v>
      </c>
      <c r="R37" s="705" t="s">
        <v>14</v>
      </c>
      <c r="S37" s="706">
        <f t="shared" si="12"/>
        <v>100</v>
      </c>
      <c r="T37" s="705" t="s">
        <v>14</v>
      </c>
      <c r="U37" s="706">
        <f t="shared" si="13"/>
        <v>100</v>
      </c>
      <c r="V37" s="705" t="s">
        <v>14</v>
      </c>
      <c r="W37" s="706">
        <f t="shared" si="14"/>
        <v>100</v>
      </c>
      <c r="X37" s="1355"/>
      <c r="Y37" s="375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9"/>
      <c r="Q38" s="707">
        <f t="shared" si="11"/>
        <v>111</v>
      </c>
      <c r="R38" s="708" t="s">
        <v>14</v>
      </c>
      <c r="S38" s="709">
        <f t="shared" si="12"/>
        <v>100</v>
      </c>
      <c r="T38" s="708" t="s">
        <v>14</v>
      </c>
      <c r="U38" s="709">
        <f t="shared" si="13"/>
        <v>100</v>
      </c>
      <c r="V38" s="708" t="s">
        <v>14</v>
      </c>
      <c r="W38" s="709">
        <f t="shared" si="14"/>
        <v>100</v>
      </c>
      <c r="X38" s="710"/>
      <c r="Y38" s="375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9"/>
      <c r="Q39" s="1352">
        <f t="shared" si="11"/>
        <v>111</v>
      </c>
      <c r="R39" s="705" t="s">
        <v>14</v>
      </c>
      <c r="S39" s="706">
        <f t="shared" si="12"/>
        <v>100</v>
      </c>
      <c r="T39" s="705" t="s">
        <v>14</v>
      </c>
      <c r="U39" s="706">
        <f t="shared" si="13"/>
        <v>100</v>
      </c>
      <c r="V39" s="705" t="s">
        <v>14</v>
      </c>
      <c r="W39" s="706">
        <f t="shared" si="14"/>
        <v>100</v>
      </c>
      <c r="X39" s="1355"/>
      <c r="Y39" s="375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60"/>
      <c r="Q40" s="1352">
        <f t="shared" si="11"/>
        <v>111</v>
      </c>
      <c r="R40" s="705" t="s">
        <v>14</v>
      </c>
      <c r="S40" s="706">
        <f t="shared" si="12"/>
        <v>100</v>
      </c>
      <c r="T40" s="705" t="s">
        <v>14</v>
      </c>
      <c r="U40" s="706">
        <f t="shared" si="13"/>
        <v>100</v>
      </c>
      <c r="V40" s="705" t="s">
        <v>14</v>
      </c>
      <c r="W40" s="706">
        <f t="shared" si="14"/>
        <v>100</v>
      </c>
      <c r="X40" s="1355"/>
      <c r="Y40" s="376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52" t="str">
        <f>A41</f>
        <v>成交单价（元/平方米）</v>
      </c>
      <c r="Q41" s="3752"/>
      <c r="R41" s="3753">
        <f>E41</f>
        <v>0</v>
      </c>
      <c r="S41" s="3753"/>
      <c r="T41" s="3753">
        <f>G41</f>
        <v>0</v>
      </c>
      <c r="U41" s="3753"/>
      <c r="V41" s="3753">
        <f>I41</f>
        <v>0</v>
      </c>
      <c r="W41" s="375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52" t="str">
        <f>A42</f>
        <v>比较价值（元/平方米）</v>
      </c>
      <c r="Q42" s="3752"/>
      <c r="R42" s="3753" t="e">
        <f>IF(F1="售价",ROUND(PRODUCT(R41,AA7:AA40),0),ROUND(PRODUCT(R41,AA7:AA40),1))</f>
        <v>#DIV/0!</v>
      </c>
      <c r="S42" s="3753"/>
      <c r="T42" s="3753" t="e">
        <f>IF(F1="售价",ROUND(PRODUCT(T41,AB7:AB40),0),ROUND(PRODUCT(T41,AB7:AB40),1))</f>
        <v>#DIV/0!</v>
      </c>
      <c r="U42" s="3753"/>
      <c r="V42" s="3753" t="e">
        <f>IF(F1="售价",ROUND(PRODUCT(V41,AC7:AC40),0),ROUND(PRODUCT(V41,AC7:AC40),1))</f>
        <v>#DIV/0!</v>
      </c>
      <c r="W42" s="375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49" t="str">
        <f>A43</f>
        <v>估价对象XX用房的比较价值（楼面单价，元/平方米）</v>
      </c>
      <c r="Q43" s="3750"/>
      <c r="R43" s="3751" t="e">
        <f>IF(F1="售价",ROUND(IF(D42="简单平均",AVERAGE(R42:V42),R42*F42+T42*H42+V42*J42),0),ROUND(IF(D42="简单平均",AVERAGE(R42:V42),R42*F42+T42*H42+V42*J42),1))</f>
        <v>#DIV/0!</v>
      </c>
      <c r="S43" s="3751"/>
      <c r="T43" s="3751"/>
      <c r="U43" s="3751"/>
      <c r="V43" s="3751"/>
      <c r="W43" s="375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2025-8</v>
      </c>
      <c r="D52" s="1185">
        <f>EDATE(C52,-1)</f>
        <v>45839</v>
      </c>
      <c r="E52" s="1185">
        <f t="shared" ref="E52:O52" si="16">EDATE(D52,-1)</f>
        <v>45809</v>
      </c>
      <c r="F52" s="1185">
        <f t="shared" si="16"/>
        <v>45778</v>
      </c>
      <c r="G52" s="1185">
        <f t="shared" si="16"/>
        <v>45748</v>
      </c>
      <c r="H52" s="1185">
        <f t="shared" si="16"/>
        <v>45717</v>
      </c>
      <c r="I52" s="1185">
        <f t="shared" si="16"/>
        <v>45689</v>
      </c>
      <c r="J52" s="1185">
        <f t="shared" si="16"/>
        <v>45658</v>
      </c>
      <c r="K52" s="1185">
        <f t="shared" si="16"/>
        <v>45627</v>
      </c>
      <c r="L52" s="1185">
        <f t="shared" si="16"/>
        <v>45597</v>
      </c>
      <c r="M52" s="1185">
        <f t="shared" si="16"/>
        <v>45566</v>
      </c>
      <c r="N52" s="1185">
        <f t="shared" si="16"/>
        <v>45536</v>
      </c>
      <c r="O52" s="1185">
        <f t="shared" si="16"/>
        <v>45505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35" t="s">
        <v>1770</v>
      </c>
      <c r="D4" s="3736"/>
      <c r="E4" s="3737" t="s">
        <v>1771</v>
      </c>
      <c r="F4" s="3738"/>
      <c r="G4" s="3735" t="s">
        <v>1772</v>
      </c>
      <c r="H4" s="3736"/>
      <c r="I4" s="3735" t="s">
        <v>1773</v>
      </c>
      <c r="J4" s="3736"/>
      <c r="K4" s="559" t="s">
        <v>1774</v>
      </c>
      <c r="L4" s="2715"/>
      <c r="M4" s="2716"/>
      <c r="N4" s="2716"/>
      <c r="O4" s="2716"/>
      <c r="P4" s="3739" t="s">
        <v>1775</v>
      </c>
      <c r="Q4" s="3740"/>
      <c r="R4" s="3722" t="s">
        <v>1771</v>
      </c>
      <c r="S4" s="3723"/>
      <c r="T4" s="3722" t="s">
        <v>1772</v>
      </c>
      <c r="U4" s="3723"/>
      <c r="V4" s="3747" t="s">
        <v>1773</v>
      </c>
      <c r="W4" s="3747"/>
      <c r="X4" s="1355"/>
      <c r="Y4" s="3722" t="s">
        <v>1775</v>
      </c>
      <c r="Z4" s="3723"/>
      <c r="AA4" s="3717" t="s">
        <v>1771</v>
      </c>
      <c r="AB4" s="3718" t="s">
        <v>1772</v>
      </c>
      <c r="AC4" s="3717" t="s">
        <v>1773</v>
      </c>
    </row>
    <row r="5" spans="1:29" ht="15">
      <c r="A5" s="358"/>
      <c r="B5" s="359"/>
      <c r="C5" s="3728" t="s">
        <v>1673</v>
      </c>
      <c r="D5" s="3729"/>
      <c r="E5" s="3726" t="s">
        <v>1674</v>
      </c>
      <c r="F5" s="3727"/>
      <c r="G5" s="3728" t="s">
        <v>1675</v>
      </c>
      <c r="H5" s="3729"/>
      <c r="I5" s="3728" t="s">
        <v>1676</v>
      </c>
      <c r="J5" s="3729"/>
      <c r="K5" s="559"/>
      <c r="L5" s="2715"/>
      <c r="M5" s="2716"/>
      <c r="N5" s="2716"/>
      <c r="O5" s="2716"/>
      <c r="P5" s="3741"/>
      <c r="Q5" s="3742"/>
      <c r="R5" s="3724"/>
      <c r="S5" s="3725"/>
      <c r="T5" s="3724"/>
      <c r="U5" s="3725"/>
      <c r="V5" s="3747"/>
      <c r="W5" s="3747"/>
      <c r="X5" s="1355"/>
      <c r="Y5" s="3724"/>
      <c r="Z5" s="3725"/>
      <c r="AA5" s="3718"/>
      <c r="AB5" s="3718"/>
      <c r="AC5" s="3718"/>
    </row>
    <row r="6" spans="1:29" ht="15.75" thickBot="1">
      <c r="A6" s="360"/>
      <c r="B6" s="361"/>
      <c r="C6" s="3730" t="s">
        <v>1677</v>
      </c>
      <c r="D6" s="3731"/>
      <c r="E6" s="3732" t="s">
        <v>1677</v>
      </c>
      <c r="F6" s="3733"/>
      <c r="G6" s="3730" t="s">
        <v>1677</v>
      </c>
      <c r="H6" s="3731"/>
      <c r="I6" s="3730" t="s">
        <v>1677</v>
      </c>
      <c r="J6" s="3731"/>
      <c r="K6" s="559" t="s">
        <v>1678</v>
      </c>
      <c r="L6" s="2715"/>
      <c r="M6" s="2716"/>
      <c r="N6" s="2716"/>
      <c r="O6" s="2716"/>
      <c r="P6" s="3743"/>
      <c r="Q6" s="3744"/>
      <c r="R6" s="3724"/>
      <c r="S6" s="3725"/>
      <c r="T6" s="3745"/>
      <c r="U6" s="3746"/>
      <c r="V6" s="3747"/>
      <c r="W6" s="3747"/>
      <c r="X6" s="1355"/>
      <c r="Y6" s="3745"/>
      <c r="Z6" s="3746"/>
      <c r="AA6" s="3719"/>
      <c r="AB6" s="3719"/>
      <c r="AC6" s="3719"/>
    </row>
    <row r="7" spans="1:29" s="108" customFormat="1" ht="15.75" thickBot="1">
      <c r="A7" s="362" t="s">
        <v>1679</v>
      </c>
      <c r="B7" s="363"/>
      <c r="C7" s="364">
        <f>'数据-取费表'!B2</f>
        <v>45891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0" t="s">
        <v>1680</v>
      </c>
      <c r="Q7" s="3748"/>
      <c r="R7" s="701" t="s">
        <v>14</v>
      </c>
      <c r="S7" s="702">
        <f t="shared" ref="S7:S14" si="0">F7</f>
        <v>0</v>
      </c>
      <c r="T7" s="701" t="s">
        <v>14</v>
      </c>
      <c r="U7" s="702">
        <f t="shared" ref="U7:U14" si="1">H7</f>
        <v>0</v>
      </c>
      <c r="V7" s="701" t="s">
        <v>14</v>
      </c>
      <c r="W7" s="702">
        <f t="shared" ref="W7:W14" si="2">J7</f>
        <v>0</v>
      </c>
      <c r="X7" s="703"/>
      <c r="Y7" s="3720" t="s">
        <v>1680</v>
      </c>
      <c r="Z7" s="372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0" t="s">
        <v>1683</v>
      </c>
      <c r="Q8" s="3721"/>
      <c r="R8" s="701" t="s">
        <v>14</v>
      </c>
      <c r="S8" s="702">
        <f t="shared" si="0"/>
        <v>100</v>
      </c>
      <c r="T8" s="701" t="s">
        <v>14</v>
      </c>
      <c r="U8" s="702">
        <f t="shared" si="1"/>
        <v>100</v>
      </c>
      <c r="V8" s="701" t="s">
        <v>14</v>
      </c>
      <c r="W8" s="702">
        <f t="shared" si="2"/>
        <v>100</v>
      </c>
      <c r="X8" s="703"/>
      <c r="Y8" s="3720" t="s">
        <v>1683</v>
      </c>
      <c r="Z8" s="372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52" t="s">
        <v>1686</v>
      </c>
      <c r="Q9" s="1343" t="str">
        <f t="shared" ref="Q9:Q14" si="6">B9</f>
        <v>用途</v>
      </c>
      <c r="R9" s="701" t="s">
        <v>14</v>
      </c>
      <c r="S9" s="702">
        <f t="shared" si="0"/>
        <v>100</v>
      </c>
      <c r="T9" s="701" t="s">
        <v>14</v>
      </c>
      <c r="U9" s="702">
        <f t="shared" si="1"/>
        <v>100</v>
      </c>
      <c r="V9" s="701" t="s">
        <v>14</v>
      </c>
      <c r="W9" s="702">
        <f t="shared" si="2"/>
        <v>100</v>
      </c>
      <c r="X9" s="703"/>
      <c r="Y9" s="3645"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52"/>
      <c r="Q10" s="1343" t="str">
        <f t="shared" si="6"/>
        <v>土地使用年限（年）</v>
      </c>
      <c r="R10" s="701" t="s">
        <v>14</v>
      </c>
      <c r="S10" s="702">
        <f t="shared" si="0"/>
        <v>100</v>
      </c>
      <c r="T10" s="701" t="s">
        <v>14</v>
      </c>
      <c r="U10" s="702">
        <f t="shared" si="1"/>
        <v>100</v>
      </c>
      <c r="V10" s="701" t="s">
        <v>14</v>
      </c>
      <c r="W10" s="702">
        <f t="shared" si="2"/>
        <v>100</v>
      </c>
      <c r="X10" s="703"/>
      <c r="Y10" s="364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52"/>
      <c r="Q11" s="1343">
        <f t="shared" si="6"/>
        <v>111</v>
      </c>
      <c r="R11" s="701" t="s">
        <v>14</v>
      </c>
      <c r="S11" s="702">
        <f t="shared" si="0"/>
        <v>100</v>
      </c>
      <c r="T11" s="701" t="s">
        <v>14</v>
      </c>
      <c r="U11" s="702">
        <f t="shared" si="1"/>
        <v>100</v>
      </c>
      <c r="V11" s="701" t="s">
        <v>14</v>
      </c>
      <c r="W11" s="702">
        <f t="shared" si="2"/>
        <v>100</v>
      </c>
      <c r="X11" s="703"/>
      <c r="Y11" s="364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52"/>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52"/>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54" t="s">
        <v>1691</v>
      </c>
      <c r="Q14" s="1352" t="str">
        <f t="shared" si="6"/>
        <v>交通便捷度</v>
      </c>
      <c r="R14" s="705" t="s">
        <v>14</v>
      </c>
      <c r="S14" s="706">
        <f t="shared" si="0"/>
        <v>100</v>
      </c>
      <c r="T14" s="705" t="s">
        <v>14</v>
      </c>
      <c r="U14" s="706">
        <f t="shared" si="1"/>
        <v>100</v>
      </c>
      <c r="V14" s="705" t="s">
        <v>14</v>
      </c>
      <c r="W14" s="706">
        <f t="shared" si="2"/>
        <v>100</v>
      </c>
      <c r="X14" s="1355"/>
      <c r="Y14" s="375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55"/>
      <c r="Q15" s="1352"/>
      <c r="R15" s="705"/>
      <c r="S15" s="706"/>
      <c r="T15" s="705"/>
      <c r="U15" s="706"/>
      <c r="V15" s="705"/>
      <c r="W15" s="706"/>
      <c r="X15" s="1355"/>
      <c r="Y15" s="375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55"/>
      <c r="Q16" s="1352" t="str">
        <f>B16</f>
        <v>公共配套设施</v>
      </c>
      <c r="R16" s="705" t="s">
        <v>14</v>
      </c>
      <c r="S16" s="706">
        <f>F16</f>
        <v>100</v>
      </c>
      <c r="T16" s="705" t="s">
        <v>14</v>
      </c>
      <c r="U16" s="706">
        <f>H16</f>
        <v>100</v>
      </c>
      <c r="V16" s="705" t="s">
        <v>14</v>
      </c>
      <c r="W16" s="706">
        <f>J16</f>
        <v>100</v>
      </c>
      <c r="X16" s="1355"/>
      <c r="Y16" s="375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55"/>
      <c r="Q17" s="1352"/>
      <c r="R17" s="705"/>
      <c r="S17" s="706"/>
      <c r="T17" s="705"/>
      <c r="U17" s="706"/>
      <c r="V17" s="705"/>
      <c r="W17" s="706"/>
      <c r="X17" s="1355"/>
      <c r="Y17" s="375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55"/>
      <c r="Q18" s="1352" t="str">
        <f>B18</f>
        <v>基础设施水平</v>
      </c>
      <c r="R18" s="705" t="s">
        <v>14</v>
      </c>
      <c r="S18" s="706">
        <f>F18</f>
        <v>100</v>
      </c>
      <c r="T18" s="705" t="s">
        <v>14</v>
      </c>
      <c r="U18" s="706">
        <f>H18</f>
        <v>100</v>
      </c>
      <c r="V18" s="705" t="s">
        <v>14</v>
      </c>
      <c r="W18" s="706">
        <f>J18</f>
        <v>100</v>
      </c>
      <c r="X18" s="1355"/>
      <c r="Y18" s="375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55"/>
      <c r="Q19" s="1352"/>
      <c r="R19" s="705"/>
      <c r="S19" s="706"/>
      <c r="T19" s="705"/>
      <c r="U19" s="706"/>
      <c r="V19" s="705"/>
      <c r="W19" s="706"/>
      <c r="X19" s="1355"/>
      <c r="Y19" s="375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55"/>
      <c r="Q20" s="1352" t="str">
        <f>B20</f>
        <v>自然及人文环境</v>
      </c>
      <c r="R20" s="705" t="s">
        <v>14</v>
      </c>
      <c r="S20" s="706">
        <f>F20</f>
        <v>100</v>
      </c>
      <c r="T20" s="705" t="s">
        <v>14</v>
      </c>
      <c r="U20" s="706">
        <f>H20</f>
        <v>100</v>
      </c>
      <c r="V20" s="705" t="s">
        <v>14</v>
      </c>
      <c r="W20" s="706">
        <f>J20</f>
        <v>100</v>
      </c>
      <c r="X20" s="1355"/>
      <c r="Y20" s="375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55"/>
      <c r="Q21" s="1352"/>
      <c r="R21" s="705"/>
      <c r="S21" s="706"/>
      <c r="T21" s="705"/>
      <c r="U21" s="706"/>
      <c r="V21" s="705"/>
      <c r="W21" s="706"/>
      <c r="X21" s="1355"/>
      <c r="Y21" s="375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55"/>
      <c r="Q22" s="1352" t="str">
        <f>B22</f>
        <v>楼层</v>
      </c>
      <c r="R22" s="705" t="s">
        <v>14</v>
      </c>
      <c r="S22" s="706">
        <f>F22</f>
        <v>100</v>
      </c>
      <c r="T22" s="705" t="s">
        <v>14</v>
      </c>
      <c r="U22" s="706">
        <f>H22</f>
        <v>100</v>
      </c>
      <c r="V22" s="705" t="s">
        <v>14</v>
      </c>
      <c r="W22" s="706">
        <f>J22</f>
        <v>100</v>
      </c>
      <c r="X22" s="1355"/>
      <c r="Y22" s="375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55"/>
      <c r="Q23" s="1352">
        <f>B23</f>
        <v>111</v>
      </c>
      <c r="R23" s="705" t="s">
        <v>14</v>
      </c>
      <c r="S23" s="706">
        <f>F23</f>
        <v>100</v>
      </c>
      <c r="T23" s="705" t="s">
        <v>14</v>
      </c>
      <c r="U23" s="706">
        <f>H23</f>
        <v>100</v>
      </c>
      <c r="V23" s="705" t="s">
        <v>14</v>
      </c>
      <c r="W23" s="706">
        <f>J23</f>
        <v>100</v>
      </c>
      <c r="X23" s="1355"/>
      <c r="Y23" s="375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55"/>
      <c r="Q24" s="1352">
        <f t="shared" ref="Q24:Q36" si="11">B24</f>
        <v>111</v>
      </c>
      <c r="R24" s="705" t="s">
        <v>14</v>
      </c>
      <c r="S24" s="706">
        <f>F24</f>
        <v>100</v>
      </c>
      <c r="T24" s="705" t="s">
        <v>14</v>
      </c>
      <c r="U24" s="706">
        <f>H24</f>
        <v>100</v>
      </c>
      <c r="V24" s="705" t="s">
        <v>14</v>
      </c>
      <c r="W24" s="706">
        <f>J24</f>
        <v>100</v>
      </c>
      <c r="X24" s="1355"/>
      <c r="Y24" s="375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55"/>
      <c r="Q25" s="1343">
        <f t="shared" si="11"/>
        <v>111</v>
      </c>
      <c r="R25" s="701" t="s">
        <v>14</v>
      </c>
      <c r="S25" s="702">
        <f>F25</f>
        <v>100</v>
      </c>
      <c r="T25" s="701" t="s">
        <v>14</v>
      </c>
      <c r="U25" s="702">
        <f>H25</f>
        <v>100</v>
      </c>
      <c r="V25" s="701" t="s">
        <v>14</v>
      </c>
      <c r="W25" s="702">
        <f>J25</f>
        <v>100</v>
      </c>
      <c r="X25" s="703"/>
      <c r="Y25" s="375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7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5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59"/>
      <c r="Q27" s="707" t="str">
        <f t="shared" si="11"/>
        <v>项目停车位配比</v>
      </c>
      <c r="R27" s="708" t="s">
        <v>14</v>
      </c>
      <c r="S27" s="709">
        <f t="shared" si="12"/>
        <v>100</v>
      </c>
      <c r="T27" s="708" t="s">
        <v>14</v>
      </c>
      <c r="U27" s="709">
        <f t="shared" si="13"/>
        <v>100</v>
      </c>
      <c r="V27" s="708" t="s">
        <v>14</v>
      </c>
      <c r="W27" s="709">
        <f t="shared" si="14"/>
        <v>100</v>
      </c>
      <c r="X27" s="710"/>
      <c r="Y27" s="375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59"/>
      <c r="Q28" s="1352" t="str">
        <f t="shared" si="11"/>
        <v>公共部分装修</v>
      </c>
      <c r="R28" s="705" t="s">
        <v>14</v>
      </c>
      <c r="S28" s="706">
        <f t="shared" si="12"/>
        <v>100</v>
      </c>
      <c r="T28" s="705" t="s">
        <v>14</v>
      </c>
      <c r="U28" s="706">
        <f t="shared" si="13"/>
        <v>100</v>
      </c>
      <c r="V28" s="705" t="s">
        <v>14</v>
      </c>
      <c r="W28" s="706">
        <f t="shared" si="14"/>
        <v>100</v>
      </c>
      <c r="X28" s="1355"/>
      <c r="Y28" s="375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59"/>
      <c r="Q29" s="1352" t="str">
        <f t="shared" si="11"/>
        <v>成新率</v>
      </c>
      <c r="R29" s="705" t="s">
        <v>14</v>
      </c>
      <c r="S29" s="706" t="e">
        <f t="shared" si="12"/>
        <v>#N/A</v>
      </c>
      <c r="T29" s="705" t="s">
        <v>14</v>
      </c>
      <c r="U29" s="706" t="e">
        <f t="shared" si="13"/>
        <v>#N/A</v>
      </c>
      <c r="V29" s="705" t="s">
        <v>14</v>
      </c>
      <c r="W29" s="706" t="e">
        <f t="shared" si="14"/>
        <v>#N/A</v>
      </c>
      <c r="X29" s="1355"/>
      <c r="Y29" s="375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59"/>
      <c r="Q30" s="1352" t="str">
        <f t="shared" si="11"/>
        <v>物业等级</v>
      </c>
      <c r="R30" s="705" t="s">
        <v>14</v>
      </c>
      <c r="S30" s="706">
        <f t="shared" si="12"/>
        <v>100</v>
      </c>
      <c r="T30" s="705" t="s">
        <v>14</v>
      </c>
      <c r="U30" s="706">
        <f t="shared" si="13"/>
        <v>100</v>
      </c>
      <c r="V30" s="705" t="s">
        <v>14</v>
      </c>
      <c r="W30" s="706">
        <f t="shared" si="14"/>
        <v>100</v>
      </c>
      <c r="X30" s="1355"/>
      <c r="Y30" s="375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59"/>
      <c r="Q31" s="1343" t="str">
        <f t="shared" si="11"/>
        <v>停车位面积</v>
      </c>
      <c r="R31" s="701" t="s">
        <v>14</v>
      </c>
      <c r="S31" s="702" t="e">
        <f t="shared" si="12"/>
        <v>#N/A</v>
      </c>
      <c r="T31" s="701" t="s">
        <v>14</v>
      </c>
      <c r="U31" s="702" t="e">
        <f t="shared" si="13"/>
        <v>#N/A</v>
      </c>
      <c r="V31" s="701" t="s">
        <v>14</v>
      </c>
      <c r="W31" s="702" t="e">
        <f t="shared" si="14"/>
        <v>#N/A</v>
      </c>
      <c r="X31" s="703"/>
      <c r="Y31" s="375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59" t="s">
        <v>1696</v>
      </c>
      <c r="Q32" s="1352" t="str">
        <f t="shared" si="11"/>
        <v>车位类型</v>
      </c>
      <c r="R32" s="705" t="s">
        <v>14</v>
      </c>
      <c r="S32" s="706">
        <f t="shared" si="12"/>
        <v>100</v>
      </c>
      <c r="T32" s="705" t="s">
        <v>14</v>
      </c>
      <c r="U32" s="706">
        <f t="shared" si="13"/>
        <v>100</v>
      </c>
      <c r="V32" s="705" t="s">
        <v>14</v>
      </c>
      <c r="W32" s="706">
        <f t="shared" si="14"/>
        <v>100</v>
      </c>
      <c r="X32" s="1355"/>
      <c r="Y32" s="375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59"/>
      <c r="Q33" s="1352" t="str">
        <f t="shared" si="11"/>
        <v>是否直接入户</v>
      </c>
      <c r="R33" s="705" t="s">
        <v>14</v>
      </c>
      <c r="S33" s="706">
        <f t="shared" si="12"/>
        <v>100</v>
      </c>
      <c r="T33" s="705" t="s">
        <v>14</v>
      </c>
      <c r="U33" s="706">
        <f t="shared" si="13"/>
        <v>100</v>
      </c>
      <c r="V33" s="705" t="s">
        <v>14</v>
      </c>
      <c r="W33" s="706">
        <f t="shared" si="14"/>
        <v>100</v>
      </c>
      <c r="X33" s="1355"/>
      <c r="Y33" s="375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59"/>
      <c r="Q34" s="1352">
        <f t="shared" si="11"/>
        <v>111</v>
      </c>
      <c r="R34" s="705" t="s">
        <v>14</v>
      </c>
      <c r="S34" s="706">
        <f t="shared" si="12"/>
        <v>100</v>
      </c>
      <c r="T34" s="705" t="s">
        <v>14</v>
      </c>
      <c r="U34" s="706">
        <f t="shared" si="13"/>
        <v>100</v>
      </c>
      <c r="V34" s="705" t="s">
        <v>14</v>
      </c>
      <c r="W34" s="706">
        <f t="shared" si="14"/>
        <v>100</v>
      </c>
      <c r="X34" s="1355"/>
      <c r="Y34" s="375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59"/>
      <c r="Q35" s="707">
        <f t="shared" si="11"/>
        <v>111</v>
      </c>
      <c r="R35" s="708" t="s">
        <v>14</v>
      </c>
      <c r="S35" s="709">
        <f t="shared" si="12"/>
        <v>100</v>
      </c>
      <c r="T35" s="708" t="s">
        <v>14</v>
      </c>
      <c r="U35" s="709">
        <f t="shared" si="13"/>
        <v>100</v>
      </c>
      <c r="V35" s="708" t="s">
        <v>14</v>
      </c>
      <c r="W35" s="709">
        <f t="shared" si="14"/>
        <v>100</v>
      </c>
      <c r="X35" s="710"/>
      <c r="Y35" s="375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59"/>
      <c r="Q36" s="1352">
        <f t="shared" si="11"/>
        <v>111</v>
      </c>
      <c r="R36" s="705" t="s">
        <v>14</v>
      </c>
      <c r="S36" s="706">
        <f t="shared" si="12"/>
        <v>100</v>
      </c>
      <c r="T36" s="705" t="s">
        <v>14</v>
      </c>
      <c r="U36" s="706">
        <f t="shared" si="13"/>
        <v>100</v>
      </c>
      <c r="V36" s="705" t="s">
        <v>14</v>
      </c>
      <c r="W36" s="706">
        <f t="shared" si="14"/>
        <v>100</v>
      </c>
      <c r="X36" s="1355"/>
      <c r="Y36" s="3759"/>
      <c r="Z36" s="1356">
        <f t="shared" si="15"/>
        <v>111</v>
      </c>
      <c r="AA36" s="1353">
        <f t="shared" si="3"/>
        <v>1</v>
      </c>
      <c r="AB36" s="1353">
        <f t="shared" si="4"/>
        <v>1</v>
      </c>
      <c r="AC36" s="1353">
        <f t="shared" si="5"/>
        <v>1</v>
      </c>
    </row>
    <row r="37" spans="1:29" ht="15">
      <c r="A37" s="430" t="s">
        <v>1844</v>
      </c>
      <c r="B37" s="1973" t="s">
        <v>3353</v>
      </c>
      <c r="C37" s="1154" t="s">
        <v>0</v>
      </c>
      <c r="D37" s="1155"/>
      <c r="E37" s="1156"/>
      <c r="F37" s="1157"/>
      <c r="G37" s="1158"/>
      <c r="H37" s="1159"/>
      <c r="I37" s="1156"/>
      <c r="J37" s="1159"/>
      <c r="K37" s="568"/>
      <c r="L37" s="2724"/>
      <c r="M37" s="2725"/>
      <c r="N37" s="2716"/>
      <c r="O37" s="2725"/>
      <c r="P37" s="3752" t="str">
        <f>A37</f>
        <v>成交单价</v>
      </c>
      <c r="Q37" s="3752"/>
      <c r="R37" s="3753">
        <f>E37</f>
        <v>0</v>
      </c>
      <c r="S37" s="3753"/>
      <c r="T37" s="3753">
        <f>G37</f>
        <v>0</v>
      </c>
      <c r="U37" s="3753"/>
      <c r="V37" s="3753">
        <f>I37</f>
        <v>0</v>
      </c>
      <c r="W37" s="375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52" t="str">
        <f>A38</f>
        <v>比较价值（元/平方米）</v>
      </c>
      <c r="Q38" s="3752"/>
      <c r="R38" s="3753" t="e">
        <f>IF(F1="售价",ROUND(PRODUCT(R37,AA7:AA36),0),ROUND(PRODUCT(R37,AA7:AA36),1))</f>
        <v>#DIV/0!</v>
      </c>
      <c r="S38" s="3753"/>
      <c r="T38" s="3753" t="e">
        <f>IF(F1="售价",ROUND(PRODUCT(T37,AB7:AB36),0),ROUND(PRODUCT(T37,AB7:AB36),1))</f>
        <v>#DIV/0!</v>
      </c>
      <c r="U38" s="3753"/>
      <c r="V38" s="3753" t="e">
        <f>IF(F1="售价",ROUND(PRODUCT(V37,AC7:AC36),0),ROUND(PRODUCT(V37,AC7:AC36),1))</f>
        <v>#DIV/0!</v>
      </c>
      <c r="W38" s="375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49" t="str">
        <f>A39</f>
        <v>估价对象XX用房的比较价值（楼面单价，元/平方米）</v>
      </c>
      <c r="Q39" s="3750"/>
      <c r="R39" s="3779" t="e">
        <f>IF(F1="售价",ROUND(IF(D38="简单平均",AVERAGE(R38:W38),R38*F38+T38*H38+V38*J38),0),ROUND(IF(D38="简单平均",AVERAGE(R38:V38),R38*F38+T38*H38+V38*J38),1))</f>
        <v>#DIV/0!</v>
      </c>
      <c r="S39" s="3779"/>
      <c r="T39" s="3779"/>
      <c r="U39" s="3779"/>
      <c r="V39" s="3779"/>
      <c r="W39" s="377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2025-8</v>
      </c>
      <c r="D48" s="1185">
        <f>EDATE(C48,-1)</f>
        <v>45839</v>
      </c>
      <c r="E48" s="1185">
        <f t="shared" ref="E48:O48" si="16">EDATE(D48,-1)</f>
        <v>45809</v>
      </c>
      <c r="F48" s="1185">
        <f t="shared" si="16"/>
        <v>45778</v>
      </c>
      <c r="G48" s="1185">
        <f t="shared" si="16"/>
        <v>45748</v>
      </c>
      <c r="H48" s="1185">
        <f t="shared" si="16"/>
        <v>45717</v>
      </c>
      <c r="I48" s="1185">
        <f t="shared" si="16"/>
        <v>45689</v>
      </c>
      <c r="J48" s="1185">
        <f t="shared" si="16"/>
        <v>45658</v>
      </c>
      <c r="K48" s="1185">
        <f t="shared" si="16"/>
        <v>45627</v>
      </c>
      <c r="L48" s="1185">
        <f t="shared" si="16"/>
        <v>45597</v>
      </c>
      <c r="M48" s="1185">
        <f t="shared" si="16"/>
        <v>45566</v>
      </c>
      <c r="N48" s="1185">
        <f t="shared" si="16"/>
        <v>45536</v>
      </c>
      <c r="O48" s="1185">
        <f t="shared" si="16"/>
        <v>45505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35" t="s">
        <v>1770</v>
      </c>
      <c r="D4" s="3736"/>
      <c r="E4" s="3737" t="s">
        <v>1771</v>
      </c>
      <c r="F4" s="3738"/>
      <c r="G4" s="3735" t="s">
        <v>1772</v>
      </c>
      <c r="H4" s="3736"/>
      <c r="I4" s="3735" t="s">
        <v>1773</v>
      </c>
      <c r="J4" s="3736"/>
      <c r="K4" s="559" t="s">
        <v>1774</v>
      </c>
      <c r="L4" s="2715"/>
      <c r="M4" s="2716"/>
      <c r="N4" s="2716"/>
      <c r="O4" s="2716"/>
      <c r="P4" s="3739" t="s">
        <v>1775</v>
      </c>
      <c r="Q4" s="3740"/>
      <c r="R4" s="3722" t="s">
        <v>1771</v>
      </c>
      <c r="S4" s="3723"/>
      <c r="T4" s="3722" t="s">
        <v>1772</v>
      </c>
      <c r="U4" s="3723"/>
      <c r="V4" s="3747" t="s">
        <v>1773</v>
      </c>
      <c r="W4" s="3747"/>
      <c r="X4" s="1355"/>
      <c r="Y4" s="3722" t="s">
        <v>1775</v>
      </c>
      <c r="Z4" s="3723"/>
      <c r="AA4" s="3717" t="s">
        <v>1771</v>
      </c>
      <c r="AB4" s="3718" t="s">
        <v>1772</v>
      </c>
      <c r="AC4" s="3717" t="s">
        <v>1773</v>
      </c>
    </row>
    <row r="5" spans="1:30" ht="15">
      <c r="A5" s="358"/>
      <c r="B5" s="359"/>
      <c r="C5" s="3728" t="s">
        <v>1673</v>
      </c>
      <c r="D5" s="3729"/>
      <c r="E5" s="3726" t="s">
        <v>1674</v>
      </c>
      <c r="F5" s="3727"/>
      <c r="G5" s="3728" t="s">
        <v>1675</v>
      </c>
      <c r="H5" s="3729"/>
      <c r="I5" s="3728" t="s">
        <v>1676</v>
      </c>
      <c r="J5" s="3729"/>
      <c r="K5" s="559"/>
      <c r="L5" s="2715"/>
      <c r="M5" s="2716"/>
      <c r="N5" s="2716"/>
      <c r="O5" s="2716"/>
      <c r="P5" s="3741"/>
      <c r="Q5" s="3742"/>
      <c r="R5" s="3724"/>
      <c r="S5" s="3725"/>
      <c r="T5" s="3724"/>
      <c r="U5" s="3725"/>
      <c r="V5" s="3747"/>
      <c r="W5" s="3747"/>
      <c r="X5" s="1355"/>
      <c r="Y5" s="3724"/>
      <c r="Z5" s="3725"/>
      <c r="AA5" s="3718"/>
      <c r="AB5" s="3718"/>
      <c r="AC5" s="3718"/>
    </row>
    <row r="6" spans="1:30" ht="15.75" thickBot="1">
      <c r="A6" s="360"/>
      <c r="B6" s="361"/>
      <c r="C6" s="3730" t="s">
        <v>1677</v>
      </c>
      <c r="D6" s="3731"/>
      <c r="E6" s="3732" t="s">
        <v>1677</v>
      </c>
      <c r="F6" s="3733"/>
      <c r="G6" s="3730" t="s">
        <v>1677</v>
      </c>
      <c r="H6" s="3731"/>
      <c r="I6" s="3730" t="s">
        <v>1677</v>
      </c>
      <c r="J6" s="3731"/>
      <c r="K6" s="559" t="s">
        <v>1678</v>
      </c>
      <c r="L6" s="2715"/>
      <c r="M6" s="2716"/>
      <c r="N6" s="2716"/>
      <c r="O6" s="2716"/>
      <c r="P6" s="3743"/>
      <c r="Q6" s="3744"/>
      <c r="R6" s="3724"/>
      <c r="S6" s="3725"/>
      <c r="T6" s="3745"/>
      <c r="U6" s="3746"/>
      <c r="V6" s="3747"/>
      <c r="W6" s="3747"/>
      <c r="X6" s="1355"/>
      <c r="Y6" s="3745"/>
      <c r="Z6" s="3746"/>
      <c r="AA6" s="3719"/>
      <c r="AB6" s="3719"/>
      <c r="AC6" s="3719"/>
    </row>
    <row r="7" spans="1:30" s="108" customFormat="1" ht="15.75" thickBot="1">
      <c r="A7" s="362" t="s">
        <v>1679</v>
      </c>
      <c r="B7" s="363"/>
      <c r="C7" s="364">
        <f>'数据-取费表'!B2</f>
        <v>45891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0" t="s">
        <v>1680</v>
      </c>
      <c r="Q7" s="3748"/>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0" t="s">
        <v>1683</v>
      </c>
      <c r="Q8" s="3721"/>
      <c r="R8" s="701" t="s">
        <v>14</v>
      </c>
      <c r="S8" s="702">
        <f t="shared" si="0"/>
        <v>0</v>
      </c>
      <c r="T8" s="701" t="s">
        <v>14</v>
      </c>
      <c r="U8" s="702">
        <f t="shared" si="1"/>
        <v>0</v>
      </c>
      <c r="V8" s="701" t="s">
        <v>14</v>
      </c>
      <c r="W8" s="702">
        <f t="shared" si="2"/>
        <v>0</v>
      </c>
      <c r="X8" s="703"/>
      <c r="Y8" s="3720" t="s">
        <v>1683</v>
      </c>
      <c r="Z8" s="372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52" t="s">
        <v>1686</v>
      </c>
      <c r="Q9" s="1343" t="str">
        <f t="shared" ref="Q9:Q15" si="6">B9</f>
        <v>用途</v>
      </c>
      <c r="R9" s="701" t="s">
        <v>14</v>
      </c>
      <c r="S9" s="702">
        <f t="shared" si="0"/>
        <v>100</v>
      </c>
      <c r="T9" s="701" t="s">
        <v>14</v>
      </c>
      <c r="U9" s="702">
        <f t="shared" si="1"/>
        <v>100</v>
      </c>
      <c r="V9" s="701" t="s">
        <v>14</v>
      </c>
      <c r="W9" s="702">
        <f t="shared" si="2"/>
        <v>100</v>
      </c>
      <c r="X9" s="703"/>
      <c r="Y9" s="364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9"/>
      <c r="M10" s="2720"/>
      <c r="N10" s="2720"/>
      <c r="O10" s="2773"/>
      <c r="P10" s="3752"/>
      <c r="Q10" s="1343" t="str">
        <f t="shared" si="6"/>
        <v>土地使用年限（年）</v>
      </c>
      <c r="R10" s="701" t="s">
        <v>14</v>
      </c>
      <c r="S10" s="702">
        <f t="shared" si="0"/>
        <v>107</v>
      </c>
      <c r="T10" s="701" t="s">
        <v>14</v>
      </c>
      <c r="U10" s="702">
        <f t="shared" si="1"/>
        <v>107</v>
      </c>
      <c r="V10" s="701" t="s">
        <v>14</v>
      </c>
      <c r="W10" s="702">
        <f t="shared" si="2"/>
        <v>107</v>
      </c>
      <c r="X10" s="703"/>
      <c r="Y10" s="3645"/>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52"/>
      <c r="Q11" s="1343" t="str">
        <f t="shared" si="6"/>
        <v>容积率</v>
      </c>
      <c r="R11" s="701" t="s">
        <v>14</v>
      </c>
      <c r="S11" s="702" t="e">
        <f t="shared" si="0"/>
        <v>#N/A</v>
      </c>
      <c r="T11" s="701" t="s">
        <v>14</v>
      </c>
      <c r="U11" s="702" t="e">
        <f t="shared" si="1"/>
        <v>#N/A</v>
      </c>
      <c r="V11" s="701" t="s">
        <v>14</v>
      </c>
      <c r="W11" s="702" t="e">
        <f t="shared" si="2"/>
        <v>#N/A</v>
      </c>
      <c r="X11" s="703"/>
      <c r="Y11" s="364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52"/>
      <c r="Q12" s="1343" t="str">
        <f t="shared" si="6"/>
        <v>配建</v>
      </c>
      <c r="R12" s="701" t="s">
        <v>14</v>
      </c>
      <c r="S12" s="702">
        <f t="shared" si="0"/>
        <v>100</v>
      </c>
      <c r="T12" s="701" t="s">
        <v>14</v>
      </c>
      <c r="U12" s="702">
        <f t="shared" si="1"/>
        <v>100</v>
      </c>
      <c r="V12" s="701" t="s">
        <v>14</v>
      </c>
      <c r="W12" s="702">
        <f t="shared" si="2"/>
        <v>100</v>
      </c>
      <c r="X12" s="703"/>
      <c r="Y12" s="364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52"/>
      <c r="Q13" s="1343">
        <f t="shared" si="6"/>
        <v>111</v>
      </c>
      <c r="R13" s="701" t="s">
        <v>14</v>
      </c>
      <c r="S13" s="702">
        <f t="shared" si="0"/>
        <v>100</v>
      </c>
      <c r="T13" s="701" t="s">
        <v>14</v>
      </c>
      <c r="U13" s="702">
        <f t="shared" si="1"/>
        <v>100</v>
      </c>
      <c r="V13" s="701" t="s">
        <v>14</v>
      </c>
      <c r="W13" s="702">
        <f t="shared" si="2"/>
        <v>100</v>
      </c>
      <c r="X13" s="703"/>
      <c r="Y13" s="364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52"/>
      <c r="Q14" s="1343">
        <f t="shared" si="6"/>
        <v>111</v>
      </c>
      <c r="R14" s="701" t="s">
        <v>14</v>
      </c>
      <c r="S14" s="702">
        <f t="shared" si="0"/>
        <v>100</v>
      </c>
      <c r="T14" s="701" t="s">
        <v>14</v>
      </c>
      <c r="U14" s="702">
        <f t="shared" si="1"/>
        <v>100</v>
      </c>
      <c r="V14" s="701" t="s">
        <v>14</v>
      </c>
      <c r="W14" s="702">
        <f t="shared" si="2"/>
        <v>100</v>
      </c>
      <c r="X14" s="703"/>
      <c r="Y14" s="364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54" t="s">
        <v>1691</v>
      </c>
      <c r="Q15" s="1352" t="str">
        <f t="shared" si="6"/>
        <v>居住社区成熟度</v>
      </c>
      <c r="R15" s="705" t="s">
        <v>14</v>
      </c>
      <c r="S15" s="706">
        <f t="shared" si="0"/>
        <v>100</v>
      </c>
      <c r="T15" s="705" t="s">
        <v>14</v>
      </c>
      <c r="U15" s="706">
        <f t="shared" si="1"/>
        <v>100</v>
      </c>
      <c r="V15" s="705" t="s">
        <v>14</v>
      </c>
      <c r="W15" s="706">
        <f t="shared" si="2"/>
        <v>100</v>
      </c>
      <c r="X15" s="1355"/>
      <c r="Y15" s="375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55"/>
      <c r="Q16" s="1352"/>
      <c r="R16" s="705"/>
      <c r="S16" s="706"/>
      <c r="T16" s="705"/>
      <c r="U16" s="706"/>
      <c r="V16" s="705"/>
      <c r="W16" s="706"/>
      <c r="X16" s="1355"/>
      <c r="Y16" s="375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55"/>
      <c r="Q17" s="1352" t="str">
        <f>B17</f>
        <v>商业繁华度</v>
      </c>
      <c r="R17" s="705" t="s">
        <v>14</v>
      </c>
      <c r="S17" s="706">
        <f>F17</f>
        <v>100</v>
      </c>
      <c r="T17" s="705" t="s">
        <v>14</v>
      </c>
      <c r="U17" s="706">
        <f>H17</f>
        <v>100</v>
      </c>
      <c r="V17" s="705" t="s">
        <v>14</v>
      </c>
      <c r="W17" s="706">
        <f>J17</f>
        <v>100</v>
      </c>
      <c r="X17" s="1355"/>
      <c r="Y17" s="375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55"/>
      <c r="Q18" s="1352"/>
      <c r="R18" s="705"/>
      <c r="S18" s="706"/>
      <c r="T18" s="705"/>
      <c r="U18" s="706"/>
      <c r="V18" s="705"/>
      <c r="W18" s="706"/>
      <c r="X18" s="1355"/>
      <c r="Y18" s="375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55"/>
      <c r="Q19" s="1352" t="str">
        <f>B19</f>
        <v>办公集聚程度</v>
      </c>
      <c r="R19" s="705" t="s">
        <v>14</v>
      </c>
      <c r="S19" s="706">
        <f>F19</f>
        <v>100</v>
      </c>
      <c r="T19" s="705" t="s">
        <v>14</v>
      </c>
      <c r="U19" s="706">
        <f>H19</f>
        <v>100</v>
      </c>
      <c r="V19" s="705" t="s">
        <v>14</v>
      </c>
      <c r="W19" s="706">
        <f>J19</f>
        <v>100</v>
      </c>
      <c r="X19" s="1355"/>
      <c r="Y19" s="375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55"/>
      <c r="Q20" s="1352"/>
      <c r="R20" s="705"/>
      <c r="S20" s="706"/>
      <c r="T20" s="705"/>
      <c r="U20" s="706"/>
      <c r="V20" s="705"/>
      <c r="W20" s="706"/>
      <c r="X20" s="1355"/>
      <c r="Y20" s="375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55"/>
      <c r="Q21" s="1352" t="str">
        <f>B21</f>
        <v>交通便捷度</v>
      </c>
      <c r="R21" s="705" t="s">
        <v>14</v>
      </c>
      <c r="S21" s="706">
        <f>F21</f>
        <v>100</v>
      </c>
      <c r="T21" s="705" t="s">
        <v>14</v>
      </c>
      <c r="U21" s="706">
        <f>H21</f>
        <v>100</v>
      </c>
      <c r="V21" s="705" t="s">
        <v>14</v>
      </c>
      <c r="W21" s="706">
        <f>J21</f>
        <v>100</v>
      </c>
      <c r="X21" s="1355"/>
      <c r="Y21" s="375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55"/>
      <c r="Q22" s="1352"/>
      <c r="R22" s="705"/>
      <c r="S22" s="706"/>
      <c r="T22" s="705"/>
      <c r="U22" s="706"/>
      <c r="V22" s="705"/>
      <c r="W22" s="706"/>
      <c r="X22" s="1355"/>
      <c r="Y22" s="375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55"/>
      <c r="Q23" s="1352" t="str">
        <f t="shared" ref="Q23:Q37" si="8">B23</f>
        <v>区域土地利用方向</v>
      </c>
      <c r="R23" s="705" t="s">
        <v>14</v>
      </c>
      <c r="S23" s="706">
        <f>F23</f>
        <v>100</v>
      </c>
      <c r="T23" s="705" t="s">
        <v>14</v>
      </c>
      <c r="U23" s="706">
        <f>H23</f>
        <v>100</v>
      </c>
      <c r="V23" s="705" t="s">
        <v>14</v>
      </c>
      <c r="W23" s="706">
        <f>J23</f>
        <v>100</v>
      </c>
      <c r="X23" s="1355"/>
      <c r="Y23" s="375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55"/>
      <c r="Q24" s="1352"/>
      <c r="R24" s="705"/>
      <c r="S24" s="706"/>
      <c r="T24" s="705"/>
      <c r="U24" s="706"/>
      <c r="V24" s="705"/>
      <c r="W24" s="706"/>
      <c r="X24" s="1355"/>
      <c r="Y24" s="375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55"/>
      <c r="Q25" s="1352" t="str">
        <f t="shared" si="8"/>
        <v>自然及人文环境状况</v>
      </c>
      <c r="R25" s="705" t="s">
        <v>14</v>
      </c>
      <c r="S25" s="706">
        <f>F25</f>
        <v>100</v>
      </c>
      <c r="T25" s="705" t="s">
        <v>14</v>
      </c>
      <c r="U25" s="706">
        <f>H25</f>
        <v>100</v>
      </c>
      <c r="V25" s="705" t="s">
        <v>14</v>
      </c>
      <c r="W25" s="706">
        <f>J25</f>
        <v>100</v>
      </c>
      <c r="X25" s="1355"/>
      <c r="Y25" s="375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55"/>
      <c r="Q26" s="1352"/>
      <c r="R26" s="705"/>
      <c r="S26" s="706"/>
      <c r="T26" s="705"/>
      <c r="U26" s="706"/>
      <c r="V26" s="705"/>
      <c r="W26" s="706"/>
      <c r="X26" s="1355"/>
      <c r="Y26" s="375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55"/>
      <c r="Q27" s="1343" t="str">
        <f t="shared" si="8"/>
        <v>公共配套设施</v>
      </c>
      <c r="R27" s="701" t="s">
        <v>14</v>
      </c>
      <c r="S27" s="702">
        <f>F27</f>
        <v>100</v>
      </c>
      <c r="T27" s="701" t="s">
        <v>14</v>
      </c>
      <c r="U27" s="702">
        <f>H27</f>
        <v>100</v>
      </c>
      <c r="V27" s="701" t="s">
        <v>14</v>
      </c>
      <c r="W27" s="702">
        <f>J27</f>
        <v>100</v>
      </c>
      <c r="X27" s="703"/>
      <c r="Y27" s="375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55"/>
      <c r="Q28" s="1343"/>
      <c r="R28" s="701"/>
      <c r="S28" s="702"/>
      <c r="T28" s="701"/>
      <c r="U28" s="702"/>
      <c r="V28" s="701"/>
      <c r="W28" s="702"/>
      <c r="X28" s="703"/>
      <c r="Y28" s="375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55"/>
      <c r="Q29" s="1343" t="str">
        <f t="shared" ref="Q29" si="9">B29</f>
        <v>基础设施水平</v>
      </c>
      <c r="R29" s="701" t="s">
        <v>14</v>
      </c>
      <c r="S29" s="702">
        <f>F29</f>
        <v>100</v>
      </c>
      <c r="T29" s="701" t="s">
        <v>14</v>
      </c>
      <c r="U29" s="702">
        <f>H29</f>
        <v>100</v>
      </c>
      <c r="V29" s="701" t="s">
        <v>14</v>
      </c>
      <c r="W29" s="702">
        <f>J29</f>
        <v>100</v>
      </c>
      <c r="X29" s="703"/>
      <c r="Y29" s="375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55"/>
      <c r="Q30" s="1343"/>
      <c r="R30" s="701"/>
      <c r="S30" s="702"/>
      <c r="T30" s="701"/>
      <c r="U30" s="702"/>
      <c r="V30" s="701"/>
      <c r="W30" s="702"/>
      <c r="X30" s="703"/>
      <c r="Y30" s="375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5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5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55"/>
      <c r="Q32" s="1352" t="str">
        <f t="shared" si="8"/>
        <v>毗邻道路的类型与等级</v>
      </c>
      <c r="R32" s="705" t="s">
        <v>14</v>
      </c>
      <c r="S32" s="706">
        <f t="shared" si="10"/>
        <v>100</v>
      </c>
      <c r="T32" s="705" t="s">
        <v>14</v>
      </c>
      <c r="U32" s="706">
        <f t="shared" si="11"/>
        <v>100</v>
      </c>
      <c r="V32" s="705" t="s">
        <v>14</v>
      </c>
      <c r="W32" s="706">
        <f t="shared" si="12"/>
        <v>100</v>
      </c>
      <c r="X32" s="1355"/>
      <c r="Y32" s="375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55"/>
      <c r="Q33" s="1352"/>
      <c r="R33" s="705"/>
      <c r="S33" s="706"/>
      <c r="T33" s="705"/>
      <c r="U33" s="706"/>
      <c r="V33" s="705"/>
      <c r="W33" s="706"/>
      <c r="X33" s="1355"/>
      <c r="Y33" s="375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55"/>
      <c r="Q34" s="1352" t="str">
        <f t="shared" si="8"/>
        <v>土地级别</v>
      </c>
      <c r="R34" s="705" t="s">
        <v>14</v>
      </c>
      <c r="S34" s="706">
        <f t="shared" si="10"/>
        <v>100</v>
      </c>
      <c r="T34" s="705" t="s">
        <v>14</v>
      </c>
      <c r="U34" s="706">
        <f t="shared" si="11"/>
        <v>100</v>
      </c>
      <c r="V34" s="705" t="s">
        <v>14</v>
      </c>
      <c r="W34" s="706">
        <f t="shared" si="12"/>
        <v>100</v>
      </c>
      <c r="X34" s="1355"/>
      <c r="Y34" s="375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55"/>
      <c r="Q35" s="1352">
        <f t="shared" si="8"/>
        <v>111</v>
      </c>
      <c r="R35" s="705" t="s">
        <v>14</v>
      </c>
      <c r="S35" s="706">
        <f t="shared" si="10"/>
        <v>100</v>
      </c>
      <c r="T35" s="705" t="s">
        <v>14</v>
      </c>
      <c r="U35" s="706">
        <f t="shared" si="11"/>
        <v>100</v>
      </c>
      <c r="V35" s="705" t="s">
        <v>14</v>
      </c>
      <c r="W35" s="706">
        <f t="shared" si="12"/>
        <v>100</v>
      </c>
      <c r="X35" s="1355"/>
      <c r="Y35" s="375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78" t="s">
        <v>1696</v>
      </c>
      <c r="Q36" s="1352">
        <f t="shared" si="8"/>
        <v>111</v>
      </c>
      <c r="R36" s="705" t="s">
        <v>14</v>
      </c>
      <c r="S36" s="706">
        <f t="shared" si="10"/>
        <v>100</v>
      </c>
      <c r="T36" s="705" t="s">
        <v>14</v>
      </c>
      <c r="U36" s="706">
        <f t="shared" si="11"/>
        <v>100</v>
      </c>
      <c r="V36" s="705" t="s">
        <v>14</v>
      </c>
      <c r="W36" s="706">
        <f t="shared" si="12"/>
        <v>100</v>
      </c>
      <c r="X36" s="1355"/>
      <c r="Y36" s="375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59"/>
      <c r="Q37" s="1352">
        <f t="shared" si="8"/>
        <v>111</v>
      </c>
      <c r="R37" s="708" t="s">
        <v>14</v>
      </c>
      <c r="S37" s="709">
        <f t="shared" si="10"/>
        <v>100</v>
      </c>
      <c r="T37" s="708" t="s">
        <v>14</v>
      </c>
      <c r="U37" s="709">
        <f t="shared" si="11"/>
        <v>100</v>
      </c>
      <c r="V37" s="708" t="s">
        <v>14</v>
      </c>
      <c r="W37" s="709">
        <f t="shared" si="12"/>
        <v>100</v>
      </c>
      <c r="X37" s="710"/>
      <c r="Y37" s="375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59"/>
      <c r="Q38" s="1352" t="str">
        <f>B38</f>
        <v>宗地面积</v>
      </c>
      <c r="R38" s="705" t="s">
        <v>14</v>
      </c>
      <c r="S38" s="706" t="e">
        <f t="shared" si="10"/>
        <v>#N/A</v>
      </c>
      <c r="T38" s="705" t="s">
        <v>14</v>
      </c>
      <c r="U38" s="706" t="e">
        <f t="shared" si="11"/>
        <v>#N/A</v>
      </c>
      <c r="V38" s="705" t="s">
        <v>14</v>
      </c>
      <c r="W38" s="706" t="e">
        <f t="shared" si="12"/>
        <v>#N/A</v>
      </c>
      <c r="X38" s="1355"/>
      <c r="Y38" s="375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59"/>
      <c r="Q39" s="1352" t="str">
        <f t="shared" ref="Q39:Q45" si="14">B39</f>
        <v>宗地形状</v>
      </c>
      <c r="R39" s="705" t="s">
        <v>14</v>
      </c>
      <c r="S39" s="706">
        <f t="shared" si="10"/>
        <v>100</v>
      </c>
      <c r="T39" s="705" t="s">
        <v>14</v>
      </c>
      <c r="U39" s="706">
        <f t="shared" si="11"/>
        <v>100</v>
      </c>
      <c r="V39" s="705" t="s">
        <v>14</v>
      </c>
      <c r="W39" s="706">
        <f t="shared" si="12"/>
        <v>100</v>
      </c>
      <c r="X39" s="1355"/>
      <c r="Y39" s="375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59"/>
      <c r="Q40" s="1352" t="str">
        <f t="shared" si="14"/>
        <v>临街宽度及深度</v>
      </c>
      <c r="R40" s="705" t="s">
        <v>14</v>
      </c>
      <c r="S40" s="706">
        <f t="shared" si="10"/>
        <v>100</v>
      </c>
      <c r="T40" s="705" t="s">
        <v>14</v>
      </c>
      <c r="U40" s="706">
        <f t="shared" si="11"/>
        <v>100</v>
      </c>
      <c r="V40" s="705" t="s">
        <v>14</v>
      </c>
      <c r="W40" s="706">
        <f t="shared" si="12"/>
        <v>100</v>
      </c>
      <c r="X40" s="1355"/>
      <c r="Y40" s="375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59"/>
      <c r="Q41" s="1352" t="str">
        <f t="shared" si="14"/>
        <v>宗地开发程度</v>
      </c>
      <c r="R41" s="701" t="s">
        <v>14</v>
      </c>
      <c r="S41" s="702">
        <f t="shared" si="10"/>
        <v>100</v>
      </c>
      <c r="T41" s="701" t="s">
        <v>14</v>
      </c>
      <c r="U41" s="702">
        <f t="shared" si="11"/>
        <v>100</v>
      </c>
      <c r="V41" s="701" t="s">
        <v>14</v>
      </c>
      <c r="W41" s="702">
        <f t="shared" si="12"/>
        <v>100</v>
      </c>
      <c r="X41" s="703"/>
      <c r="Y41" s="375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59" t="s">
        <v>1696</v>
      </c>
      <c r="Q42" s="1352" t="str">
        <f t="shared" si="14"/>
        <v>工程地质条件</v>
      </c>
      <c r="R42" s="705" t="s">
        <v>14</v>
      </c>
      <c r="S42" s="706">
        <f t="shared" si="10"/>
        <v>100</v>
      </c>
      <c r="T42" s="705" t="s">
        <v>14</v>
      </c>
      <c r="U42" s="706">
        <f t="shared" si="11"/>
        <v>100</v>
      </c>
      <c r="V42" s="705" t="s">
        <v>14</v>
      </c>
      <c r="W42" s="706">
        <f t="shared" si="12"/>
        <v>100</v>
      </c>
      <c r="X42" s="1355"/>
      <c r="Y42" s="375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59"/>
      <c r="Q43" s="1352">
        <f t="shared" si="14"/>
        <v>111</v>
      </c>
      <c r="R43" s="705" t="s">
        <v>14</v>
      </c>
      <c r="S43" s="706">
        <f t="shared" si="10"/>
        <v>100</v>
      </c>
      <c r="T43" s="705" t="s">
        <v>14</v>
      </c>
      <c r="U43" s="706">
        <f t="shared" si="11"/>
        <v>100</v>
      </c>
      <c r="V43" s="705" t="s">
        <v>14</v>
      </c>
      <c r="W43" s="706">
        <f t="shared" si="12"/>
        <v>100</v>
      </c>
      <c r="X43" s="1355"/>
      <c r="Y43" s="375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59"/>
      <c r="Q44" s="1352">
        <f t="shared" si="14"/>
        <v>111</v>
      </c>
      <c r="R44" s="705" t="s">
        <v>14</v>
      </c>
      <c r="S44" s="706">
        <f t="shared" si="10"/>
        <v>100</v>
      </c>
      <c r="T44" s="705" t="s">
        <v>14</v>
      </c>
      <c r="U44" s="706">
        <f t="shared" si="11"/>
        <v>100</v>
      </c>
      <c r="V44" s="705" t="s">
        <v>14</v>
      </c>
      <c r="W44" s="706">
        <f t="shared" si="12"/>
        <v>100</v>
      </c>
      <c r="X44" s="1355"/>
      <c r="Y44" s="375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59"/>
      <c r="Q45" s="1352">
        <f t="shared" si="14"/>
        <v>111</v>
      </c>
      <c r="R45" s="708" t="s">
        <v>14</v>
      </c>
      <c r="S45" s="709">
        <f t="shared" si="10"/>
        <v>100</v>
      </c>
      <c r="T45" s="708" t="s">
        <v>14</v>
      </c>
      <c r="U45" s="709">
        <f t="shared" si="11"/>
        <v>100</v>
      </c>
      <c r="V45" s="708" t="s">
        <v>14</v>
      </c>
      <c r="W45" s="709">
        <f t="shared" si="12"/>
        <v>100</v>
      </c>
      <c r="X45" s="710"/>
      <c r="Y45" s="375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52" t="str">
        <f>A46</f>
        <v>成交单价</v>
      </c>
      <c r="Q46" s="3752"/>
      <c r="R46" s="3747">
        <f>E46</f>
        <v>0</v>
      </c>
      <c r="S46" s="3747"/>
      <c r="T46" s="3747">
        <f>G46</f>
        <v>0</v>
      </c>
      <c r="U46" s="3747"/>
      <c r="V46" s="3747">
        <f>I46</f>
        <v>0</v>
      </c>
      <c r="W46" s="374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52" t="str">
        <f>A47</f>
        <v>比较价值（元/平方米）</v>
      </c>
      <c r="Q47" s="3752"/>
      <c r="R47" s="3782" t="e">
        <f>ROUND(PRODUCT(R46,AA7:AA45),0)</f>
        <v>#DIV/0!</v>
      </c>
      <c r="S47" s="3782"/>
      <c r="T47" s="3782" t="e">
        <f>ROUND(PRODUCT(T46,AB7:AB45),0)</f>
        <v>#DIV/0!</v>
      </c>
      <c r="U47" s="3782"/>
      <c r="V47" s="3782" t="e">
        <f>ROUND(PRODUCT(V46,AC7:AC45),0)</f>
        <v>#DIV/0!</v>
      </c>
      <c r="W47" s="378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49" t="str">
        <f>A48</f>
        <v>估价对象XX用房的比较价值（楼面单价，元/平方米）</v>
      </c>
      <c r="Q48" s="3750"/>
      <c r="R48" s="3783" t="e">
        <f>ROUND(IF(D47="简单平均",AVERAGE(R47:W47),R47*F47+T47*H47+V47*J47),0)</f>
        <v>#DIV/0!</v>
      </c>
      <c r="S48" s="3783"/>
      <c r="T48" s="3783"/>
      <c r="U48" s="3783"/>
      <c r="V48" s="3783"/>
      <c r="W48" s="3783"/>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35" t="s">
        <v>1887</v>
      </c>
      <c r="H55" s="3784"/>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34"/>
      <c r="H56" s="375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0.5</v>
      </c>
      <c r="D57" s="945">
        <v>0.25</v>
      </c>
      <c r="E57" s="642"/>
      <c r="F57" s="886" t="e">
        <f t="shared" si="15"/>
        <v>#DIV/0!</v>
      </c>
      <c r="G57" s="3006" t="s">
        <v>1892</v>
      </c>
      <c r="H57" s="887" t="str">
        <f>项目基本情况!B37</f>
        <v>八级</v>
      </c>
      <c r="I57" s="891">
        <f>SUMIF(修正!A59:A70,H57,修正!B59:B70)</f>
        <v>0.5</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0.2</v>
      </c>
      <c r="D58" s="945">
        <v>0.25</v>
      </c>
      <c r="E58" s="642"/>
      <c r="F58" s="886" t="e">
        <f t="shared" si="15"/>
        <v>#DIV/0!</v>
      </c>
      <c r="G58" s="3007"/>
      <c r="H58" s="887" t="str">
        <f>项目基本情况!B37</f>
        <v>八级</v>
      </c>
      <c r="I58" s="891">
        <f>SUMIF(修正!A59:A70,H58,修正!C59:C70)</f>
        <v>0.2</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v>
      </c>
      <c r="D59" s="945">
        <v>0.25</v>
      </c>
      <c r="E59" s="642"/>
      <c r="F59" s="886" t="e">
        <f t="shared" si="15"/>
        <v>#DIV/0!</v>
      </c>
      <c r="G59" s="3007"/>
      <c r="H59" s="887" t="str">
        <f>项目基本情况!B37</f>
        <v>八级</v>
      </c>
      <c r="I59" s="891">
        <f>SUMIF(修正!A59:A70,H59,修正!D59:D70)</f>
        <v>0.2</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1674.92</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v>
      </c>
      <c r="D62" s="945">
        <v>0.25</v>
      </c>
      <c r="E62" s="217">
        <f>'数据-汇总表'!E13</f>
        <v>0</v>
      </c>
      <c r="F62" s="886" t="e">
        <f t="shared" si="15"/>
        <v>#DIV/0!</v>
      </c>
      <c r="G62" s="892" t="s">
        <v>1900</v>
      </c>
      <c r="H62" s="887" t="str">
        <f>IF(G62="商业",项目基本情况!B37,IF(G62="办公",项目基本情况!C37,IF(G62="住宅",项目基本情况!D37,项目基本情况!E37)))</f>
        <v>八级</v>
      </c>
      <c r="I62" s="891">
        <f>SUMIF(修正!A59:A70,H62,修正!G59:G70)</f>
        <v>0.1</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八级</v>
      </c>
      <c r="I63" s="891">
        <f>SUMIF(修正!A59:A70,H63,修正!G59:G70)</f>
        <v>0.1</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1674.92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2025-8-1</v>
      </c>
      <c r="D67" s="692">
        <f>EDATE(C67,-3)</f>
        <v>45778</v>
      </c>
      <c r="E67" s="692">
        <f>EDATE(D67,-3)</f>
        <v>45689</v>
      </c>
      <c r="F67" s="692">
        <f t="shared" ref="F67:O67" si="18">EDATE(E67,-3)</f>
        <v>45597</v>
      </c>
      <c r="G67" s="692">
        <f t="shared" si="18"/>
        <v>45505</v>
      </c>
      <c r="H67" s="692">
        <f t="shared" si="18"/>
        <v>45413</v>
      </c>
      <c r="I67" s="692">
        <f t="shared" si="18"/>
        <v>45323</v>
      </c>
      <c r="J67" s="692">
        <f t="shared" si="18"/>
        <v>45231</v>
      </c>
      <c r="K67" s="692">
        <f t="shared" si="18"/>
        <v>45139</v>
      </c>
      <c r="L67" s="692">
        <f t="shared" si="18"/>
        <v>45047</v>
      </c>
      <c r="M67" s="692">
        <f t="shared" si="18"/>
        <v>44958</v>
      </c>
      <c r="N67" s="692">
        <f t="shared" si="18"/>
        <v>44866</v>
      </c>
      <c r="O67" s="692">
        <f t="shared" si="18"/>
        <v>44774</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35" t="s">
        <v>1770</v>
      </c>
      <c r="D4" s="3736"/>
      <c r="E4" s="3737" t="s">
        <v>1771</v>
      </c>
      <c r="F4" s="3738"/>
      <c r="G4" s="3735" t="s">
        <v>1772</v>
      </c>
      <c r="H4" s="3736"/>
      <c r="I4" s="3735" t="s">
        <v>1773</v>
      </c>
      <c r="J4" s="3736"/>
      <c r="K4" s="559" t="s">
        <v>1774</v>
      </c>
      <c r="L4" s="2715"/>
      <c r="M4" s="2716"/>
      <c r="N4" s="2716"/>
      <c r="O4" s="2716"/>
      <c r="P4" s="3739" t="s">
        <v>1775</v>
      </c>
      <c r="Q4" s="3740"/>
      <c r="R4" s="3722" t="s">
        <v>1771</v>
      </c>
      <c r="S4" s="3723"/>
      <c r="T4" s="3722" t="s">
        <v>1772</v>
      </c>
      <c r="U4" s="3723"/>
      <c r="V4" s="3747" t="s">
        <v>1773</v>
      </c>
      <c r="W4" s="3747"/>
      <c r="X4" s="1355"/>
      <c r="Y4" s="3722" t="s">
        <v>1775</v>
      </c>
      <c r="Z4" s="3723"/>
      <c r="AA4" s="3717" t="s">
        <v>1771</v>
      </c>
      <c r="AB4" s="3718" t="s">
        <v>1772</v>
      </c>
      <c r="AC4" s="3717" t="s">
        <v>1773</v>
      </c>
    </row>
    <row r="5" spans="1:29" ht="15">
      <c r="A5" s="358"/>
      <c r="B5" s="359"/>
      <c r="C5" s="3728" t="s">
        <v>1673</v>
      </c>
      <c r="D5" s="3729"/>
      <c r="E5" s="3726" t="s">
        <v>1674</v>
      </c>
      <c r="F5" s="3727"/>
      <c r="G5" s="3728" t="s">
        <v>1675</v>
      </c>
      <c r="H5" s="3729"/>
      <c r="I5" s="3728" t="s">
        <v>1676</v>
      </c>
      <c r="J5" s="3729"/>
      <c r="K5" s="559"/>
      <c r="L5" s="2715"/>
      <c r="M5" s="2716"/>
      <c r="N5" s="2716"/>
      <c r="O5" s="2716"/>
      <c r="P5" s="3741"/>
      <c r="Q5" s="3742"/>
      <c r="R5" s="3724"/>
      <c r="S5" s="3725"/>
      <c r="T5" s="3724"/>
      <c r="U5" s="3725"/>
      <c r="V5" s="3747"/>
      <c r="W5" s="3747"/>
      <c r="X5" s="1355"/>
      <c r="Y5" s="3724"/>
      <c r="Z5" s="3725"/>
      <c r="AA5" s="3718"/>
      <c r="AB5" s="3718"/>
      <c r="AC5" s="3718"/>
    </row>
    <row r="6" spans="1:29" ht="15.75" thickBot="1">
      <c r="A6" s="360"/>
      <c r="B6" s="361"/>
      <c r="C6" s="3785" t="s">
        <v>1919</v>
      </c>
      <c r="D6" s="3786"/>
      <c r="E6" s="3787" t="s">
        <v>1919</v>
      </c>
      <c r="F6" s="3788"/>
      <c r="G6" s="3785" t="s">
        <v>1919</v>
      </c>
      <c r="H6" s="3786"/>
      <c r="I6" s="3785" t="s">
        <v>1919</v>
      </c>
      <c r="J6" s="3786"/>
      <c r="K6" s="559" t="s">
        <v>1678</v>
      </c>
      <c r="L6" s="2715"/>
      <c r="M6" s="2716"/>
      <c r="N6" s="2716"/>
      <c r="O6" s="2716"/>
      <c r="P6" s="3743"/>
      <c r="Q6" s="3744"/>
      <c r="R6" s="3724"/>
      <c r="S6" s="3725"/>
      <c r="T6" s="3745"/>
      <c r="U6" s="3746"/>
      <c r="V6" s="3747"/>
      <c r="W6" s="3747"/>
      <c r="X6" s="1355"/>
      <c r="Y6" s="3745"/>
      <c r="Z6" s="3746"/>
      <c r="AA6" s="3719"/>
      <c r="AB6" s="3719"/>
      <c r="AC6" s="3719"/>
    </row>
    <row r="7" spans="1:29" s="108" customFormat="1" ht="15.75" thickBot="1">
      <c r="A7" s="362" t="s">
        <v>1679</v>
      </c>
      <c r="B7" s="363"/>
      <c r="C7" s="364">
        <f>'数据-取费表'!B2</f>
        <v>45891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0" t="s">
        <v>1680</v>
      </c>
      <c r="Q7" s="3748"/>
      <c r="R7" s="701" t="s">
        <v>14</v>
      </c>
      <c r="S7" s="702">
        <f t="shared" ref="S7:S15" si="0">F7</f>
        <v>0</v>
      </c>
      <c r="T7" s="701" t="s">
        <v>14</v>
      </c>
      <c r="U7" s="702">
        <f t="shared" ref="U7:U15" si="1">H7</f>
        <v>0</v>
      </c>
      <c r="V7" s="701" t="s">
        <v>14</v>
      </c>
      <c r="W7" s="702">
        <f t="shared" ref="W7:W15" si="2">J7</f>
        <v>0</v>
      </c>
      <c r="X7" s="703"/>
      <c r="Y7" s="3720" t="s">
        <v>1680</v>
      </c>
      <c r="Z7" s="372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0" t="s">
        <v>1683</v>
      </c>
      <c r="Q8" s="3721"/>
      <c r="R8" s="701" t="s">
        <v>14</v>
      </c>
      <c r="S8" s="702">
        <f t="shared" si="0"/>
        <v>0</v>
      </c>
      <c r="T8" s="701" t="s">
        <v>14</v>
      </c>
      <c r="U8" s="702">
        <f t="shared" si="1"/>
        <v>0</v>
      </c>
      <c r="V8" s="701" t="s">
        <v>14</v>
      </c>
      <c r="W8" s="702">
        <f t="shared" si="2"/>
        <v>0</v>
      </c>
      <c r="X8" s="703"/>
      <c r="Y8" s="3720" t="s">
        <v>1683</v>
      </c>
      <c r="Z8" s="372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52" t="s">
        <v>1686</v>
      </c>
      <c r="Q9" s="1343" t="str">
        <f t="shared" ref="Q9:Q15" si="6">B9</f>
        <v>用途</v>
      </c>
      <c r="R9" s="701" t="s">
        <v>14</v>
      </c>
      <c r="S9" s="702">
        <f t="shared" si="0"/>
        <v>100</v>
      </c>
      <c r="T9" s="701" t="s">
        <v>14</v>
      </c>
      <c r="U9" s="702">
        <f t="shared" si="1"/>
        <v>100</v>
      </c>
      <c r="V9" s="701" t="s">
        <v>14</v>
      </c>
      <c r="W9" s="702">
        <f t="shared" si="2"/>
        <v>100</v>
      </c>
      <c r="X9" s="703"/>
      <c r="Y9" s="364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9"/>
      <c r="M10" s="2720"/>
      <c r="N10" s="2720"/>
      <c r="O10" s="2773"/>
      <c r="P10" s="3752"/>
      <c r="Q10" s="1343" t="str">
        <f t="shared" si="6"/>
        <v>土地使用年限（年）</v>
      </c>
      <c r="R10" s="701" t="s">
        <v>14</v>
      </c>
      <c r="S10" s="702">
        <f t="shared" si="0"/>
        <v>107</v>
      </c>
      <c r="T10" s="701" t="s">
        <v>14</v>
      </c>
      <c r="U10" s="702">
        <f t="shared" si="1"/>
        <v>107</v>
      </c>
      <c r="V10" s="701" t="s">
        <v>14</v>
      </c>
      <c r="W10" s="702">
        <f t="shared" si="2"/>
        <v>107</v>
      </c>
      <c r="X10" s="703"/>
      <c r="Y10" s="3645"/>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52"/>
      <c r="Q11" s="1343" t="str">
        <f t="shared" si="6"/>
        <v>容积率</v>
      </c>
      <c r="R11" s="701" t="s">
        <v>14</v>
      </c>
      <c r="S11" s="702" t="e">
        <f t="shared" si="0"/>
        <v>#N/A</v>
      </c>
      <c r="T11" s="701" t="s">
        <v>14</v>
      </c>
      <c r="U11" s="702" t="e">
        <f t="shared" si="1"/>
        <v>#N/A</v>
      </c>
      <c r="V11" s="701" t="s">
        <v>14</v>
      </c>
      <c r="W11" s="702" t="e">
        <f t="shared" si="2"/>
        <v>#N/A</v>
      </c>
      <c r="X11" s="703"/>
      <c r="Y11" s="364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52"/>
      <c r="Q12" s="1343">
        <f t="shared" si="6"/>
        <v>111</v>
      </c>
      <c r="R12" s="701" t="s">
        <v>14</v>
      </c>
      <c r="S12" s="702">
        <f t="shared" si="0"/>
        <v>100</v>
      </c>
      <c r="T12" s="701" t="s">
        <v>14</v>
      </c>
      <c r="U12" s="702">
        <f t="shared" si="1"/>
        <v>100</v>
      </c>
      <c r="V12" s="701" t="s">
        <v>14</v>
      </c>
      <c r="W12" s="702">
        <f t="shared" si="2"/>
        <v>100</v>
      </c>
      <c r="X12" s="703"/>
      <c r="Y12" s="364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52"/>
      <c r="Q13" s="1343">
        <f t="shared" si="6"/>
        <v>111</v>
      </c>
      <c r="R13" s="701" t="s">
        <v>14</v>
      </c>
      <c r="S13" s="702">
        <f t="shared" si="0"/>
        <v>100</v>
      </c>
      <c r="T13" s="701" t="s">
        <v>14</v>
      </c>
      <c r="U13" s="702">
        <f t="shared" si="1"/>
        <v>100</v>
      </c>
      <c r="V13" s="701" t="s">
        <v>14</v>
      </c>
      <c r="W13" s="702">
        <f t="shared" si="2"/>
        <v>100</v>
      </c>
      <c r="X13" s="703"/>
      <c r="Y13" s="364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52"/>
      <c r="Q14" s="1343">
        <f t="shared" si="6"/>
        <v>111</v>
      </c>
      <c r="R14" s="701" t="s">
        <v>14</v>
      </c>
      <c r="S14" s="702">
        <f t="shared" si="0"/>
        <v>100</v>
      </c>
      <c r="T14" s="701" t="s">
        <v>14</v>
      </c>
      <c r="U14" s="702">
        <f t="shared" si="1"/>
        <v>100</v>
      </c>
      <c r="V14" s="701" t="s">
        <v>14</v>
      </c>
      <c r="W14" s="702">
        <f t="shared" si="2"/>
        <v>100</v>
      </c>
      <c r="X14" s="703"/>
      <c r="Y14" s="364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54" t="s">
        <v>1691</v>
      </c>
      <c r="Q15" s="1352" t="str">
        <f t="shared" si="6"/>
        <v>产业集聚程度</v>
      </c>
      <c r="R15" s="705" t="s">
        <v>14</v>
      </c>
      <c r="S15" s="706">
        <f t="shared" si="0"/>
        <v>100</v>
      </c>
      <c r="T15" s="705" t="s">
        <v>14</v>
      </c>
      <c r="U15" s="706">
        <f t="shared" si="1"/>
        <v>100</v>
      </c>
      <c r="V15" s="705" t="s">
        <v>14</v>
      </c>
      <c r="W15" s="706">
        <f t="shared" si="2"/>
        <v>100</v>
      </c>
      <c r="X15" s="1355"/>
      <c r="Y15" s="375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55"/>
      <c r="Q16" s="1352"/>
      <c r="R16" s="705"/>
      <c r="S16" s="706"/>
      <c r="T16" s="705"/>
      <c r="U16" s="706"/>
      <c r="V16" s="705"/>
      <c r="W16" s="706"/>
      <c r="X16" s="1355"/>
      <c r="Y16" s="375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55"/>
      <c r="Q17" s="1352" t="str">
        <f>B17</f>
        <v>交通便捷度</v>
      </c>
      <c r="R17" s="705" t="s">
        <v>14</v>
      </c>
      <c r="S17" s="706">
        <f>F17</f>
        <v>100</v>
      </c>
      <c r="T17" s="705" t="s">
        <v>14</v>
      </c>
      <c r="U17" s="706">
        <f>H17</f>
        <v>100</v>
      </c>
      <c r="V17" s="705" t="s">
        <v>14</v>
      </c>
      <c r="W17" s="706">
        <f>J17</f>
        <v>100</v>
      </c>
      <c r="X17" s="1355"/>
      <c r="Y17" s="375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55"/>
      <c r="Q18" s="1352"/>
      <c r="R18" s="705"/>
      <c r="S18" s="706"/>
      <c r="T18" s="705"/>
      <c r="U18" s="706"/>
      <c r="V18" s="705"/>
      <c r="W18" s="706"/>
      <c r="X18" s="1355"/>
      <c r="Y18" s="375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55"/>
      <c r="Q19" s="1352" t="str">
        <f t="shared" ref="Q19:Q33" si="8">B19</f>
        <v>区域土地利用方向</v>
      </c>
      <c r="R19" s="705" t="s">
        <v>14</v>
      </c>
      <c r="S19" s="706">
        <f>F19</f>
        <v>100</v>
      </c>
      <c r="T19" s="705" t="s">
        <v>14</v>
      </c>
      <c r="U19" s="706">
        <f>H19</f>
        <v>100</v>
      </c>
      <c r="V19" s="705" t="s">
        <v>14</v>
      </c>
      <c r="W19" s="706">
        <f>J19</f>
        <v>100</v>
      </c>
      <c r="X19" s="1355"/>
      <c r="Y19" s="375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55"/>
      <c r="Q20" s="1352"/>
      <c r="R20" s="705"/>
      <c r="S20" s="706"/>
      <c r="T20" s="705"/>
      <c r="U20" s="706"/>
      <c r="V20" s="705"/>
      <c r="W20" s="706"/>
      <c r="X20" s="1355"/>
      <c r="Y20" s="375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55"/>
      <c r="Q21" s="1352" t="str">
        <f t="shared" si="8"/>
        <v>环境状况</v>
      </c>
      <c r="R21" s="705" t="s">
        <v>14</v>
      </c>
      <c r="S21" s="706">
        <f>F21</f>
        <v>100</v>
      </c>
      <c r="T21" s="705" t="s">
        <v>14</v>
      </c>
      <c r="U21" s="706">
        <f>H21</f>
        <v>100</v>
      </c>
      <c r="V21" s="705" t="s">
        <v>14</v>
      </c>
      <c r="W21" s="706">
        <f>J21</f>
        <v>100</v>
      </c>
      <c r="X21" s="1355"/>
      <c r="Y21" s="375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55"/>
      <c r="Q22" s="1352"/>
      <c r="R22" s="705"/>
      <c r="S22" s="706"/>
      <c r="T22" s="705"/>
      <c r="U22" s="706"/>
      <c r="V22" s="705"/>
      <c r="W22" s="706"/>
      <c r="X22" s="1355"/>
      <c r="Y22" s="375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55"/>
      <c r="Q23" s="1343" t="str">
        <f t="shared" si="8"/>
        <v>公共配套设施</v>
      </c>
      <c r="R23" s="701" t="s">
        <v>14</v>
      </c>
      <c r="S23" s="702">
        <f>F23</f>
        <v>100</v>
      </c>
      <c r="T23" s="701" t="s">
        <v>14</v>
      </c>
      <c r="U23" s="702">
        <f>H23</f>
        <v>100</v>
      </c>
      <c r="V23" s="701" t="s">
        <v>14</v>
      </c>
      <c r="W23" s="702">
        <f>J23</f>
        <v>100</v>
      </c>
      <c r="X23" s="703"/>
      <c r="Y23" s="375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55"/>
      <c r="Q24" s="1343"/>
      <c r="R24" s="701"/>
      <c r="S24" s="702"/>
      <c r="T24" s="701"/>
      <c r="U24" s="702"/>
      <c r="V24" s="701"/>
      <c r="W24" s="702"/>
      <c r="X24" s="703"/>
      <c r="Y24" s="375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55"/>
      <c r="Q25" s="1343" t="str">
        <f t="shared" ref="Q25" si="9">B25</f>
        <v>基础设施水平</v>
      </c>
      <c r="R25" s="701" t="s">
        <v>14</v>
      </c>
      <c r="S25" s="702">
        <f>F25</f>
        <v>100</v>
      </c>
      <c r="T25" s="701" t="s">
        <v>14</v>
      </c>
      <c r="U25" s="702">
        <f>H25</f>
        <v>100</v>
      </c>
      <c r="V25" s="701" t="s">
        <v>14</v>
      </c>
      <c r="W25" s="702">
        <f>J25</f>
        <v>100</v>
      </c>
      <c r="X25" s="703"/>
      <c r="Y25" s="375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55"/>
      <c r="Q26" s="1343"/>
      <c r="R26" s="701"/>
      <c r="S26" s="702"/>
      <c r="T26" s="701"/>
      <c r="U26" s="702"/>
      <c r="V26" s="701"/>
      <c r="W26" s="702"/>
      <c r="X26" s="703"/>
      <c r="Y26" s="375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5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5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55"/>
      <c r="Q28" s="1352" t="str">
        <f t="shared" si="8"/>
        <v>毗邻道路的类型与等级</v>
      </c>
      <c r="R28" s="705" t="s">
        <v>14</v>
      </c>
      <c r="S28" s="706">
        <f t="shared" si="10"/>
        <v>100</v>
      </c>
      <c r="T28" s="705" t="s">
        <v>14</v>
      </c>
      <c r="U28" s="706">
        <f t="shared" si="11"/>
        <v>100</v>
      </c>
      <c r="V28" s="705" t="s">
        <v>14</v>
      </c>
      <c r="W28" s="706">
        <f t="shared" si="12"/>
        <v>100</v>
      </c>
      <c r="X28" s="1355"/>
      <c r="Y28" s="375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55"/>
      <c r="Q29" s="1352"/>
      <c r="R29" s="705"/>
      <c r="S29" s="706"/>
      <c r="T29" s="705"/>
      <c r="U29" s="706"/>
      <c r="V29" s="705"/>
      <c r="W29" s="706"/>
      <c r="X29" s="1355"/>
      <c r="Y29" s="375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55"/>
      <c r="Q30" s="1352" t="str">
        <f t="shared" si="8"/>
        <v>土地级别</v>
      </c>
      <c r="R30" s="705" t="s">
        <v>14</v>
      </c>
      <c r="S30" s="706">
        <f t="shared" si="10"/>
        <v>100</v>
      </c>
      <c r="T30" s="705" t="s">
        <v>14</v>
      </c>
      <c r="U30" s="706">
        <f t="shared" si="11"/>
        <v>100</v>
      </c>
      <c r="V30" s="705" t="s">
        <v>14</v>
      </c>
      <c r="W30" s="706">
        <f t="shared" si="12"/>
        <v>100</v>
      </c>
      <c r="X30" s="1355"/>
      <c r="Y30" s="375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55"/>
      <c r="Q31" s="1352">
        <f t="shared" si="8"/>
        <v>111</v>
      </c>
      <c r="R31" s="705" t="s">
        <v>14</v>
      </c>
      <c r="S31" s="706">
        <f t="shared" si="10"/>
        <v>100</v>
      </c>
      <c r="T31" s="705" t="s">
        <v>14</v>
      </c>
      <c r="U31" s="706">
        <f t="shared" si="11"/>
        <v>100</v>
      </c>
      <c r="V31" s="705" t="s">
        <v>14</v>
      </c>
      <c r="W31" s="706">
        <f t="shared" si="12"/>
        <v>100</v>
      </c>
      <c r="X31" s="1355"/>
      <c r="Y31" s="375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78" t="s">
        <v>1696</v>
      </c>
      <c r="Q32" s="1352">
        <f t="shared" si="8"/>
        <v>111</v>
      </c>
      <c r="R32" s="705" t="s">
        <v>14</v>
      </c>
      <c r="S32" s="706">
        <f t="shared" si="10"/>
        <v>100</v>
      </c>
      <c r="T32" s="705" t="s">
        <v>14</v>
      </c>
      <c r="U32" s="706">
        <f t="shared" si="11"/>
        <v>100</v>
      </c>
      <c r="V32" s="705" t="s">
        <v>14</v>
      </c>
      <c r="W32" s="706">
        <f t="shared" si="12"/>
        <v>100</v>
      </c>
      <c r="X32" s="1355"/>
      <c r="Y32" s="375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59"/>
      <c r="Q33" s="1352">
        <f t="shared" si="8"/>
        <v>111</v>
      </c>
      <c r="R33" s="708" t="s">
        <v>14</v>
      </c>
      <c r="S33" s="709">
        <f t="shared" si="10"/>
        <v>100</v>
      </c>
      <c r="T33" s="708" t="s">
        <v>14</v>
      </c>
      <c r="U33" s="709">
        <f t="shared" si="11"/>
        <v>100</v>
      </c>
      <c r="V33" s="708" t="s">
        <v>14</v>
      </c>
      <c r="W33" s="709">
        <f t="shared" si="12"/>
        <v>100</v>
      </c>
      <c r="X33" s="710"/>
      <c r="Y33" s="375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59"/>
      <c r="Q34" s="1352" t="str">
        <f>B34</f>
        <v>宗地面积</v>
      </c>
      <c r="R34" s="705" t="s">
        <v>14</v>
      </c>
      <c r="S34" s="706" t="e">
        <f t="shared" si="10"/>
        <v>#N/A</v>
      </c>
      <c r="T34" s="705" t="s">
        <v>14</v>
      </c>
      <c r="U34" s="706" t="e">
        <f t="shared" si="11"/>
        <v>#N/A</v>
      </c>
      <c r="V34" s="705" t="s">
        <v>14</v>
      </c>
      <c r="W34" s="706" t="e">
        <f t="shared" si="12"/>
        <v>#N/A</v>
      </c>
      <c r="X34" s="1355"/>
      <c r="Y34" s="375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59"/>
      <c r="Q35" s="1352" t="str">
        <f t="shared" ref="Q35:Q40" si="14">B35</f>
        <v>宗地形状</v>
      </c>
      <c r="R35" s="705" t="s">
        <v>14</v>
      </c>
      <c r="S35" s="706">
        <f t="shared" si="10"/>
        <v>100</v>
      </c>
      <c r="T35" s="705" t="s">
        <v>14</v>
      </c>
      <c r="U35" s="706">
        <f t="shared" si="11"/>
        <v>100</v>
      </c>
      <c r="V35" s="705" t="s">
        <v>14</v>
      </c>
      <c r="W35" s="706">
        <f t="shared" si="12"/>
        <v>100</v>
      </c>
      <c r="X35" s="1355"/>
      <c r="Y35" s="375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59"/>
      <c r="Q36" s="1352" t="str">
        <f t="shared" si="14"/>
        <v>宗地开发程度</v>
      </c>
      <c r="R36" s="701" t="s">
        <v>14</v>
      </c>
      <c r="S36" s="702">
        <f t="shared" si="10"/>
        <v>100</v>
      </c>
      <c r="T36" s="701" t="s">
        <v>14</v>
      </c>
      <c r="U36" s="702">
        <f t="shared" si="11"/>
        <v>100</v>
      </c>
      <c r="V36" s="701" t="s">
        <v>14</v>
      </c>
      <c r="W36" s="702">
        <f t="shared" si="12"/>
        <v>100</v>
      </c>
      <c r="X36" s="703"/>
      <c r="Y36" s="375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59" t="s">
        <v>1696</v>
      </c>
      <c r="Q37" s="1352" t="str">
        <f t="shared" si="14"/>
        <v>工程地质条件</v>
      </c>
      <c r="R37" s="705" t="s">
        <v>14</v>
      </c>
      <c r="S37" s="706">
        <f t="shared" si="10"/>
        <v>100</v>
      </c>
      <c r="T37" s="705" t="s">
        <v>14</v>
      </c>
      <c r="U37" s="706">
        <f t="shared" si="11"/>
        <v>100</v>
      </c>
      <c r="V37" s="705" t="s">
        <v>14</v>
      </c>
      <c r="W37" s="706">
        <f t="shared" si="12"/>
        <v>100</v>
      </c>
      <c r="X37" s="1355"/>
      <c r="Y37" s="375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59"/>
      <c r="Q38" s="1352">
        <f t="shared" si="14"/>
        <v>111</v>
      </c>
      <c r="R38" s="705" t="s">
        <v>14</v>
      </c>
      <c r="S38" s="706">
        <f t="shared" si="10"/>
        <v>100</v>
      </c>
      <c r="T38" s="705" t="s">
        <v>14</v>
      </c>
      <c r="U38" s="706">
        <f t="shared" si="11"/>
        <v>100</v>
      </c>
      <c r="V38" s="705" t="s">
        <v>14</v>
      </c>
      <c r="W38" s="706">
        <f t="shared" si="12"/>
        <v>100</v>
      </c>
      <c r="X38" s="1355"/>
      <c r="Y38" s="375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59"/>
      <c r="Q39" s="1352">
        <f t="shared" si="14"/>
        <v>111</v>
      </c>
      <c r="R39" s="705" t="s">
        <v>14</v>
      </c>
      <c r="S39" s="706">
        <f t="shared" si="10"/>
        <v>100</v>
      </c>
      <c r="T39" s="705" t="s">
        <v>14</v>
      </c>
      <c r="U39" s="706">
        <f t="shared" si="11"/>
        <v>100</v>
      </c>
      <c r="V39" s="705" t="s">
        <v>14</v>
      </c>
      <c r="W39" s="706">
        <f t="shared" si="12"/>
        <v>100</v>
      </c>
      <c r="X39" s="1355"/>
      <c r="Y39" s="375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59"/>
      <c r="Q40" s="1352">
        <f t="shared" si="14"/>
        <v>111</v>
      </c>
      <c r="R40" s="708" t="s">
        <v>14</v>
      </c>
      <c r="S40" s="709">
        <f t="shared" si="10"/>
        <v>100</v>
      </c>
      <c r="T40" s="708" t="s">
        <v>14</v>
      </c>
      <c r="U40" s="709">
        <f t="shared" si="11"/>
        <v>100</v>
      </c>
      <c r="V40" s="708" t="s">
        <v>14</v>
      </c>
      <c r="W40" s="709">
        <f t="shared" si="12"/>
        <v>100</v>
      </c>
      <c r="X40" s="710"/>
      <c r="Y40" s="375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52" t="str">
        <f>A41</f>
        <v>成交单价</v>
      </c>
      <c r="Q41" s="3752"/>
      <c r="R41" s="3747">
        <f>E41</f>
        <v>0</v>
      </c>
      <c r="S41" s="3747"/>
      <c r="T41" s="3747">
        <f>G41</f>
        <v>0</v>
      </c>
      <c r="U41" s="3747"/>
      <c r="V41" s="3747">
        <f>I41</f>
        <v>0</v>
      </c>
      <c r="W41" s="374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52" t="str">
        <f>A42</f>
        <v>比较价值（元/平方米）</v>
      </c>
      <c r="Q42" s="3752"/>
      <c r="R42" s="3782" t="e">
        <f>ROUND(PRODUCT(R41,AA7:AA40),0)</f>
        <v>#DIV/0!</v>
      </c>
      <c r="S42" s="3782"/>
      <c r="T42" s="3782" t="e">
        <f>ROUND(PRODUCT(T41,AB7:AB40),0)</f>
        <v>#DIV/0!</v>
      </c>
      <c r="U42" s="3782"/>
      <c r="V42" s="3782" t="e">
        <f>ROUND(PRODUCT(V41,AC7:AC40),0)</f>
        <v>#DIV/0!</v>
      </c>
      <c r="W42" s="378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49" t="str">
        <f>A43</f>
        <v>估价对象XX用房的比较价值（楼面单价，元/平方米）</v>
      </c>
      <c r="Q43" s="3750"/>
      <c r="R43" s="3783" t="e">
        <f>ROUND(IF(D42="简单平均",AVERAGE(R42:W42),R42*F42+T42*H42+V42*J42),0)</f>
        <v>#DIV/0!</v>
      </c>
      <c r="S43" s="3783"/>
      <c r="T43" s="3783"/>
      <c r="U43" s="3783"/>
      <c r="V43" s="3783"/>
      <c r="W43" s="3783"/>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35" t="s">
        <v>1887</v>
      </c>
      <c r="H50" s="3784"/>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34"/>
      <c r="H51" s="375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0.5</v>
      </c>
      <c r="D52" s="945">
        <v>0.25</v>
      </c>
      <c r="E52" s="642"/>
      <c r="F52" s="639" t="e">
        <f t="shared" si="15"/>
        <v>#DIV/0!</v>
      </c>
      <c r="G52" s="3006" t="s">
        <v>1892</v>
      </c>
      <c r="H52" s="887" t="str">
        <f>项目基本情况!B37</f>
        <v>八级</v>
      </c>
      <c r="I52" s="773">
        <f>SUMIF(修正!A59:A70,H52,修正!B59:B70)</f>
        <v>0.5</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0.2</v>
      </c>
      <c r="D53" s="945">
        <v>0.25</v>
      </c>
      <c r="E53" s="642"/>
      <c r="F53" s="639" t="e">
        <f t="shared" si="15"/>
        <v>#DIV/0!</v>
      </c>
      <c r="G53" s="3007"/>
      <c r="H53" s="887" t="str">
        <f>项目基本情况!B37</f>
        <v>八级</v>
      </c>
      <c r="I53" s="773">
        <f>SUMIF(修正!A59:A70,H53,修正!C59:C70)</f>
        <v>0.2</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v>
      </c>
      <c r="D54" s="945">
        <v>0.25</v>
      </c>
      <c r="E54" s="642"/>
      <c r="F54" s="639" t="e">
        <f t="shared" si="15"/>
        <v>#DIV/0!</v>
      </c>
      <c r="G54" s="3007"/>
      <c r="H54" s="887" t="str">
        <f>项目基本情况!B37</f>
        <v>八级</v>
      </c>
      <c r="I54" s="773">
        <f>SUMIF(修正!A59:A70,H54,修正!D59:D70)</f>
        <v>0.2</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1674.92</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v>
      </c>
      <c r="D58" s="945">
        <v>0.25</v>
      </c>
      <c r="E58" s="217">
        <f>'数据-汇总表'!E13</f>
        <v>0</v>
      </c>
      <c r="F58" s="639" t="e">
        <f t="shared" si="15"/>
        <v>#DIV/0!</v>
      </c>
      <c r="G58" s="892" t="s">
        <v>1900</v>
      </c>
      <c r="H58" s="887" t="str">
        <f>IF(G58="商业",项目基本情况!B37,IF(G58="办公",项目基本情况!C37,IF(G58="住宅",项目基本情况!D37,项目基本情况!E37)))</f>
        <v>八级</v>
      </c>
      <c r="I58" s="773">
        <f>SUMIF(修正!A59:A70,H58,修正!G59:G70)</f>
        <v>0.1</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八级</v>
      </c>
      <c r="I59" s="773">
        <f>SUMIF(修正!A59:A70,H59,修正!G59:G70)</f>
        <v>0.1</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2025-8-1</v>
      </c>
      <c r="D63" s="692">
        <f>EDATE(C63,-3)</f>
        <v>45778</v>
      </c>
      <c r="E63" s="692">
        <f>EDATE(D63,-3)</f>
        <v>45689</v>
      </c>
      <c r="F63" s="692">
        <f t="shared" ref="F63:O63" si="18">EDATE(E63,-3)</f>
        <v>45597</v>
      </c>
      <c r="G63" s="692">
        <f t="shared" si="18"/>
        <v>45505</v>
      </c>
      <c r="H63" s="692">
        <f t="shared" si="18"/>
        <v>45413</v>
      </c>
      <c r="I63" s="692">
        <f t="shared" si="18"/>
        <v>45323</v>
      </c>
      <c r="J63" s="692">
        <f t="shared" si="18"/>
        <v>45231</v>
      </c>
      <c r="K63" s="692">
        <f t="shared" si="18"/>
        <v>45139</v>
      </c>
      <c r="L63" s="692">
        <f t="shared" si="18"/>
        <v>45047</v>
      </c>
      <c r="M63" s="692">
        <f t="shared" si="18"/>
        <v>44958</v>
      </c>
      <c r="N63" s="692">
        <f t="shared" si="18"/>
        <v>44866</v>
      </c>
      <c r="O63" s="692">
        <f t="shared" si="18"/>
        <v>44774</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2" t="s">
        <v>2084</v>
      </c>
      <c r="D1" s="3793"/>
      <c r="E1" s="3793"/>
      <c r="F1" s="3793"/>
      <c r="G1" s="3793"/>
      <c r="H1" s="3793"/>
      <c r="I1" s="3793"/>
      <c r="J1" s="3793"/>
      <c r="K1" s="3793"/>
      <c r="L1" s="3793"/>
      <c r="M1" s="3793"/>
      <c r="N1" s="3793"/>
      <c r="O1" s="3793"/>
      <c r="P1" s="3793"/>
      <c r="Q1" s="3793"/>
      <c r="R1" s="3793"/>
      <c r="S1" s="3794"/>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9" t="s">
        <v>27</v>
      </c>
      <c r="D22" s="3790"/>
      <c r="E22" s="3790"/>
      <c r="F22" s="3790"/>
      <c r="G22" s="3790"/>
      <c r="H22" s="3790"/>
      <c r="I22" s="3790"/>
      <c r="J22" s="3790"/>
      <c r="K22" s="3790"/>
      <c r="L22" s="3790"/>
      <c r="M22" s="3790"/>
      <c r="N22" s="3790"/>
      <c r="O22" s="3790"/>
      <c r="P22" s="3790"/>
      <c r="Q22" s="379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123</v>
      </c>
      <c r="C2" s="2145" t="s">
        <v>2074</v>
      </c>
      <c r="D2" s="2145" t="s">
        <v>2075</v>
      </c>
      <c r="E2" s="2612">
        <f ca="1">SUMIF(E6:E13,"&lt;&gt;#ref!",E6:E13)</f>
        <v>1674.92</v>
      </c>
      <c r="F2" s="2793"/>
      <c r="G2" s="2793"/>
      <c r="H2" s="2793"/>
      <c r="I2" s="2793"/>
      <c r="J2" s="2793"/>
      <c r="K2" s="2793"/>
      <c r="L2" s="2793"/>
      <c r="M2" s="2793"/>
      <c r="N2" s="2793"/>
      <c r="O2" s="2793"/>
      <c r="P2" s="2793"/>
    </row>
    <row r="3" spans="1:16" ht="15.75">
      <c r="A3" s="2145" t="s">
        <v>2076</v>
      </c>
      <c r="B3" s="2602">
        <f ca="1">ROUND(B2*10000/E2,0)</f>
        <v>734</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123</v>
      </c>
      <c r="C6" s="2145" t="s">
        <v>2074</v>
      </c>
      <c r="D6" s="2793"/>
      <c r="E6" s="2612">
        <f ca="1">SUMIF(INDIRECT("'"&amp;A6&amp;"'"&amp;"!C:C"),"建筑面积",INDIRECT("'"&amp;A6&amp;"'"&amp;"!D:D"))</f>
        <v>1674.92</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topLeftCell="B1" workbookViewId="0">
      <pane ySplit="2" topLeftCell="A214" activePane="bottomLeft" state="frozen"/>
      <selection pane="bottomLeft" activeCell="A19" sqref="A19"/>
    </sheetView>
  </sheetViews>
  <sheetFormatPr defaultRowHeight="13.5"/>
  <cols>
    <col min="1" max="1" width="20" style="3479" customWidth="1"/>
    <col min="2" max="2" width="9.25" style="3479" customWidth="1"/>
    <col min="3" max="3" width="18.375" style="3479" customWidth="1"/>
    <col min="4" max="4" width="11.5" style="3479" customWidth="1"/>
    <col min="5" max="5" width="13.25" style="3479" customWidth="1"/>
    <col min="6" max="6" width="12.875" style="3482" customWidth="1"/>
    <col min="7" max="7" width="15" style="3479" customWidth="1"/>
    <col min="8" max="8" width="15.25" style="3479" customWidth="1"/>
    <col min="9" max="9" width="15.875" style="3479" customWidth="1"/>
    <col min="10" max="10" width="13.75" style="3479" customWidth="1"/>
    <col min="11" max="11" width="14.375" style="3479" customWidth="1"/>
    <col min="12" max="190" width="20" style="3479" customWidth="1"/>
    <col min="191" max="16384" width="9" style="3479"/>
  </cols>
  <sheetData>
    <row r="1" spans="1:11">
      <c r="A1" s="3574" t="s">
        <v>3457</v>
      </c>
      <c r="B1" s="3574"/>
      <c r="C1" s="3574"/>
      <c r="D1" s="3574"/>
      <c r="E1" s="3574"/>
      <c r="F1" s="3574"/>
      <c r="G1" s="3574"/>
      <c r="H1" s="3574"/>
      <c r="I1" s="3574"/>
      <c r="J1" s="3574"/>
      <c r="K1" s="3574"/>
    </row>
    <row r="2" spans="1:11">
      <c r="A2" s="3480" t="s">
        <v>3458</v>
      </c>
      <c r="B2" s="3480" t="s">
        <v>3459</v>
      </c>
      <c r="C2" s="3480" t="s">
        <v>3460</v>
      </c>
      <c r="D2" s="3480" t="s">
        <v>3461</v>
      </c>
      <c r="E2" s="3480" t="s">
        <v>3462</v>
      </c>
      <c r="F2" s="3481" t="s">
        <v>3463</v>
      </c>
      <c r="G2" s="3480" t="s">
        <v>3464</v>
      </c>
      <c r="H2" s="3480" t="s">
        <v>3465</v>
      </c>
      <c r="I2" s="3480" t="s">
        <v>3466</v>
      </c>
      <c r="J2" s="3480" t="s">
        <v>3467</v>
      </c>
      <c r="K2" s="3480" t="s">
        <v>3468</v>
      </c>
    </row>
    <row r="3" spans="1:11">
      <c r="A3" s="3479" t="s">
        <v>3469</v>
      </c>
      <c r="B3" s="3479" t="s">
        <v>3470</v>
      </c>
      <c r="C3" s="3479" t="s">
        <v>3471</v>
      </c>
      <c r="D3" s="3479">
        <v>184</v>
      </c>
      <c r="E3" s="3479">
        <v>3919</v>
      </c>
      <c r="F3" s="3482">
        <v>5934</v>
      </c>
      <c r="G3" s="3479">
        <v>2325.81</v>
      </c>
      <c r="H3" s="3479" t="s">
        <v>3472</v>
      </c>
      <c r="I3" s="3479" t="s">
        <v>3472</v>
      </c>
      <c r="J3" s="3479">
        <v>66</v>
      </c>
      <c r="K3" s="3479">
        <v>1346</v>
      </c>
    </row>
    <row r="4" spans="1:11">
      <c r="A4" s="3479" t="s">
        <v>3473</v>
      </c>
      <c r="B4" s="3479" t="s">
        <v>3470</v>
      </c>
      <c r="C4" s="3479" t="s">
        <v>3474</v>
      </c>
      <c r="D4" s="3479">
        <v>129</v>
      </c>
      <c r="E4" s="3479">
        <v>1411</v>
      </c>
      <c r="F4" s="3482">
        <v>12393</v>
      </c>
      <c r="G4" s="3479">
        <v>1749.04</v>
      </c>
      <c r="H4" s="3479" t="s">
        <v>3472</v>
      </c>
      <c r="I4" s="3479" t="s">
        <v>3472</v>
      </c>
      <c r="J4" s="3479">
        <v>526</v>
      </c>
      <c r="K4" s="3479">
        <v>6817</v>
      </c>
    </row>
    <row r="5" spans="1:11">
      <c r="A5" s="3479" t="s">
        <v>3475</v>
      </c>
      <c r="B5" s="3479" t="s">
        <v>3470</v>
      </c>
      <c r="C5" s="3479" t="s">
        <v>3476</v>
      </c>
      <c r="D5" s="3479">
        <v>111</v>
      </c>
      <c r="E5" s="3479">
        <v>4292</v>
      </c>
      <c r="F5" s="3482">
        <v>10119</v>
      </c>
      <c r="G5" s="3479">
        <v>4343.26</v>
      </c>
      <c r="H5" s="3479" t="s">
        <v>3472</v>
      </c>
      <c r="I5" s="3479" t="s">
        <v>3472</v>
      </c>
      <c r="J5" s="3479">
        <v>61</v>
      </c>
      <c r="K5" s="3479">
        <v>2660</v>
      </c>
    </row>
    <row r="6" spans="1:11">
      <c r="A6" s="3479" t="s">
        <v>3477</v>
      </c>
      <c r="B6" s="3479" t="s">
        <v>3470</v>
      </c>
      <c r="C6" s="3479" t="s">
        <v>3476</v>
      </c>
      <c r="D6" s="3479">
        <v>98</v>
      </c>
      <c r="E6" s="3479">
        <v>1419</v>
      </c>
      <c r="F6" s="3482">
        <v>10602</v>
      </c>
      <c r="G6" s="3479">
        <v>1503.93</v>
      </c>
      <c r="H6" s="3479" t="s">
        <v>3472</v>
      </c>
      <c r="I6" s="3479" t="s">
        <v>3472</v>
      </c>
      <c r="J6" s="3479">
        <v>300</v>
      </c>
      <c r="K6" s="3479">
        <v>6105</v>
      </c>
    </row>
    <row r="7" spans="1:11">
      <c r="A7" s="3479" t="s">
        <v>3478</v>
      </c>
      <c r="B7" s="3479" t="s">
        <v>3470</v>
      </c>
      <c r="C7" s="3479" t="s">
        <v>3479</v>
      </c>
      <c r="D7" s="3479">
        <v>93</v>
      </c>
      <c r="E7" s="3479">
        <v>1036</v>
      </c>
      <c r="F7" s="3482">
        <v>8812</v>
      </c>
      <c r="G7" s="3479">
        <v>912.91</v>
      </c>
      <c r="H7" s="3479" t="s">
        <v>3472</v>
      </c>
      <c r="I7" s="3479" t="s">
        <v>3472</v>
      </c>
      <c r="J7" s="3479">
        <v>73</v>
      </c>
      <c r="K7" s="3479">
        <v>1013</v>
      </c>
    </row>
    <row r="8" spans="1:11">
      <c r="A8" s="3479" t="s">
        <v>3480</v>
      </c>
      <c r="B8" s="3479" t="s">
        <v>3470</v>
      </c>
      <c r="C8" s="3479" t="s">
        <v>3481</v>
      </c>
      <c r="D8" s="3479">
        <v>78</v>
      </c>
      <c r="E8" s="3479">
        <v>1402</v>
      </c>
      <c r="F8" s="3482">
        <v>11746</v>
      </c>
      <c r="G8" s="3479">
        <v>1646.4</v>
      </c>
      <c r="H8" s="3479" t="s">
        <v>3472</v>
      </c>
      <c r="I8" s="3479" t="s">
        <v>3472</v>
      </c>
      <c r="J8" s="3479">
        <v>113</v>
      </c>
      <c r="K8" s="3479">
        <v>2640</v>
      </c>
    </row>
    <row r="9" spans="1:11">
      <c r="A9" s="3479" t="s">
        <v>3482</v>
      </c>
      <c r="B9" s="3479" t="s">
        <v>3470</v>
      </c>
      <c r="C9" s="3479" t="s">
        <v>3483</v>
      </c>
      <c r="D9" s="3479">
        <v>72</v>
      </c>
      <c r="E9" s="3479">
        <v>1770</v>
      </c>
      <c r="F9" s="3482">
        <v>8865</v>
      </c>
      <c r="G9" s="3479">
        <v>1569.07</v>
      </c>
      <c r="H9" s="3479" t="s">
        <v>3472</v>
      </c>
      <c r="I9" s="3479" t="s">
        <v>3472</v>
      </c>
      <c r="J9" s="3479">
        <v>615</v>
      </c>
      <c r="K9" s="3479">
        <v>18869</v>
      </c>
    </row>
    <row r="10" spans="1:11">
      <c r="A10" s="3479" t="s">
        <v>3484</v>
      </c>
      <c r="B10" s="3479" t="s">
        <v>3470</v>
      </c>
      <c r="C10" s="3479" t="s">
        <v>3485</v>
      </c>
      <c r="D10" s="3479">
        <v>68</v>
      </c>
      <c r="E10" s="3479">
        <v>1483</v>
      </c>
      <c r="F10" s="3482">
        <v>4753</v>
      </c>
      <c r="G10" s="3479">
        <v>704.86</v>
      </c>
      <c r="H10" s="3479">
        <v>101</v>
      </c>
      <c r="I10" s="3479">
        <v>2187</v>
      </c>
      <c r="J10" s="3479">
        <v>29</v>
      </c>
      <c r="K10" s="3479">
        <v>618</v>
      </c>
    </row>
    <row r="11" spans="1:11">
      <c r="A11" s="3479" t="s">
        <v>3486</v>
      </c>
      <c r="B11" s="3479" t="s">
        <v>3470</v>
      </c>
      <c r="C11" s="3479" t="s">
        <v>3474</v>
      </c>
      <c r="D11" s="3479">
        <v>67</v>
      </c>
      <c r="E11" s="3479">
        <v>1009</v>
      </c>
      <c r="F11" s="3482">
        <v>8500</v>
      </c>
      <c r="G11" s="3479">
        <v>857.96</v>
      </c>
      <c r="H11" s="3479">
        <v>104</v>
      </c>
      <c r="I11" s="3479">
        <v>1838</v>
      </c>
      <c r="J11" s="3479">
        <v>37</v>
      </c>
      <c r="K11" s="3479">
        <v>829</v>
      </c>
    </row>
    <row r="12" spans="1:11">
      <c r="A12" s="3479" t="s">
        <v>3487</v>
      </c>
      <c r="B12" s="3479" t="s">
        <v>3470</v>
      </c>
      <c r="C12" s="3479" t="s">
        <v>3488</v>
      </c>
      <c r="D12" s="3479">
        <v>59</v>
      </c>
      <c r="E12" s="3479">
        <v>982</v>
      </c>
      <c r="F12" s="3482">
        <v>6922</v>
      </c>
      <c r="G12" s="3479">
        <v>679.91</v>
      </c>
      <c r="H12" s="3479" t="s">
        <v>3472</v>
      </c>
      <c r="I12" s="3479" t="s">
        <v>3472</v>
      </c>
      <c r="J12" s="3479">
        <v>332</v>
      </c>
      <c r="K12" s="3479">
        <v>7213</v>
      </c>
    </row>
    <row r="13" spans="1:11">
      <c r="A13" s="3479" t="s">
        <v>3489</v>
      </c>
      <c r="B13" s="3479" t="s">
        <v>3470</v>
      </c>
      <c r="C13" s="3479" t="s">
        <v>3483</v>
      </c>
      <c r="D13" s="3479">
        <v>55</v>
      </c>
      <c r="E13" s="3479">
        <v>3528</v>
      </c>
      <c r="F13" s="3482">
        <v>5000</v>
      </c>
      <c r="G13" s="3479">
        <v>1763.84</v>
      </c>
      <c r="H13" s="3479" t="s">
        <v>3472</v>
      </c>
      <c r="I13" s="3479" t="s">
        <v>3472</v>
      </c>
      <c r="J13" s="3479" t="s">
        <v>3472</v>
      </c>
      <c r="K13" s="3479" t="s">
        <v>3472</v>
      </c>
    </row>
    <row r="14" spans="1:11">
      <c r="A14" s="3479" t="s">
        <v>3490</v>
      </c>
      <c r="B14" s="3479" t="s">
        <v>3470</v>
      </c>
      <c r="C14" s="3479" t="s">
        <v>3491</v>
      </c>
      <c r="D14" s="3479">
        <v>51</v>
      </c>
      <c r="E14" s="3479">
        <v>577</v>
      </c>
      <c r="F14" s="3482">
        <v>917</v>
      </c>
      <c r="G14" s="3479">
        <v>52.96</v>
      </c>
      <c r="H14" s="3479" t="s">
        <v>3472</v>
      </c>
      <c r="I14" s="3479" t="s">
        <v>3472</v>
      </c>
      <c r="J14" s="3479">
        <v>44</v>
      </c>
      <c r="K14" s="3479">
        <v>2168</v>
      </c>
    </row>
    <row r="15" spans="1:11">
      <c r="A15" s="3479" t="s">
        <v>3492</v>
      </c>
      <c r="B15" s="3479" t="s">
        <v>3470</v>
      </c>
      <c r="C15" s="3479" t="s">
        <v>3493</v>
      </c>
      <c r="D15" s="3479">
        <v>48</v>
      </c>
      <c r="E15" s="3479">
        <v>1109</v>
      </c>
      <c r="F15" s="3482">
        <v>2309</v>
      </c>
      <c r="G15" s="3479">
        <v>256.17</v>
      </c>
      <c r="H15" s="3479" t="s">
        <v>3472</v>
      </c>
      <c r="I15" s="3479" t="s">
        <v>3472</v>
      </c>
      <c r="J15" s="3479">
        <v>47</v>
      </c>
      <c r="K15" s="3479">
        <v>3534</v>
      </c>
    </row>
    <row r="16" spans="1:11" s="3483" customFormat="1">
      <c r="A16" s="3483" t="s">
        <v>3549</v>
      </c>
      <c r="B16" s="3483" t="s">
        <v>3470</v>
      </c>
      <c r="C16" s="3483" t="s">
        <v>3491</v>
      </c>
      <c r="D16" s="3483">
        <v>38</v>
      </c>
      <c r="E16" s="3483">
        <v>497</v>
      </c>
      <c r="F16" s="3484">
        <v>3858</v>
      </c>
      <c r="G16" s="3483">
        <v>191.77</v>
      </c>
      <c r="H16" s="3483" t="s">
        <v>3472</v>
      </c>
      <c r="I16" s="3483" t="s">
        <v>3472</v>
      </c>
      <c r="J16" s="3483">
        <v>207</v>
      </c>
      <c r="K16" s="3483">
        <v>2642</v>
      </c>
    </row>
    <row r="17" spans="1:11">
      <c r="A17" s="3479" t="s">
        <v>3494</v>
      </c>
      <c r="B17" s="3479" t="s">
        <v>3470</v>
      </c>
      <c r="C17" s="3479" t="s">
        <v>3495</v>
      </c>
      <c r="D17" s="3479">
        <v>36</v>
      </c>
      <c r="E17" s="3479">
        <v>549</v>
      </c>
      <c r="F17" s="3482">
        <v>15583</v>
      </c>
      <c r="G17" s="3479">
        <v>855.16</v>
      </c>
      <c r="H17" s="3479" t="s">
        <v>3472</v>
      </c>
      <c r="I17" s="3479" t="s">
        <v>3472</v>
      </c>
      <c r="J17" s="3479">
        <v>1301</v>
      </c>
      <c r="K17" s="3479">
        <v>24019</v>
      </c>
    </row>
    <row r="18" spans="1:11">
      <c r="A18" s="3479" t="s">
        <v>3496</v>
      </c>
      <c r="B18" s="3479" t="s">
        <v>3470</v>
      </c>
      <c r="C18" s="3479" t="s">
        <v>3497</v>
      </c>
      <c r="D18" s="3479">
        <v>35</v>
      </c>
      <c r="E18" s="3479">
        <v>538</v>
      </c>
      <c r="F18" s="3482">
        <v>10078</v>
      </c>
      <c r="G18" s="3479">
        <v>542.4</v>
      </c>
      <c r="H18" s="3479">
        <v>443</v>
      </c>
      <c r="I18" s="3479">
        <v>10616</v>
      </c>
      <c r="J18" s="3479">
        <v>880</v>
      </c>
      <c r="K18" s="3479">
        <v>19688</v>
      </c>
    </row>
    <row r="19" spans="1:11" s="3483" customFormat="1">
      <c r="A19" s="3483" t="s">
        <v>3557</v>
      </c>
      <c r="B19" s="3483" t="s">
        <v>3470</v>
      </c>
      <c r="C19" s="3483" t="s">
        <v>3498</v>
      </c>
      <c r="D19" s="3483">
        <v>33</v>
      </c>
      <c r="E19" s="3483">
        <v>2418</v>
      </c>
      <c r="F19" s="3484">
        <v>4171</v>
      </c>
      <c r="G19" s="3483">
        <v>1008.68</v>
      </c>
      <c r="H19" s="3483" t="s">
        <v>3472</v>
      </c>
      <c r="I19" s="3483" t="s">
        <v>3472</v>
      </c>
      <c r="J19" s="3483" t="s">
        <v>3472</v>
      </c>
      <c r="K19" s="3483" t="s">
        <v>3472</v>
      </c>
    </row>
    <row r="20" spans="1:11">
      <c r="A20" s="3479" t="s">
        <v>3499</v>
      </c>
      <c r="B20" s="3479" t="s">
        <v>3470</v>
      </c>
      <c r="C20" s="3479" t="s">
        <v>3495</v>
      </c>
      <c r="D20" s="3479">
        <v>33</v>
      </c>
      <c r="E20" s="3479">
        <v>269</v>
      </c>
      <c r="F20" s="3482">
        <v>9711</v>
      </c>
      <c r="G20" s="3479">
        <v>261.55</v>
      </c>
      <c r="H20" s="3479" t="s">
        <v>3472</v>
      </c>
      <c r="I20" s="3479" t="s">
        <v>3472</v>
      </c>
      <c r="J20" s="3479">
        <v>842</v>
      </c>
      <c r="K20" s="3479">
        <v>7850</v>
      </c>
    </row>
    <row r="21" spans="1:11">
      <c r="A21" s="3479" t="s">
        <v>3500</v>
      </c>
      <c r="B21" s="3479" t="s">
        <v>3470</v>
      </c>
      <c r="C21" s="3479" t="s">
        <v>3483</v>
      </c>
      <c r="D21" s="3479">
        <v>31</v>
      </c>
      <c r="E21" s="3479">
        <v>1015</v>
      </c>
      <c r="F21" s="3482">
        <v>9112</v>
      </c>
      <c r="G21" s="3479">
        <v>924.84</v>
      </c>
      <c r="H21" s="3479" t="s">
        <v>3472</v>
      </c>
      <c r="I21" s="3479" t="s">
        <v>3472</v>
      </c>
      <c r="J21" s="3479">
        <v>90</v>
      </c>
      <c r="K21" s="3479">
        <v>1736</v>
      </c>
    </row>
    <row r="22" spans="1:11" s="3483" customFormat="1">
      <c r="A22" s="3483" t="s">
        <v>3554</v>
      </c>
      <c r="B22" s="3483" t="s">
        <v>3470</v>
      </c>
      <c r="C22" s="3483" t="s">
        <v>3491</v>
      </c>
      <c r="D22" s="3483">
        <v>25</v>
      </c>
      <c r="E22" s="3483">
        <v>408</v>
      </c>
      <c r="F22" s="3484">
        <v>4729</v>
      </c>
      <c r="G22" s="3483">
        <v>192.94</v>
      </c>
      <c r="H22" s="3483" t="s">
        <v>3472</v>
      </c>
      <c r="I22" s="3483" t="s">
        <v>3472</v>
      </c>
      <c r="J22" s="3483">
        <v>240</v>
      </c>
      <c r="K22" s="3483">
        <v>4209</v>
      </c>
    </row>
    <row r="23" spans="1:11">
      <c r="A23" s="3479" t="s">
        <v>3501</v>
      </c>
      <c r="B23" s="3479" t="s">
        <v>3470</v>
      </c>
      <c r="C23" s="3479" t="s">
        <v>3493</v>
      </c>
      <c r="D23" s="3479">
        <v>24</v>
      </c>
      <c r="E23" s="3479">
        <v>415</v>
      </c>
      <c r="F23" s="3482">
        <v>15781</v>
      </c>
      <c r="G23" s="3479">
        <v>655</v>
      </c>
      <c r="H23" s="3479" t="s">
        <v>3472</v>
      </c>
      <c r="I23" s="3479" t="s">
        <v>3472</v>
      </c>
      <c r="J23" s="3479">
        <v>189</v>
      </c>
      <c r="K23" s="3479">
        <v>8227</v>
      </c>
    </row>
    <row r="24" spans="1:11">
      <c r="A24" s="3479" t="s">
        <v>3502</v>
      </c>
      <c r="B24" s="3479" t="s">
        <v>3470</v>
      </c>
      <c r="C24" s="3479" t="s">
        <v>3498</v>
      </c>
      <c r="D24" s="3479">
        <v>21</v>
      </c>
      <c r="E24" s="3479">
        <v>467</v>
      </c>
      <c r="F24" s="3482">
        <v>6126</v>
      </c>
      <c r="G24" s="3479">
        <v>285.89</v>
      </c>
      <c r="H24" s="3479" t="s">
        <v>3472</v>
      </c>
      <c r="I24" s="3479" t="s">
        <v>3472</v>
      </c>
      <c r="J24" s="3479">
        <v>390</v>
      </c>
      <c r="K24" s="3479">
        <v>12172</v>
      </c>
    </row>
    <row r="25" spans="1:11">
      <c r="A25" s="3479" t="s">
        <v>3503</v>
      </c>
      <c r="B25" s="3479" t="s">
        <v>3470</v>
      </c>
      <c r="C25" s="3479" t="s">
        <v>3504</v>
      </c>
      <c r="D25" s="3479">
        <v>21</v>
      </c>
      <c r="E25" s="3479">
        <v>670</v>
      </c>
      <c r="F25" s="3482">
        <v>7247</v>
      </c>
      <c r="G25" s="3479">
        <v>485.87</v>
      </c>
      <c r="H25" s="3479" t="s">
        <v>3472</v>
      </c>
      <c r="I25" s="3479" t="s">
        <v>3472</v>
      </c>
      <c r="J25" s="3479">
        <v>1</v>
      </c>
      <c r="K25" s="3479">
        <v>26</v>
      </c>
    </row>
    <row r="26" spans="1:11">
      <c r="A26" s="3479" t="s">
        <v>3505</v>
      </c>
      <c r="B26" s="3479" t="s">
        <v>3470</v>
      </c>
      <c r="C26" s="3479" t="s">
        <v>3474</v>
      </c>
      <c r="D26" s="3479">
        <v>20</v>
      </c>
      <c r="E26" s="3479">
        <v>236</v>
      </c>
      <c r="F26" s="3482">
        <v>10144</v>
      </c>
      <c r="G26" s="3479">
        <v>239.67</v>
      </c>
      <c r="H26" s="3479" t="s">
        <v>3472</v>
      </c>
      <c r="I26" s="3479" t="s">
        <v>3472</v>
      </c>
      <c r="J26" s="3479">
        <v>282</v>
      </c>
      <c r="K26" s="3479">
        <v>5080</v>
      </c>
    </row>
    <row r="27" spans="1:11">
      <c r="A27" s="3479" t="s">
        <v>3506</v>
      </c>
      <c r="B27" s="3479" t="s">
        <v>3470</v>
      </c>
      <c r="C27" s="3479" t="s">
        <v>3507</v>
      </c>
      <c r="D27" s="3479">
        <v>19</v>
      </c>
      <c r="E27" s="3479">
        <v>337</v>
      </c>
      <c r="F27" s="3482">
        <v>1435</v>
      </c>
      <c r="G27" s="3479">
        <v>48.4</v>
      </c>
      <c r="H27" s="3479" t="s">
        <v>3472</v>
      </c>
      <c r="I27" s="3479" t="s">
        <v>3472</v>
      </c>
      <c r="J27" s="3479">
        <v>140</v>
      </c>
      <c r="K27" s="3479">
        <v>1864</v>
      </c>
    </row>
    <row r="28" spans="1:11">
      <c r="A28" s="3479" t="s">
        <v>3508</v>
      </c>
      <c r="B28" s="3479" t="s">
        <v>3470</v>
      </c>
      <c r="C28" s="3479" t="s">
        <v>3474</v>
      </c>
      <c r="D28" s="3479">
        <v>18</v>
      </c>
      <c r="E28" s="3479">
        <v>1506</v>
      </c>
      <c r="F28" s="3482">
        <v>13718</v>
      </c>
      <c r="G28" s="3479">
        <v>2065.62</v>
      </c>
      <c r="H28" s="3479" t="s">
        <v>3472</v>
      </c>
      <c r="I28" s="3479" t="s">
        <v>3472</v>
      </c>
      <c r="J28" s="3479">
        <v>6</v>
      </c>
      <c r="K28" s="3479">
        <v>430</v>
      </c>
    </row>
    <row r="29" spans="1:11">
      <c r="A29" s="3479" t="s">
        <v>3509</v>
      </c>
      <c r="B29" s="3479" t="s">
        <v>3470</v>
      </c>
      <c r="C29" s="3479" t="s">
        <v>3504</v>
      </c>
      <c r="D29" s="3479">
        <v>13</v>
      </c>
      <c r="E29" s="3479">
        <v>222</v>
      </c>
      <c r="F29" s="3482">
        <v>5963</v>
      </c>
      <c r="G29" s="3479">
        <v>132.28</v>
      </c>
      <c r="H29" s="3479" t="s">
        <v>3472</v>
      </c>
      <c r="I29" s="3479" t="s">
        <v>3472</v>
      </c>
      <c r="J29" s="3479">
        <v>151</v>
      </c>
      <c r="K29" s="3479">
        <v>3956</v>
      </c>
    </row>
    <row r="30" spans="1:11">
      <c r="A30" s="3479" t="s">
        <v>3510</v>
      </c>
      <c r="B30" s="3479" t="s">
        <v>3470</v>
      </c>
      <c r="C30" s="3479" t="s">
        <v>3483</v>
      </c>
      <c r="D30" s="3479">
        <v>13</v>
      </c>
      <c r="E30" s="3479">
        <v>360</v>
      </c>
      <c r="F30" s="3482">
        <v>10582</v>
      </c>
      <c r="G30" s="3479">
        <v>380.76</v>
      </c>
      <c r="H30" s="3479" t="s">
        <v>3472</v>
      </c>
      <c r="I30" s="3479" t="s">
        <v>3472</v>
      </c>
      <c r="J30" s="3479" t="s">
        <v>3472</v>
      </c>
      <c r="K30" s="3479" t="s">
        <v>3472</v>
      </c>
    </row>
    <row r="31" spans="1:11">
      <c r="A31" s="3479" t="s">
        <v>3511</v>
      </c>
      <c r="B31" s="3479" t="s">
        <v>3470</v>
      </c>
      <c r="C31" s="3479" t="s">
        <v>3512</v>
      </c>
      <c r="D31" s="3479">
        <v>12</v>
      </c>
      <c r="E31" s="3479">
        <v>273</v>
      </c>
      <c r="F31" s="3482">
        <v>1424</v>
      </c>
      <c r="G31" s="3479">
        <v>38.85</v>
      </c>
      <c r="H31" s="3479" t="s">
        <v>3472</v>
      </c>
      <c r="I31" s="3479" t="s">
        <v>3472</v>
      </c>
      <c r="J31" s="3479">
        <v>182</v>
      </c>
      <c r="K31" s="3479">
        <v>5006</v>
      </c>
    </row>
    <row r="32" spans="1:11">
      <c r="A32" s="3479" t="s">
        <v>3513</v>
      </c>
      <c r="B32" s="3479" t="s">
        <v>3470</v>
      </c>
      <c r="C32" s="3479" t="s">
        <v>3483</v>
      </c>
      <c r="D32" s="3479">
        <v>10</v>
      </c>
      <c r="E32" s="3479">
        <v>675</v>
      </c>
      <c r="F32" s="3482">
        <v>6318</v>
      </c>
      <c r="G32" s="3479">
        <v>426.6</v>
      </c>
      <c r="H32" s="3479" t="s">
        <v>3472</v>
      </c>
      <c r="I32" s="3479" t="s">
        <v>3472</v>
      </c>
      <c r="J32" s="3479">
        <v>670</v>
      </c>
      <c r="K32" s="3479">
        <v>10328</v>
      </c>
    </row>
    <row r="33" spans="1:11" ht="13.5" customHeight="1">
      <c r="A33" s="3479" t="s">
        <v>3514</v>
      </c>
      <c r="B33" s="3479" t="s">
        <v>3470</v>
      </c>
      <c r="C33" s="3479" t="s">
        <v>3495</v>
      </c>
      <c r="D33" s="3479">
        <v>8</v>
      </c>
      <c r="E33" s="3479">
        <v>78</v>
      </c>
      <c r="F33" s="3482">
        <v>6160</v>
      </c>
      <c r="G33" s="3479">
        <v>48.21</v>
      </c>
      <c r="H33" s="3479" t="s">
        <v>3472</v>
      </c>
      <c r="I33" s="3479" t="s">
        <v>3472</v>
      </c>
      <c r="J33" s="3479">
        <v>224</v>
      </c>
      <c r="K33" s="3479">
        <v>2296</v>
      </c>
    </row>
    <row r="34" spans="1:11" ht="13.5" customHeight="1">
      <c r="A34" s="3479" t="s">
        <v>3515</v>
      </c>
      <c r="B34" s="3479" t="s">
        <v>3470</v>
      </c>
      <c r="C34" s="3479" t="s">
        <v>3504</v>
      </c>
      <c r="D34" s="3479">
        <v>8</v>
      </c>
      <c r="E34" s="3479">
        <v>628</v>
      </c>
      <c r="F34" s="3482">
        <v>10152</v>
      </c>
      <c r="G34" s="3479">
        <v>637.44000000000005</v>
      </c>
      <c r="H34" s="3479">
        <v>50</v>
      </c>
      <c r="I34" s="3479">
        <v>5360</v>
      </c>
      <c r="J34" s="3479">
        <v>42</v>
      </c>
      <c r="K34" s="3479">
        <v>4732</v>
      </c>
    </row>
    <row r="35" spans="1:11" ht="13.5" customHeight="1">
      <c r="A35" s="3479" t="s">
        <v>3516</v>
      </c>
      <c r="B35" s="3479" t="s">
        <v>3470</v>
      </c>
      <c r="C35" s="3479" t="s">
        <v>3483</v>
      </c>
      <c r="D35" s="3479">
        <v>6</v>
      </c>
      <c r="E35" s="3479">
        <v>202</v>
      </c>
      <c r="F35" s="3482">
        <v>6082</v>
      </c>
      <c r="G35" s="3479">
        <v>122.77</v>
      </c>
      <c r="H35" s="3479" t="s">
        <v>3472</v>
      </c>
      <c r="I35" s="3479" t="s">
        <v>3472</v>
      </c>
      <c r="J35" s="3479">
        <v>314</v>
      </c>
      <c r="K35" s="3479">
        <v>11413</v>
      </c>
    </row>
    <row r="36" spans="1:11" ht="13.5" customHeight="1">
      <c r="A36" s="3479" t="s">
        <v>3517</v>
      </c>
      <c r="B36" s="3479" t="s">
        <v>3470</v>
      </c>
      <c r="C36" s="3479" t="s">
        <v>3474</v>
      </c>
      <c r="D36" s="3479">
        <v>6</v>
      </c>
      <c r="E36" s="3479">
        <v>2759</v>
      </c>
      <c r="F36" s="3482">
        <v>18160</v>
      </c>
      <c r="G36" s="3479">
        <v>5010.7299999999996</v>
      </c>
      <c r="H36" s="3479" t="s">
        <v>3472</v>
      </c>
      <c r="I36" s="3479" t="s">
        <v>3472</v>
      </c>
      <c r="J36" s="3479" t="s">
        <v>3472</v>
      </c>
      <c r="K36" s="3479" t="s">
        <v>3472</v>
      </c>
    </row>
    <row r="37" spans="1:11" ht="13.5" customHeight="1">
      <c r="A37" s="3479" t="s">
        <v>3518</v>
      </c>
      <c r="B37" s="3479" t="s">
        <v>3470</v>
      </c>
      <c r="C37" s="3479" t="s">
        <v>3519</v>
      </c>
      <c r="D37" s="3479">
        <v>5</v>
      </c>
      <c r="E37" s="3479">
        <v>72</v>
      </c>
      <c r="F37" s="3482">
        <v>2000</v>
      </c>
      <c r="G37" s="3479">
        <v>14.34</v>
      </c>
      <c r="H37" s="3479" t="s">
        <v>3472</v>
      </c>
      <c r="I37" s="3479" t="s">
        <v>3472</v>
      </c>
      <c r="J37" s="3479" t="s">
        <v>3472</v>
      </c>
      <c r="K37" s="3479" t="s">
        <v>3472</v>
      </c>
    </row>
    <row r="38" spans="1:11" ht="13.5" customHeight="1">
      <c r="A38" s="3479" t="s">
        <v>3520</v>
      </c>
      <c r="B38" s="3479" t="s">
        <v>3470</v>
      </c>
      <c r="C38" s="3479" t="s">
        <v>3495</v>
      </c>
      <c r="D38" s="3479">
        <v>4</v>
      </c>
      <c r="E38" s="3479">
        <v>94</v>
      </c>
      <c r="F38" s="3482">
        <v>6297</v>
      </c>
      <c r="G38" s="3479">
        <v>59.04</v>
      </c>
      <c r="H38" s="3479" t="s">
        <v>3472</v>
      </c>
      <c r="I38" s="3479" t="s">
        <v>3472</v>
      </c>
      <c r="J38" s="3479">
        <v>621</v>
      </c>
      <c r="K38" s="3479">
        <v>15186</v>
      </c>
    </row>
    <row r="39" spans="1:11" ht="13.5" customHeight="1">
      <c r="A39" s="3479" t="s">
        <v>3521</v>
      </c>
      <c r="B39" s="3479" t="s">
        <v>3470</v>
      </c>
      <c r="C39" s="3479" t="s">
        <v>3504</v>
      </c>
      <c r="D39" s="3479">
        <v>3</v>
      </c>
      <c r="E39" s="3479">
        <v>274</v>
      </c>
      <c r="F39" s="3482">
        <v>16801</v>
      </c>
      <c r="G39" s="3479">
        <v>460.51</v>
      </c>
      <c r="H39" s="3479" t="s">
        <v>3472</v>
      </c>
      <c r="I39" s="3479" t="s">
        <v>3472</v>
      </c>
      <c r="J39" s="3479">
        <v>158</v>
      </c>
      <c r="K39" s="3479">
        <v>8613</v>
      </c>
    </row>
    <row r="40" spans="1:11" ht="13.5" customHeight="1">
      <c r="A40" s="3479" t="s">
        <v>3522</v>
      </c>
      <c r="B40" s="3479" t="s">
        <v>3470</v>
      </c>
      <c r="C40" s="3479" t="s">
        <v>3523</v>
      </c>
      <c r="D40" s="3479">
        <v>3</v>
      </c>
      <c r="E40" s="3479">
        <v>34</v>
      </c>
      <c r="F40" s="3482">
        <v>5622</v>
      </c>
      <c r="G40" s="3479">
        <v>18.940000000000001</v>
      </c>
      <c r="H40" s="3479" t="s">
        <v>3472</v>
      </c>
      <c r="I40" s="3479" t="s">
        <v>3472</v>
      </c>
      <c r="J40" s="3479">
        <v>558</v>
      </c>
      <c r="K40" s="3479">
        <v>9021</v>
      </c>
    </row>
    <row r="41" spans="1:11" ht="13.5" customHeight="1">
      <c r="A41" s="3479" t="s">
        <v>3524</v>
      </c>
      <c r="B41" s="3479" t="s">
        <v>3470</v>
      </c>
      <c r="C41" s="3479" t="s">
        <v>3507</v>
      </c>
      <c r="D41" s="3479">
        <v>2</v>
      </c>
      <c r="E41" s="3479">
        <v>35</v>
      </c>
      <c r="F41" s="3482">
        <v>4664</v>
      </c>
      <c r="G41" s="3479">
        <v>16.13</v>
      </c>
      <c r="H41" s="3479" t="s">
        <v>3472</v>
      </c>
      <c r="I41" s="3479" t="s">
        <v>3472</v>
      </c>
      <c r="J41" s="3479">
        <v>192</v>
      </c>
      <c r="K41" s="3479">
        <v>3367</v>
      </c>
    </row>
    <row r="42" spans="1:11" ht="13.5" customHeight="1">
      <c r="A42" s="3479" t="s">
        <v>3525</v>
      </c>
      <c r="B42" s="3479" t="s">
        <v>3470</v>
      </c>
      <c r="C42" s="3479" t="s">
        <v>3526</v>
      </c>
      <c r="D42" s="3479">
        <v>2</v>
      </c>
      <c r="E42" s="3479">
        <v>24</v>
      </c>
      <c r="F42" s="3482">
        <v>7479</v>
      </c>
      <c r="G42" s="3479">
        <v>17.809999999999999</v>
      </c>
      <c r="H42" s="3479" t="s">
        <v>3472</v>
      </c>
      <c r="I42" s="3479" t="s">
        <v>3472</v>
      </c>
      <c r="J42" s="3479" t="s">
        <v>3472</v>
      </c>
      <c r="K42" s="3479" t="s">
        <v>3472</v>
      </c>
    </row>
    <row r="43" spans="1:11" ht="13.5" customHeight="1">
      <c r="A43" s="3479" t="s">
        <v>3527</v>
      </c>
      <c r="B43" s="3479" t="s">
        <v>3470</v>
      </c>
      <c r="C43" s="3479" t="s">
        <v>3507</v>
      </c>
      <c r="D43" s="3479">
        <v>2</v>
      </c>
      <c r="E43" s="3479">
        <v>76</v>
      </c>
      <c r="F43" s="3482">
        <v>6568</v>
      </c>
      <c r="G43" s="3479">
        <v>50.03</v>
      </c>
      <c r="H43" s="3479" t="s">
        <v>3472</v>
      </c>
      <c r="I43" s="3479" t="s">
        <v>3472</v>
      </c>
      <c r="J43" s="3479">
        <v>158</v>
      </c>
      <c r="K43" s="3479">
        <v>5148</v>
      </c>
    </row>
    <row r="44" spans="1:11" ht="13.5" customHeight="1">
      <c r="A44" s="3479" t="s">
        <v>3528</v>
      </c>
      <c r="B44" s="3479" t="s">
        <v>3470</v>
      </c>
      <c r="C44" s="3479" t="s">
        <v>3498</v>
      </c>
      <c r="D44" s="3479">
        <v>1</v>
      </c>
      <c r="E44" s="3479">
        <v>72</v>
      </c>
      <c r="F44" s="3482">
        <v>140</v>
      </c>
      <c r="G44" s="3479">
        <v>1</v>
      </c>
      <c r="H44" s="3479" t="s">
        <v>3472</v>
      </c>
      <c r="I44" s="3479" t="s">
        <v>3472</v>
      </c>
      <c r="J44" s="3479" t="s">
        <v>3472</v>
      </c>
      <c r="K44" s="3479" t="s">
        <v>3472</v>
      </c>
    </row>
    <row r="45" spans="1:11" ht="13.5" customHeight="1">
      <c r="A45" s="3479" t="s">
        <v>3529</v>
      </c>
      <c r="B45" s="3479" t="s">
        <v>3470</v>
      </c>
      <c r="C45" s="3479" t="s">
        <v>3491</v>
      </c>
      <c r="D45" s="3479">
        <v>1</v>
      </c>
      <c r="E45" s="3479">
        <v>142</v>
      </c>
      <c r="F45" s="3482">
        <v>1000</v>
      </c>
      <c r="G45" s="3479">
        <v>14.21</v>
      </c>
      <c r="H45" s="3479" t="s">
        <v>3472</v>
      </c>
      <c r="I45" s="3479" t="s">
        <v>3472</v>
      </c>
      <c r="J45" s="3479">
        <v>63</v>
      </c>
      <c r="K45" s="3479">
        <v>2198</v>
      </c>
    </row>
    <row r="46" spans="1:11" ht="13.5" customHeight="1">
      <c r="A46" s="3479" t="s">
        <v>3530</v>
      </c>
      <c r="B46" s="3479" t="s">
        <v>3470</v>
      </c>
      <c r="C46" s="3479" t="s">
        <v>3481</v>
      </c>
      <c r="D46" s="3479">
        <v>1</v>
      </c>
      <c r="E46" s="3479">
        <v>28</v>
      </c>
      <c r="F46" s="3482">
        <v>28144</v>
      </c>
      <c r="G46" s="3479">
        <v>78.239999999999995</v>
      </c>
      <c r="H46" s="3479" t="s">
        <v>3472</v>
      </c>
      <c r="I46" s="3479" t="s">
        <v>3472</v>
      </c>
      <c r="J46" s="3479" t="s">
        <v>3472</v>
      </c>
      <c r="K46" s="3479" t="s">
        <v>3472</v>
      </c>
    </row>
    <row r="47" spans="1:11" ht="13.5" customHeight="1">
      <c r="A47" s="3479" t="s">
        <v>3531</v>
      </c>
      <c r="B47" s="3479" t="s">
        <v>3470</v>
      </c>
      <c r="C47" s="3479" t="s">
        <v>3471</v>
      </c>
      <c r="D47" s="3479">
        <v>1</v>
      </c>
      <c r="E47" s="3479">
        <v>71</v>
      </c>
      <c r="F47" s="3482">
        <v>2696</v>
      </c>
      <c r="G47" s="3479">
        <v>19.079999999999998</v>
      </c>
      <c r="H47" s="3479" t="s">
        <v>3472</v>
      </c>
      <c r="I47" s="3479" t="s">
        <v>3472</v>
      </c>
      <c r="J47" s="3479" t="s">
        <v>3472</v>
      </c>
      <c r="K47" s="3479" t="s">
        <v>3472</v>
      </c>
    </row>
    <row r="48" spans="1:11">
      <c r="A48" s="3479" t="s">
        <v>3532</v>
      </c>
      <c r="B48" s="3479" t="s">
        <v>3470</v>
      </c>
      <c r="C48" s="3479" t="s">
        <v>3533</v>
      </c>
      <c r="D48" s="3479">
        <v>1</v>
      </c>
      <c r="E48" s="3479">
        <v>43</v>
      </c>
      <c r="F48" s="3482">
        <v>3235</v>
      </c>
      <c r="G48" s="3479">
        <v>13.78</v>
      </c>
      <c r="H48" s="3479" t="s">
        <v>3472</v>
      </c>
      <c r="I48" s="3479" t="s">
        <v>3472</v>
      </c>
      <c r="J48" s="3479" t="s">
        <v>3472</v>
      </c>
      <c r="K48" s="3479" t="s">
        <v>3472</v>
      </c>
    </row>
    <row r="49" spans="1:11">
      <c r="A49" s="3479" t="s">
        <v>3534</v>
      </c>
      <c r="B49" s="3479" t="s">
        <v>3470</v>
      </c>
      <c r="C49" s="3479" t="s">
        <v>3535</v>
      </c>
      <c r="D49" s="3479">
        <v>1</v>
      </c>
      <c r="E49" s="3479">
        <v>127</v>
      </c>
      <c r="F49" s="3482">
        <v>79</v>
      </c>
      <c r="G49" s="3479">
        <v>1</v>
      </c>
      <c r="H49" s="3479" t="s">
        <v>3472</v>
      </c>
      <c r="I49" s="3479" t="s">
        <v>3472</v>
      </c>
      <c r="J49" s="3479" t="s">
        <v>3472</v>
      </c>
      <c r="K49" s="3479" t="s">
        <v>3472</v>
      </c>
    </row>
    <row r="50" spans="1:11" ht="13.5" customHeight="1">
      <c r="A50" s="3479" t="s">
        <v>3536</v>
      </c>
      <c r="B50" s="3479" t="s">
        <v>3470</v>
      </c>
      <c r="C50" s="3479" t="s">
        <v>3493</v>
      </c>
      <c r="D50" s="3479" t="s">
        <v>3472</v>
      </c>
      <c r="E50" s="3479" t="s">
        <v>3472</v>
      </c>
      <c r="F50" s="3482" t="s">
        <v>3472</v>
      </c>
      <c r="G50" s="3479" t="s">
        <v>3472</v>
      </c>
      <c r="H50" s="3479">
        <v>68</v>
      </c>
      <c r="I50" s="3479">
        <v>727</v>
      </c>
      <c r="J50" s="3479">
        <v>68</v>
      </c>
      <c r="K50" s="3479">
        <v>727</v>
      </c>
    </row>
    <row r="51" spans="1:11" ht="13.5" customHeight="1">
      <c r="A51" s="3479" t="s">
        <v>3537</v>
      </c>
      <c r="B51" s="3479" t="s">
        <v>3470</v>
      </c>
      <c r="C51" s="3479" t="s">
        <v>3497</v>
      </c>
      <c r="D51" s="3479" t="s">
        <v>3472</v>
      </c>
      <c r="E51" s="3479" t="s">
        <v>3472</v>
      </c>
      <c r="F51" s="3482" t="s">
        <v>3472</v>
      </c>
      <c r="G51" s="3479" t="s">
        <v>3472</v>
      </c>
      <c r="H51" s="3479">
        <v>394</v>
      </c>
      <c r="I51" s="3479">
        <v>16350</v>
      </c>
      <c r="J51" s="3479">
        <v>394</v>
      </c>
      <c r="K51" s="3479">
        <v>16350</v>
      </c>
    </row>
    <row r="52" spans="1:11" ht="13.5" customHeight="1">
      <c r="A52" s="3479" t="s">
        <v>3538</v>
      </c>
      <c r="B52" s="3479" t="s">
        <v>3470</v>
      </c>
      <c r="C52" s="3479" t="s">
        <v>3512</v>
      </c>
      <c r="D52" s="3479" t="s">
        <v>3472</v>
      </c>
      <c r="E52" s="3479" t="s">
        <v>3472</v>
      </c>
      <c r="F52" s="3482" t="s">
        <v>3472</v>
      </c>
      <c r="G52" s="3479" t="s">
        <v>3472</v>
      </c>
      <c r="H52" s="3479" t="s">
        <v>3472</v>
      </c>
      <c r="I52" s="3479" t="s">
        <v>3472</v>
      </c>
      <c r="J52" s="3479">
        <v>1010</v>
      </c>
      <c r="K52" s="3479">
        <v>9897</v>
      </c>
    </row>
    <row r="53" spans="1:11" ht="13.5" customHeight="1">
      <c r="A53" s="3479" t="s">
        <v>3539</v>
      </c>
      <c r="B53" s="3479" t="s">
        <v>3470</v>
      </c>
      <c r="C53" s="3479" t="s">
        <v>3491</v>
      </c>
      <c r="D53" s="3479" t="s">
        <v>3472</v>
      </c>
      <c r="E53" s="3479" t="s">
        <v>3472</v>
      </c>
      <c r="F53" s="3482" t="s">
        <v>3472</v>
      </c>
      <c r="G53" s="3479" t="s">
        <v>3472</v>
      </c>
      <c r="H53" s="3479" t="s">
        <v>3472</v>
      </c>
      <c r="I53" s="3479" t="s">
        <v>3472</v>
      </c>
      <c r="J53" s="3479">
        <v>1</v>
      </c>
      <c r="K53" s="3479">
        <v>104</v>
      </c>
    </row>
    <row r="54" spans="1:11" ht="13.5" customHeight="1">
      <c r="A54" s="3479" t="s">
        <v>3540</v>
      </c>
      <c r="B54" s="3479" t="s">
        <v>3470</v>
      </c>
      <c r="C54" s="3479" t="s">
        <v>3471</v>
      </c>
      <c r="D54" s="3479" t="s">
        <v>3472</v>
      </c>
      <c r="E54" s="3479" t="s">
        <v>3472</v>
      </c>
      <c r="F54" s="3482" t="s">
        <v>3472</v>
      </c>
      <c r="G54" s="3479" t="s">
        <v>3472</v>
      </c>
      <c r="H54" s="3479" t="s">
        <v>3472</v>
      </c>
      <c r="I54" s="3479" t="s">
        <v>3472</v>
      </c>
      <c r="J54" s="3479">
        <v>108</v>
      </c>
      <c r="K54" s="3479">
        <v>2476</v>
      </c>
    </row>
    <row r="55" spans="1:11" ht="13.5" customHeight="1">
      <c r="A55" s="3479" t="s">
        <v>3541</v>
      </c>
      <c r="B55" s="3479" t="s">
        <v>3470</v>
      </c>
      <c r="C55" s="3479" t="s">
        <v>3495</v>
      </c>
      <c r="D55" s="3479" t="s">
        <v>3472</v>
      </c>
      <c r="E55" s="3479" t="s">
        <v>3472</v>
      </c>
      <c r="F55" s="3482" t="s">
        <v>3472</v>
      </c>
      <c r="G55" s="3479" t="s">
        <v>3472</v>
      </c>
      <c r="H55" s="3479" t="s">
        <v>3472</v>
      </c>
      <c r="I55" s="3479" t="s">
        <v>3472</v>
      </c>
      <c r="J55" s="3479">
        <v>716</v>
      </c>
      <c r="K55" s="3479">
        <v>11799</v>
      </c>
    </row>
    <row r="56" spans="1:11" ht="13.5" customHeight="1">
      <c r="A56" s="3479" t="s">
        <v>3542</v>
      </c>
      <c r="B56" s="3479" t="s">
        <v>3470</v>
      </c>
      <c r="C56" s="3479" t="s">
        <v>3498</v>
      </c>
      <c r="D56" s="3479" t="s">
        <v>3472</v>
      </c>
      <c r="E56" s="3479" t="s">
        <v>3472</v>
      </c>
      <c r="F56" s="3482" t="s">
        <v>3472</v>
      </c>
      <c r="G56" s="3479" t="s">
        <v>3472</v>
      </c>
      <c r="H56" s="3479" t="s">
        <v>3472</v>
      </c>
      <c r="I56" s="3479" t="s">
        <v>3472</v>
      </c>
      <c r="J56" s="3479">
        <v>6</v>
      </c>
      <c r="K56" s="3479">
        <v>454</v>
      </c>
    </row>
    <row r="57" spans="1:11" ht="13.5" customHeight="1">
      <c r="A57" s="3479" t="s">
        <v>3543</v>
      </c>
      <c r="B57" s="3479" t="s">
        <v>3470</v>
      </c>
      <c r="C57" s="3479" t="s">
        <v>3495</v>
      </c>
      <c r="D57" s="3479" t="s">
        <v>3472</v>
      </c>
      <c r="E57" s="3479" t="s">
        <v>3472</v>
      </c>
      <c r="F57" s="3482" t="s">
        <v>3472</v>
      </c>
      <c r="G57" s="3479" t="s">
        <v>3472</v>
      </c>
      <c r="H57" s="3479" t="s">
        <v>3472</v>
      </c>
      <c r="I57" s="3479" t="s">
        <v>3472</v>
      </c>
      <c r="J57" s="3479">
        <v>1647</v>
      </c>
      <c r="K57" s="3479">
        <v>19029</v>
      </c>
    </row>
    <row r="58" spans="1:11" ht="13.5" customHeight="1">
      <c r="A58" s="3479" t="s">
        <v>3544</v>
      </c>
      <c r="B58" s="3479" t="s">
        <v>3470</v>
      </c>
      <c r="C58" s="3479" t="s">
        <v>3507</v>
      </c>
      <c r="D58" s="3479" t="s">
        <v>3472</v>
      </c>
      <c r="E58" s="3479" t="s">
        <v>3472</v>
      </c>
      <c r="F58" s="3482" t="s">
        <v>3472</v>
      </c>
      <c r="G58" s="3479" t="s">
        <v>3472</v>
      </c>
      <c r="H58" s="3479" t="s">
        <v>3472</v>
      </c>
      <c r="I58" s="3479" t="s">
        <v>3472</v>
      </c>
      <c r="J58" s="3479">
        <v>230</v>
      </c>
      <c r="K58" s="3479">
        <v>5124</v>
      </c>
    </row>
  </sheetData>
  <mergeCells count="1">
    <mergeCell ref="A1:K1"/>
  </mergeCells>
  <phoneticPr fontId="134" type="noConversion"/>
  <pageMargins left="0.7" right="0.7" top="0.75" bottom="0.75" header="0.3" footer="0.3"/>
  <pageSetup paperSize="9"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C33" sqref="A33:XFD33"/>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5" t="s">
        <v>2607</v>
      </c>
      <c r="B20" s="3795" t="s">
        <v>2628</v>
      </c>
      <c r="C20" s="3477" t="s">
        <v>2439</v>
      </c>
      <c r="D20" s="3477"/>
      <c r="E20" s="3105">
        <v>1</v>
      </c>
      <c r="F20" s="3106" t="s">
        <v>2440</v>
      </c>
      <c r="G20" s="3106"/>
    </row>
    <row r="21" spans="1:13" ht="19.5" customHeight="1">
      <c r="A21" s="3806"/>
      <c r="B21" s="3796"/>
      <c r="C21" s="3467" t="s">
        <v>2441</v>
      </c>
      <c r="D21" s="3467"/>
      <c r="E21" s="3109">
        <v>1</v>
      </c>
      <c r="F21" s="3106" t="s">
        <v>2442</v>
      </c>
      <c r="G21" s="3106"/>
    </row>
    <row r="22" spans="1:13" ht="19.5" customHeight="1">
      <c r="A22" s="3806"/>
      <c r="B22" s="3796"/>
      <c r="C22" s="3467" t="s">
        <v>2443</v>
      </c>
      <c r="D22" s="3467"/>
      <c r="E22" s="3109">
        <v>0.9</v>
      </c>
      <c r="F22" s="3106" t="s">
        <v>2444</v>
      </c>
      <c r="G22" s="3106"/>
    </row>
    <row r="23" spans="1:13" ht="19.5" customHeight="1">
      <c r="A23" s="3806"/>
      <c r="B23" s="3796"/>
      <c r="C23" s="3467" t="s">
        <v>2445</v>
      </c>
      <c r="D23" s="3467"/>
      <c r="E23" s="3109">
        <v>0.9</v>
      </c>
      <c r="F23" s="3106" t="s">
        <v>2446</v>
      </c>
      <c r="G23" s="3106"/>
    </row>
    <row r="24" spans="1:13" ht="19.5" customHeight="1">
      <c r="A24" s="3806"/>
      <c r="B24" s="3796"/>
      <c r="C24" s="3467" t="s">
        <v>2447</v>
      </c>
      <c r="D24" s="3467"/>
      <c r="E24" s="3109">
        <v>0.8</v>
      </c>
      <c r="F24" s="3106" t="s">
        <v>2448</v>
      </c>
      <c r="G24" s="3106"/>
    </row>
    <row r="25" spans="1:13" ht="19.5" customHeight="1">
      <c r="A25" s="3806"/>
      <c r="B25" s="3796"/>
      <c r="C25" s="3467" t="s">
        <v>2449</v>
      </c>
      <c r="D25" s="3467"/>
      <c r="E25" s="3109">
        <v>0.8</v>
      </c>
      <c r="F25" s="3106"/>
      <c r="G25" s="3106"/>
    </row>
    <row r="26" spans="1:13" ht="19.5" customHeight="1">
      <c r="A26" s="3806"/>
      <c r="B26" s="3796"/>
      <c r="C26" s="3470" t="s">
        <v>3411</v>
      </c>
      <c r="D26" s="3470"/>
      <c r="E26" s="3471">
        <v>0.43</v>
      </c>
      <c r="F26" s="3106"/>
      <c r="G26" s="3106"/>
    </row>
    <row r="27" spans="1:13" ht="19.5" customHeight="1" thickBot="1">
      <c r="A27" s="3807"/>
      <c r="B27" s="3797"/>
      <c r="C27" s="3472" t="s">
        <v>3412</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8" t="s">
        <v>2631</v>
      </c>
      <c r="B29" s="3801" t="s">
        <v>2612</v>
      </c>
      <c r="C29" s="3103" t="s">
        <v>2452</v>
      </c>
      <c r="D29" s="3104"/>
      <c r="E29" s="3105">
        <v>1</v>
      </c>
      <c r="F29" s="3106" t="s">
        <v>2453</v>
      </c>
      <c r="G29" s="3106"/>
    </row>
    <row r="30" spans="1:13" ht="19.5" customHeight="1">
      <c r="A30" s="3799"/>
      <c r="B30" s="3802"/>
      <c r="C30" s="3107" t="s">
        <v>2454</v>
      </c>
      <c r="D30" s="3108"/>
      <c r="E30" s="3109">
        <v>1</v>
      </c>
      <c r="F30" s="3106" t="s">
        <v>2455</v>
      </c>
      <c r="G30" s="3106"/>
    </row>
    <row r="31" spans="1:13" ht="19.5" customHeight="1">
      <c r="A31" s="3799"/>
      <c r="B31" s="3802"/>
      <c r="C31" s="3107" t="s">
        <v>2456</v>
      </c>
      <c r="D31" s="3108"/>
      <c r="E31" s="3109">
        <v>0.8</v>
      </c>
      <c r="F31" s="3106" t="s">
        <v>2457</v>
      </c>
      <c r="G31" s="3106"/>
    </row>
    <row r="32" spans="1:13" ht="19.5" customHeight="1">
      <c r="A32" s="3799"/>
      <c r="B32" s="3802"/>
      <c r="C32" s="3107" t="s">
        <v>2458</v>
      </c>
      <c r="D32" s="3108"/>
      <c r="E32" s="3109">
        <v>0.8</v>
      </c>
      <c r="F32" s="3106" t="s">
        <v>2459</v>
      </c>
      <c r="G32" s="3106"/>
    </row>
    <row r="33" spans="1:7" ht="19.5" customHeight="1">
      <c r="A33" s="3799"/>
      <c r="B33" s="3802"/>
      <c r="C33" s="3107" t="s">
        <v>2460</v>
      </c>
      <c r="D33" s="3108"/>
      <c r="E33" s="3109">
        <v>0.8</v>
      </c>
      <c r="F33" s="3106" t="s">
        <v>2461</v>
      </c>
      <c r="G33" s="3106"/>
    </row>
    <row r="34" spans="1:7" ht="19.5" customHeight="1">
      <c r="A34" s="3799"/>
      <c r="B34" s="3802"/>
      <c r="C34" s="3107" t="s">
        <v>2462</v>
      </c>
      <c r="D34" s="3108"/>
      <c r="E34" s="3109">
        <v>0.7</v>
      </c>
      <c r="F34" s="3106" t="s">
        <v>2463</v>
      </c>
      <c r="G34" s="3106"/>
    </row>
    <row r="35" spans="1:7" ht="19.5" customHeight="1">
      <c r="A35" s="3799"/>
      <c r="B35" s="3802"/>
      <c r="C35" s="3107" t="s">
        <v>2464</v>
      </c>
      <c r="D35" s="3108"/>
      <c r="E35" s="3109">
        <v>0.8</v>
      </c>
      <c r="F35" s="3106" t="s">
        <v>2465</v>
      </c>
      <c r="G35" s="3106"/>
    </row>
    <row r="36" spans="1:7" ht="19.5" customHeight="1">
      <c r="A36" s="3799"/>
      <c r="B36" s="3802"/>
      <c r="C36" s="3107" t="s">
        <v>2466</v>
      </c>
      <c r="D36" s="3108"/>
      <c r="E36" s="3109">
        <v>0.6</v>
      </c>
      <c r="F36" s="3106" t="s">
        <v>2467</v>
      </c>
      <c r="G36" s="3106"/>
    </row>
    <row r="37" spans="1:7" ht="19.5" customHeight="1">
      <c r="A37" s="3799"/>
      <c r="B37" s="3802"/>
      <c r="C37" s="3107" t="s">
        <v>2468</v>
      </c>
      <c r="D37" s="3108"/>
      <c r="E37" s="3109">
        <v>0.2</v>
      </c>
      <c r="F37" s="3106" t="s">
        <v>2469</v>
      </c>
      <c r="G37" s="3106"/>
    </row>
    <row r="38" spans="1:7" ht="19.5" customHeight="1">
      <c r="A38" s="3799"/>
      <c r="B38" s="3802"/>
      <c r="C38" s="3107" t="s">
        <v>2470</v>
      </c>
      <c r="D38" s="3108"/>
      <c r="E38" s="3109">
        <v>0.2</v>
      </c>
      <c r="F38" s="3106" t="s">
        <v>2471</v>
      </c>
      <c r="G38" s="3106"/>
    </row>
    <row r="39" spans="1:7" ht="19.5" customHeight="1">
      <c r="A39" s="3799"/>
      <c r="B39" s="3803" t="s">
        <v>2632</v>
      </c>
      <c r="C39" s="3107" t="s">
        <v>2472</v>
      </c>
      <c r="D39" s="3108"/>
      <c r="E39" s="3109">
        <v>0.6</v>
      </c>
      <c r="F39" s="3106" t="s">
        <v>2473</v>
      </c>
      <c r="G39" s="3106"/>
    </row>
    <row r="40" spans="1:7" ht="19.5" customHeight="1">
      <c r="A40" s="3799"/>
      <c r="B40" s="3802"/>
      <c r="C40" s="3107" t="s">
        <v>2474</v>
      </c>
      <c r="D40" s="3108"/>
      <c r="E40" s="3109">
        <v>0.6</v>
      </c>
      <c r="F40" s="3106" t="s">
        <v>2475</v>
      </c>
      <c r="G40" s="3106"/>
    </row>
    <row r="41" spans="1:7" ht="19.5" customHeight="1" thickBot="1">
      <c r="A41" s="3800"/>
      <c r="B41" s="3804"/>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805" t="s">
        <v>2610</v>
      </c>
      <c r="B43" s="3801" t="s">
        <v>2634</v>
      </c>
      <c r="C43" s="3103" t="s">
        <v>2479</v>
      </c>
      <c r="D43" s="3104"/>
      <c r="E43" s="3105">
        <v>1</v>
      </c>
      <c r="F43" s="3106" t="s">
        <v>2480</v>
      </c>
      <c r="G43" s="3106"/>
    </row>
    <row r="44" spans="1:7" ht="19.5" customHeight="1">
      <c r="A44" s="3806"/>
      <c r="B44" s="3802"/>
      <c r="C44" s="3107" t="s">
        <v>2481</v>
      </c>
      <c r="D44" s="3108"/>
      <c r="E44" s="3109">
        <v>1</v>
      </c>
      <c r="F44" s="3106" t="s">
        <v>2482</v>
      </c>
      <c r="G44" s="3106"/>
    </row>
    <row r="45" spans="1:7" ht="19.5" customHeight="1">
      <c r="A45" s="3806"/>
      <c r="B45" s="3808"/>
      <c r="C45" s="3107" t="s">
        <v>2483</v>
      </c>
      <c r="D45" s="3108"/>
      <c r="E45" s="3109">
        <v>1.5</v>
      </c>
      <c r="F45" s="3106" t="s">
        <v>2484</v>
      </c>
      <c r="G45" s="3106"/>
    </row>
    <row r="46" spans="1:7" ht="19.5" customHeight="1">
      <c r="A46" s="3806"/>
      <c r="B46" s="3118" t="s">
        <v>2635</v>
      </c>
      <c r="C46" s="3107" t="s">
        <v>2636</v>
      </c>
      <c r="D46" s="3108"/>
      <c r="E46" s="3109">
        <v>2</v>
      </c>
      <c r="F46" s="3106" t="s">
        <v>2485</v>
      </c>
      <c r="G46" s="3106"/>
    </row>
    <row r="47" spans="1:7" ht="19.5" customHeight="1">
      <c r="A47" s="3806"/>
      <c r="B47" s="3803" t="s">
        <v>2637</v>
      </c>
      <c r="C47" s="3107" t="s">
        <v>2486</v>
      </c>
      <c r="D47" s="3108"/>
      <c r="E47" s="3109">
        <v>1</v>
      </c>
      <c r="F47" s="3106" t="s">
        <v>2487</v>
      </c>
      <c r="G47" s="3106"/>
    </row>
    <row r="48" spans="1:7" ht="19.5" customHeight="1">
      <c r="A48" s="3806"/>
      <c r="B48" s="3802"/>
      <c r="C48" s="3107" t="s">
        <v>2488</v>
      </c>
      <c r="D48" s="3108"/>
      <c r="E48" s="3109">
        <v>1</v>
      </c>
      <c r="F48" s="3106" t="s">
        <v>2489</v>
      </c>
      <c r="G48" s="3106"/>
    </row>
    <row r="49" spans="1:7" ht="19.5" customHeight="1">
      <c r="A49" s="3806"/>
      <c r="B49" s="3802"/>
      <c r="C49" s="3107" t="s">
        <v>2490</v>
      </c>
      <c r="D49" s="3108"/>
      <c r="E49" s="3109">
        <v>1</v>
      </c>
      <c r="F49" s="3106" t="s">
        <v>2491</v>
      </c>
      <c r="G49" s="3106"/>
    </row>
    <row r="50" spans="1:7" ht="19.5" customHeight="1">
      <c r="A50" s="3806"/>
      <c r="B50" s="3802"/>
      <c r="C50" s="3107" t="s">
        <v>2492</v>
      </c>
      <c r="D50" s="3108"/>
      <c r="E50" s="3109">
        <v>1</v>
      </c>
      <c r="F50" s="3106" t="s">
        <v>2493</v>
      </c>
      <c r="G50" s="3106"/>
    </row>
    <row r="51" spans="1:7" ht="19.5" customHeight="1">
      <c r="A51" s="3806"/>
      <c r="B51" s="3802"/>
      <c r="C51" s="3107" t="s">
        <v>2494</v>
      </c>
      <c r="D51" s="3108"/>
      <c r="E51" s="3109">
        <v>1</v>
      </c>
      <c r="F51" s="3106" t="s">
        <v>2495</v>
      </c>
      <c r="G51" s="3106"/>
    </row>
    <row r="52" spans="1:7" ht="19.5" customHeight="1">
      <c r="A52" s="3806"/>
      <c r="B52" s="3802"/>
      <c r="C52" s="3107" t="s">
        <v>2496</v>
      </c>
      <c r="D52" s="3108"/>
      <c r="E52" s="3109">
        <v>1</v>
      </c>
      <c r="F52" s="3106" t="s">
        <v>2497</v>
      </c>
      <c r="G52" s="3106"/>
    </row>
    <row r="53" spans="1:7" ht="19.5" customHeight="1" thickBot="1">
      <c r="A53" s="3807"/>
      <c r="B53" s="3804"/>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803" t="s">
        <v>2651</v>
      </c>
      <c r="C75" s="3092" t="s">
        <v>2652</v>
      </c>
      <c r="D75" s="3092" t="s">
        <v>2653</v>
      </c>
      <c r="E75" s="3118">
        <v>0.2</v>
      </c>
      <c r="F75" s="3118">
        <v>25</v>
      </c>
    </row>
    <row r="76" spans="1:7" ht="24">
      <c r="A76" s="3118">
        <v>2</v>
      </c>
      <c r="B76" s="3802"/>
      <c r="C76" s="3092" t="s">
        <v>2654</v>
      </c>
      <c r="D76" s="3092" t="s">
        <v>2655</v>
      </c>
      <c r="E76" s="3118">
        <v>0.2</v>
      </c>
      <c r="F76" s="3118">
        <v>25</v>
      </c>
    </row>
    <row r="77" spans="1:7" ht="24">
      <c r="A77" s="3118">
        <v>3</v>
      </c>
      <c r="B77" s="3802"/>
      <c r="C77" s="3092" t="s">
        <v>2656</v>
      </c>
      <c r="D77" s="3092" t="s">
        <v>2657</v>
      </c>
      <c r="E77" s="3118">
        <v>0.2</v>
      </c>
      <c r="F77" s="3118">
        <v>25</v>
      </c>
    </row>
    <row r="78" spans="1:7" ht="13.5">
      <c r="A78" s="3118">
        <v>4</v>
      </c>
      <c r="B78" s="3802"/>
      <c r="C78" s="3092" t="s">
        <v>2658</v>
      </c>
      <c r="D78" s="3092" t="s">
        <v>2659</v>
      </c>
      <c r="E78" s="3118">
        <v>0.15</v>
      </c>
      <c r="F78" s="3118">
        <v>20</v>
      </c>
    </row>
    <row r="79" spans="1:7" ht="24">
      <c r="A79" s="3118">
        <v>5</v>
      </c>
      <c r="B79" s="3802"/>
      <c r="C79" s="3092" t="s">
        <v>2660</v>
      </c>
      <c r="D79" s="3092" t="s">
        <v>2661</v>
      </c>
      <c r="E79" s="3118">
        <v>0.15</v>
      </c>
      <c r="F79" s="3118">
        <v>20</v>
      </c>
    </row>
    <row r="80" spans="1:7" ht="24">
      <c r="A80" s="3118">
        <v>6</v>
      </c>
      <c r="B80" s="3802"/>
      <c r="C80" s="3092" t="s">
        <v>2662</v>
      </c>
      <c r="D80" s="3092" t="s">
        <v>2663</v>
      </c>
      <c r="E80" s="3118">
        <v>0.15</v>
      </c>
      <c r="F80" s="3118">
        <v>20</v>
      </c>
    </row>
    <row r="81" spans="1:6" ht="24">
      <c r="A81" s="3118">
        <v>7</v>
      </c>
      <c r="B81" s="3802"/>
      <c r="C81" s="3092" t="s">
        <v>2664</v>
      </c>
      <c r="D81" s="3092" t="s">
        <v>2665</v>
      </c>
      <c r="E81" s="3118">
        <v>0.15</v>
      </c>
      <c r="F81" s="3118">
        <v>20</v>
      </c>
    </row>
    <row r="82" spans="1:6" ht="24">
      <c r="A82" s="3118">
        <v>8</v>
      </c>
      <c r="B82" s="3802"/>
      <c r="C82" s="3092" t="s">
        <v>2666</v>
      </c>
      <c r="D82" s="3092" t="s">
        <v>2667</v>
      </c>
      <c r="E82" s="3118">
        <v>0.1</v>
      </c>
      <c r="F82" s="3118">
        <v>15</v>
      </c>
    </row>
    <row r="83" spans="1:6" ht="24">
      <c r="A83" s="3118">
        <v>9</v>
      </c>
      <c r="B83" s="3802"/>
      <c r="C83" s="3092" t="s">
        <v>2668</v>
      </c>
      <c r="D83" s="3092" t="s">
        <v>2669</v>
      </c>
      <c r="E83" s="3118">
        <v>0.1</v>
      </c>
      <c r="F83" s="3118">
        <v>15</v>
      </c>
    </row>
    <row r="84" spans="1:6" ht="24">
      <c r="A84" s="3118">
        <v>10</v>
      </c>
      <c r="B84" s="3802"/>
      <c r="C84" s="3092" t="s">
        <v>2670</v>
      </c>
      <c r="D84" s="3092" t="s">
        <v>2671</v>
      </c>
      <c r="E84" s="3118">
        <v>0.1</v>
      </c>
      <c r="F84" s="3118">
        <v>15</v>
      </c>
    </row>
    <row r="85" spans="1:6" ht="24">
      <c r="A85" s="3118">
        <v>11</v>
      </c>
      <c r="B85" s="3802"/>
      <c r="C85" s="3092" t="s">
        <v>2672</v>
      </c>
      <c r="D85" s="3092" t="s">
        <v>2673</v>
      </c>
      <c r="E85" s="3118">
        <v>0.1</v>
      </c>
      <c r="F85" s="3118">
        <v>15</v>
      </c>
    </row>
    <row r="86" spans="1:6" ht="24">
      <c r="A86" s="3118">
        <v>12</v>
      </c>
      <c r="B86" s="3802"/>
      <c r="C86" s="3092" t="s">
        <v>2674</v>
      </c>
      <c r="D86" s="3092" t="s">
        <v>2675</v>
      </c>
      <c r="E86" s="3118">
        <v>0.1</v>
      </c>
      <c r="F86" s="3118">
        <v>15</v>
      </c>
    </row>
    <row r="87" spans="1:6" ht="13.5">
      <c r="A87" s="3118">
        <v>13</v>
      </c>
      <c r="B87" s="3802"/>
      <c r="C87" s="3092" t="s">
        <v>2676</v>
      </c>
      <c r="D87" s="3092" t="s">
        <v>2677</v>
      </c>
      <c r="E87" s="3118">
        <v>0.1</v>
      </c>
      <c r="F87" s="3118">
        <v>15</v>
      </c>
    </row>
    <row r="88" spans="1:6" ht="13.5">
      <c r="A88" s="3118">
        <v>14</v>
      </c>
      <c r="B88" s="3802"/>
      <c r="C88" s="3092" t="s">
        <v>2678</v>
      </c>
      <c r="D88" s="3092" t="s">
        <v>2679</v>
      </c>
      <c r="E88" s="3118">
        <v>0.1</v>
      </c>
      <c r="F88" s="3118">
        <v>15</v>
      </c>
    </row>
    <row r="89" spans="1:6" ht="13.5">
      <c r="A89" s="3118">
        <v>15</v>
      </c>
      <c r="B89" s="3802"/>
      <c r="C89" s="3092" t="s">
        <v>2680</v>
      </c>
      <c r="D89" s="3092" t="s">
        <v>2681</v>
      </c>
      <c r="E89" s="3118">
        <v>0.1</v>
      </c>
      <c r="F89" s="3118">
        <v>15</v>
      </c>
    </row>
    <row r="90" spans="1:6" ht="24">
      <c r="A90" s="3118">
        <v>16</v>
      </c>
      <c r="B90" s="3802"/>
      <c r="C90" s="3092" t="s">
        <v>2682</v>
      </c>
      <c r="D90" s="3092" t="s">
        <v>2683</v>
      </c>
      <c r="E90" s="3118">
        <v>0.1</v>
      </c>
      <c r="F90" s="3118">
        <v>15</v>
      </c>
    </row>
    <row r="91" spans="1:6" ht="24">
      <c r="A91" s="3118">
        <v>17</v>
      </c>
      <c r="B91" s="3808"/>
      <c r="C91" s="3092" t="s">
        <v>2684</v>
      </c>
      <c r="D91" s="3092" t="s">
        <v>2685</v>
      </c>
      <c r="E91" s="3118">
        <v>0.1</v>
      </c>
      <c r="F91" s="3118">
        <v>15</v>
      </c>
    </row>
    <row r="92" spans="1:6" ht="13.5">
      <c r="A92" s="3118">
        <v>18</v>
      </c>
      <c r="B92" s="3803" t="s">
        <v>2686</v>
      </c>
      <c r="C92" s="3092" t="s">
        <v>2687</v>
      </c>
      <c r="D92" s="3092" t="s">
        <v>2688</v>
      </c>
      <c r="E92" s="3118">
        <v>0.2</v>
      </c>
      <c r="F92" s="3118">
        <v>25</v>
      </c>
    </row>
    <row r="93" spans="1:6" ht="24">
      <c r="A93" s="3118">
        <v>19</v>
      </c>
      <c r="B93" s="3802"/>
      <c r="C93" s="3092" t="s">
        <v>2689</v>
      </c>
      <c r="D93" s="3092" t="s">
        <v>2690</v>
      </c>
      <c r="E93" s="3118">
        <v>0.2</v>
      </c>
      <c r="F93" s="3118">
        <v>25</v>
      </c>
    </row>
    <row r="94" spans="1:6" ht="13.5">
      <c r="A94" s="3118">
        <v>20</v>
      </c>
      <c r="B94" s="3802"/>
      <c r="C94" s="3092" t="s">
        <v>2691</v>
      </c>
      <c r="D94" s="3092" t="s">
        <v>2692</v>
      </c>
      <c r="E94" s="3118">
        <v>0.15</v>
      </c>
      <c r="F94" s="3118">
        <v>20</v>
      </c>
    </row>
    <row r="95" spans="1:6" ht="13.5">
      <c r="A95" s="3118">
        <v>21</v>
      </c>
      <c r="B95" s="3802"/>
      <c r="C95" s="3092" t="s">
        <v>2693</v>
      </c>
      <c r="D95" s="3092" t="s">
        <v>2694</v>
      </c>
      <c r="E95" s="3118">
        <v>0.15</v>
      </c>
      <c r="F95" s="3118">
        <v>20</v>
      </c>
    </row>
    <row r="96" spans="1:6" ht="13.5">
      <c r="A96" s="3118">
        <v>22</v>
      </c>
      <c r="B96" s="3802"/>
      <c r="C96" s="3092" t="s">
        <v>2695</v>
      </c>
      <c r="D96" s="3092" t="s">
        <v>2696</v>
      </c>
      <c r="E96" s="3118">
        <v>0.15</v>
      </c>
      <c r="F96" s="3118">
        <v>20</v>
      </c>
    </row>
    <row r="97" spans="1:6" ht="36">
      <c r="A97" s="3118">
        <v>23</v>
      </c>
      <c r="B97" s="3802"/>
      <c r="C97" s="3092" t="s">
        <v>2697</v>
      </c>
      <c r="D97" s="3092" t="s">
        <v>2698</v>
      </c>
      <c r="E97" s="3118">
        <v>0.15</v>
      </c>
      <c r="F97" s="3118">
        <v>20</v>
      </c>
    </row>
    <row r="98" spans="1:6" ht="13.5">
      <c r="A98" s="3118">
        <v>24</v>
      </c>
      <c r="B98" s="3802"/>
      <c r="C98" s="3092" t="s">
        <v>2699</v>
      </c>
      <c r="D98" s="3092" t="s">
        <v>2700</v>
      </c>
      <c r="E98" s="3118">
        <v>0.1</v>
      </c>
      <c r="F98" s="3118">
        <v>15</v>
      </c>
    </row>
    <row r="99" spans="1:6" ht="13.5">
      <c r="A99" s="3118">
        <v>25</v>
      </c>
      <c r="B99" s="3802"/>
      <c r="C99" s="3092" t="s">
        <v>2701</v>
      </c>
      <c r="D99" s="3092" t="s">
        <v>2702</v>
      </c>
      <c r="E99" s="3118">
        <v>0.1</v>
      </c>
      <c r="F99" s="3118">
        <v>15</v>
      </c>
    </row>
    <row r="100" spans="1:6" ht="24">
      <c r="A100" s="3118">
        <v>26</v>
      </c>
      <c r="B100" s="3802"/>
      <c r="C100" s="3092" t="s">
        <v>2703</v>
      </c>
      <c r="D100" s="3092" t="s">
        <v>2704</v>
      </c>
      <c r="E100" s="3118">
        <v>0.1</v>
      </c>
      <c r="F100" s="3118">
        <v>15</v>
      </c>
    </row>
    <row r="101" spans="1:6" ht="24">
      <c r="A101" s="3118">
        <v>27</v>
      </c>
      <c r="B101" s="3802"/>
      <c r="C101" s="3092" t="s">
        <v>2705</v>
      </c>
      <c r="D101" s="3092" t="s">
        <v>2706</v>
      </c>
      <c r="E101" s="3118">
        <v>0.1</v>
      </c>
      <c r="F101" s="3118">
        <v>15</v>
      </c>
    </row>
    <row r="102" spans="1:6" ht="13.5">
      <c r="A102" s="3118">
        <v>28</v>
      </c>
      <c r="B102" s="3802"/>
      <c r="C102" s="3092" t="s">
        <v>2707</v>
      </c>
      <c r="D102" s="3092" t="s">
        <v>2708</v>
      </c>
      <c r="E102" s="3118">
        <v>0.1</v>
      </c>
      <c r="F102" s="3118">
        <v>15</v>
      </c>
    </row>
    <row r="103" spans="1:6" ht="13.5">
      <c r="A103" s="3118">
        <v>29</v>
      </c>
      <c r="B103" s="3802"/>
      <c r="C103" s="3092" t="s">
        <v>2709</v>
      </c>
      <c r="D103" s="3092" t="s">
        <v>2710</v>
      </c>
      <c r="E103" s="3118">
        <v>0.1</v>
      </c>
      <c r="F103" s="3118">
        <v>15</v>
      </c>
    </row>
    <row r="104" spans="1:6" ht="13.5">
      <c r="A104" s="3118">
        <v>30</v>
      </c>
      <c r="B104" s="3802"/>
      <c r="C104" s="3092" t="s">
        <v>2711</v>
      </c>
      <c r="D104" s="3092" t="s">
        <v>2712</v>
      </c>
      <c r="E104" s="3118">
        <v>0.1</v>
      </c>
      <c r="F104" s="3118">
        <v>15</v>
      </c>
    </row>
    <row r="105" spans="1:6" ht="24">
      <c r="A105" s="3118">
        <v>31</v>
      </c>
      <c r="B105" s="3802"/>
      <c r="C105" s="3092" t="s">
        <v>2713</v>
      </c>
      <c r="D105" s="3092" t="s">
        <v>2714</v>
      </c>
      <c r="E105" s="3118">
        <v>0.1</v>
      </c>
      <c r="F105" s="3118">
        <v>15</v>
      </c>
    </row>
    <row r="106" spans="1:6" ht="24">
      <c r="A106" s="3118">
        <v>32</v>
      </c>
      <c r="B106" s="3802"/>
      <c r="C106" s="3092" t="s">
        <v>2715</v>
      </c>
      <c r="D106" s="3092" t="s">
        <v>2716</v>
      </c>
      <c r="E106" s="3118">
        <v>0.1</v>
      </c>
      <c r="F106" s="3118">
        <v>15</v>
      </c>
    </row>
    <row r="107" spans="1:6" ht="24">
      <c r="A107" s="3118">
        <v>33</v>
      </c>
      <c r="B107" s="3802"/>
      <c r="C107" s="3092" t="s">
        <v>2717</v>
      </c>
      <c r="D107" s="3092" t="s">
        <v>2718</v>
      </c>
      <c r="E107" s="3118">
        <v>0.1</v>
      </c>
      <c r="F107" s="3118">
        <v>15</v>
      </c>
    </row>
    <row r="108" spans="1:6" ht="24">
      <c r="A108" s="3118">
        <v>34</v>
      </c>
      <c r="B108" s="3808"/>
      <c r="C108" s="3092" t="s">
        <v>2719</v>
      </c>
      <c r="D108" s="3092" t="s">
        <v>2720</v>
      </c>
      <c r="E108" s="3118">
        <v>0.1</v>
      </c>
      <c r="F108" s="3118">
        <v>15</v>
      </c>
    </row>
    <row r="109" spans="1:6" ht="24">
      <c r="A109" s="3118">
        <v>35</v>
      </c>
      <c r="B109" s="3803" t="s">
        <v>2721</v>
      </c>
      <c r="C109" s="3118" t="s">
        <v>2722</v>
      </c>
      <c r="D109" s="3092" t="s">
        <v>2723</v>
      </c>
      <c r="E109" s="3118">
        <v>0.15</v>
      </c>
      <c r="F109" s="3118">
        <v>20</v>
      </c>
    </row>
    <row r="110" spans="1:6" ht="13.5">
      <c r="A110" s="3118">
        <v>36</v>
      </c>
      <c r="B110" s="3802"/>
      <c r="C110" s="3118" t="s">
        <v>2724</v>
      </c>
      <c r="D110" s="3092" t="s">
        <v>2725</v>
      </c>
      <c r="E110" s="3118">
        <v>0.15</v>
      </c>
      <c r="F110" s="3118">
        <v>20</v>
      </c>
    </row>
    <row r="111" spans="1:6" ht="13.5">
      <c r="A111" s="3118">
        <v>37</v>
      </c>
      <c r="B111" s="3802"/>
      <c r="C111" s="3118" t="s">
        <v>2726</v>
      </c>
      <c r="D111" s="3092" t="s">
        <v>2727</v>
      </c>
      <c r="E111" s="3118">
        <v>0.15</v>
      </c>
      <c r="F111" s="3118">
        <v>20</v>
      </c>
    </row>
    <row r="112" spans="1:6" ht="13.5">
      <c r="A112" s="3118">
        <v>38</v>
      </c>
      <c r="B112" s="3802"/>
      <c r="C112" s="3118" t="s">
        <v>2728</v>
      </c>
      <c r="D112" s="3092" t="s">
        <v>2729</v>
      </c>
      <c r="E112" s="3118">
        <v>0.1</v>
      </c>
      <c r="F112" s="3118">
        <v>15</v>
      </c>
    </row>
    <row r="113" spans="1:6" ht="24">
      <c r="A113" s="3118">
        <v>39</v>
      </c>
      <c r="B113" s="3802"/>
      <c r="C113" s="3118" t="s">
        <v>2730</v>
      </c>
      <c r="D113" s="3092" t="s">
        <v>2731</v>
      </c>
      <c r="E113" s="3118">
        <v>0.1</v>
      </c>
      <c r="F113" s="3118">
        <v>15</v>
      </c>
    </row>
    <row r="114" spans="1:6" ht="24">
      <c r="A114" s="3118">
        <v>40</v>
      </c>
      <c r="B114" s="3808"/>
      <c r="C114" s="3118" t="s">
        <v>2732</v>
      </c>
      <c r="D114" s="3092" t="s">
        <v>2733</v>
      </c>
      <c r="E114" s="3118">
        <v>0.1</v>
      </c>
      <c r="F114" s="3118">
        <v>15</v>
      </c>
    </row>
    <row r="115" spans="1:6" ht="13.5">
      <c r="A115" s="3118">
        <v>41</v>
      </c>
      <c r="B115" s="3796" t="s">
        <v>2734</v>
      </c>
      <c r="C115" s="3118" t="s">
        <v>2735</v>
      </c>
      <c r="D115" s="3092" t="s">
        <v>2736</v>
      </c>
      <c r="E115" s="3118">
        <v>0.1</v>
      </c>
      <c r="F115" s="3118">
        <v>15</v>
      </c>
    </row>
    <row r="116" spans="1:6" ht="13.5">
      <c r="A116" s="3118">
        <v>42</v>
      </c>
      <c r="B116" s="3796"/>
      <c r="C116" s="3118" t="s">
        <v>2737</v>
      </c>
      <c r="D116" s="3092" t="s">
        <v>2738</v>
      </c>
      <c r="E116" s="3118">
        <v>0.1</v>
      </c>
      <c r="F116" s="3118">
        <v>15</v>
      </c>
    </row>
    <row r="117" spans="1:6" ht="24">
      <c r="A117" s="3118">
        <v>43</v>
      </c>
      <c r="B117" s="3796"/>
      <c r="C117" s="3118" t="s">
        <v>2739</v>
      </c>
      <c r="D117" s="3092" t="s">
        <v>2740</v>
      </c>
      <c r="E117" s="3118">
        <v>0.1</v>
      </c>
      <c r="F117" s="3118">
        <v>15</v>
      </c>
    </row>
    <row r="118" spans="1:6" ht="13.5">
      <c r="A118" s="3118">
        <v>44</v>
      </c>
      <c r="B118" s="3803" t="s">
        <v>2741</v>
      </c>
      <c r="C118" s="3118" t="s">
        <v>2742</v>
      </c>
      <c r="D118" s="3092" t="s">
        <v>2743</v>
      </c>
      <c r="E118" s="3118">
        <v>0.1</v>
      </c>
      <c r="F118" s="3118">
        <v>15</v>
      </c>
    </row>
    <row r="119" spans="1:6" ht="24">
      <c r="A119" s="3118">
        <v>45</v>
      </c>
      <c r="B119" s="3808"/>
      <c r="C119" s="3092" t="s">
        <v>2744</v>
      </c>
      <c r="D119" s="3092" t="s">
        <v>2745</v>
      </c>
      <c r="E119" s="3118">
        <v>0.1</v>
      </c>
      <c r="F119" s="3118">
        <v>15</v>
      </c>
    </row>
    <row r="120" spans="1:6" ht="24">
      <c r="A120" s="3118">
        <v>46</v>
      </c>
      <c r="B120" s="3803" t="s">
        <v>2746</v>
      </c>
      <c r="C120" s="3118" t="s">
        <v>2747</v>
      </c>
      <c r="D120" s="3092" t="s">
        <v>2748</v>
      </c>
      <c r="E120" s="3118">
        <v>0.1</v>
      </c>
      <c r="F120" s="3118">
        <v>15</v>
      </c>
    </row>
    <row r="121" spans="1:6" ht="24">
      <c r="A121" s="3118">
        <v>47</v>
      </c>
      <c r="B121" s="3808"/>
      <c r="C121" s="3118" t="s">
        <v>2749</v>
      </c>
      <c r="D121" s="3092" t="s">
        <v>2750</v>
      </c>
      <c r="E121" s="3118">
        <v>0.1</v>
      </c>
      <c r="F121" s="3118">
        <v>15</v>
      </c>
    </row>
    <row r="122" spans="1:6" ht="13.5">
      <c r="A122" s="3118">
        <v>48</v>
      </c>
      <c r="B122" s="3803" t="s">
        <v>2751</v>
      </c>
      <c r="C122" s="3118" t="s">
        <v>2752</v>
      </c>
      <c r="D122" s="3092" t="s">
        <v>2753</v>
      </c>
      <c r="E122" s="3118">
        <v>0.1</v>
      </c>
      <c r="F122" s="3118">
        <v>15</v>
      </c>
    </row>
    <row r="123" spans="1:6" ht="13.5">
      <c r="A123" s="3118">
        <v>49</v>
      </c>
      <c r="B123" s="3808"/>
      <c r="C123" s="3118" t="s">
        <v>2754</v>
      </c>
      <c r="D123" s="3092" t="s">
        <v>2755</v>
      </c>
      <c r="E123" s="3118">
        <v>0.1</v>
      </c>
      <c r="F123" s="3118">
        <v>15</v>
      </c>
    </row>
    <row r="124" spans="1:6" ht="24">
      <c r="A124" s="3118">
        <v>50</v>
      </c>
      <c r="B124" s="3796" t="s">
        <v>2756</v>
      </c>
      <c r="C124" s="3118" t="s">
        <v>2757</v>
      </c>
      <c r="D124" s="3092" t="s">
        <v>2758</v>
      </c>
      <c r="E124" s="3118">
        <v>0.1</v>
      </c>
      <c r="F124" s="3118">
        <v>15</v>
      </c>
    </row>
    <row r="125" spans="1:6" ht="24">
      <c r="A125" s="3118">
        <v>51</v>
      </c>
      <c r="B125" s="3796"/>
      <c r="C125" s="3118" t="s">
        <v>2759</v>
      </c>
      <c r="D125" s="3092" t="s">
        <v>2760</v>
      </c>
      <c r="E125" s="3118">
        <v>0.1</v>
      </c>
      <c r="F125" s="3118">
        <v>15</v>
      </c>
    </row>
    <row r="126" spans="1:6" ht="24">
      <c r="A126" s="3118">
        <v>52</v>
      </c>
      <c r="B126" s="3796" t="s">
        <v>2761</v>
      </c>
      <c r="C126" s="3118" t="s">
        <v>2762</v>
      </c>
      <c r="D126" s="3092" t="s">
        <v>2763</v>
      </c>
      <c r="E126" s="3118">
        <v>0.1</v>
      </c>
      <c r="F126" s="3118">
        <v>15</v>
      </c>
    </row>
    <row r="127" spans="1:6" ht="24">
      <c r="A127" s="3118">
        <v>53</v>
      </c>
      <c r="B127" s="3796"/>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96" t="s">
        <v>2769</v>
      </c>
      <c r="C129" s="3118" t="s">
        <v>2770</v>
      </c>
      <c r="D129" s="3092" t="s">
        <v>2771</v>
      </c>
      <c r="E129" s="3118">
        <v>0.1</v>
      </c>
      <c r="F129" s="3118">
        <v>15</v>
      </c>
    </row>
    <row r="130" spans="1:6" ht="13.5">
      <c r="A130" s="3118">
        <v>56</v>
      </c>
      <c r="B130" s="3796"/>
      <c r="C130" s="3118" t="s">
        <v>2772</v>
      </c>
      <c r="D130" s="3092" t="s">
        <v>2773</v>
      </c>
      <c r="E130" s="3118">
        <v>0.1</v>
      </c>
      <c r="F130" s="3118">
        <v>15</v>
      </c>
    </row>
    <row r="131" spans="1:6" ht="24">
      <c r="A131" s="3118">
        <v>57</v>
      </c>
      <c r="B131" s="3796"/>
      <c r="C131" s="3118" t="s">
        <v>2774</v>
      </c>
      <c r="D131" s="3092" t="s">
        <v>2775</v>
      </c>
      <c r="E131" s="3118">
        <v>0.1</v>
      </c>
      <c r="F131" s="3118">
        <v>15</v>
      </c>
    </row>
    <row r="132" spans="1:6" ht="24">
      <c r="A132" s="3118">
        <v>58</v>
      </c>
      <c r="B132" s="3796" t="s">
        <v>2776</v>
      </c>
      <c r="C132" s="3118" t="s">
        <v>2777</v>
      </c>
      <c r="D132" s="3092" t="s">
        <v>2778</v>
      </c>
      <c r="E132" s="3118">
        <v>0.1</v>
      </c>
      <c r="F132" s="3118">
        <v>15</v>
      </c>
    </row>
    <row r="133" spans="1:6" ht="13.5">
      <c r="A133" s="3118">
        <v>59</v>
      </c>
      <c r="B133" s="3796"/>
      <c r="C133" s="3118" t="s">
        <v>2779</v>
      </c>
      <c r="D133" s="3092" t="s">
        <v>2780</v>
      </c>
      <c r="E133" s="3118">
        <v>0.1</v>
      </c>
      <c r="F133" s="3118">
        <v>15</v>
      </c>
    </row>
    <row r="134" spans="1:6" ht="13.5">
      <c r="A134" s="3118">
        <v>60</v>
      </c>
      <c r="B134" s="3803" t="s">
        <v>2781</v>
      </c>
      <c r="C134" s="3118" t="s">
        <v>2782</v>
      </c>
      <c r="D134" s="3092" t="s">
        <v>2783</v>
      </c>
      <c r="E134" s="3118">
        <v>0.1</v>
      </c>
      <c r="F134" s="3118">
        <v>15</v>
      </c>
    </row>
    <row r="135" spans="1:6" ht="13.5">
      <c r="A135" s="3118">
        <v>61</v>
      </c>
      <c r="B135" s="3808"/>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96" t="s">
        <v>2789</v>
      </c>
      <c r="C137" s="3118" t="s">
        <v>2790</v>
      </c>
      <c r="D137" s="3092" t="s">
        <v>2791</v>
      </c>
      <c r="E137" s="3118">
        <v>0.1</v>
      </c>
      <c r="F137" s="3118">
        <v>15</v>
      </c>
    </row>
    <row r="138" spans="1:6" ht="13.5">
      <c r="A138" s="3118">
        <v>64</v>
      </c>
      <c r="B138" s="3796"/>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1.0985</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0"/>
      <c r="C2" s="3490"/>
      <c r="D2" s="3490"/>
      <c r="E2" s="3490"/>
    </row>
    <row r="3" spans="1:5" ht="18">
      <c r="A3" s="3491" t="str">
        <f>IF(项目基本情况!B9="房地产市场价值","估价结果一览表（市场价值不需“结果表-1”）","估价结果一览表")</f>
        <v>估价结果一览表</v>
      </c>
      <c r="B3" s="3491"/>
      <c r="C3" s="3491"/>
      <c r="D3" s="3491"/>
      <c r="E3" s="3491"/>
    </row>
    <row r="4" spans="1:5" ht="19.5" thickBot="1">
      <c r="A4" s="1493"/>
      <c r="B4" s="3489" t="s">
        <v>917</v>
      </c>
      <c r="C4" s="3489"/>
      <c r="D4" s="3489"/>
      <c r="E4" s="1493"/>
    </row>
    <row r="5" spans="1:5" ht="16.5" thickTop="1">
      <c r="A5" s="1491"/>
      <c r="B5" s="3487" t="s">
        <v>909</v>
      </c>
      <c r="C5" s="1494" t="s">
        <v>910</v>
      </c>
      <c r="D5" s="850">
        <f ca="1">结果表!H101</f>
        <v>829</v>
      </c>
      <c r="E5" s="1491"/>
    </row>
    <row r="6" spans="1:5" ht="15.75">
      <c r="A6" s="1491"/>
      <c r="B6" s="3487"/>
      <c r="C6" s="1494" t="s">
        <v>911</v>
      </c>
      <c r="D6" s="850" t="str">
        <f ca="1">NUMBERSTRING(INT(D5*10000),2)&amp;"元整"</f>
        <v>捌佰贰拾玖万元整</v>
      </c>
      <c r="E6" s="1491"/>
    </row>
    <row r="7" spans="1:5" ht="15.75">
      <c r="A7" s="1491"/>
      <c r="B7" s="3492"/>
      <c r="C7" s="1495" t="s">
        <v>912</v>
      </c>
      <c r="D7" s="851">
        <f ca="1">结果表!H102</f>
        <v>4947</v>
      </c>
      <c r="E7" s="1491"/>
    </row>
    <row r="8" spans="1:5" ht="15.75">
      <c r="A8" s="1491"/>
      <c r="B8" s="3493" t="str">
        <f>结果表!E103</f>
        <v>2.估价师知悉的法定优先受偿款</v>
      </c>
      <c r="C8" s="1496" t="s">
        <v>913</v>
      </c>
      <c r="D8" s="851">
        <f>结果表!H103</f>
        <v>0</v>
      </c>
      <c r="E8" s="1491"/>
    </row>
    <row r="9" spans="1:5" ht="15.75">
      <c r="A9" s="1491"/>
      <c r="B9" s="349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6" t="str">
        <f>结果表!E107</f>
        <v>3.房地产抵押价值</v>
      </c>
      <c r="C13" s="1499" t="s">
        <v>910</v>
      </c>
      <c r="D13" s="853">
        <f ca="1">结果表!H107</f>
        <v>829</v>
      </c>
      <c r="E13" s="1491"/>
    </row>
    <row r="14" spans="1:5" ht="15.75">
      <c r="A14" s="1491"/>
      <c r="B14" s="3487"/>
      <c r="C14" s="1494" t="s">
        <v>911</v>
      </c>
      <c r="D14" s="850" t="str">
        <f ca="1">NUMBERSTRING(INT(D13*10000),2)&amp;"元整"</f>
        <v>捌佰贰拾玖万元整</v>
      </c>
      <c r="E14" s="1491"/>
    </row>
    <row r="15" spans="1:5" ht="15">
      <c r="A15" s="1491"/>
      <c r="B15" s="3492"/>
      <c r="C15" s="1495" t="s">
        <v>921</v>
      </c>
      <c r="D15" s="859">
        <f ca="1">结果表!H108</f>
        <v>4947</v>
      </c>
      <c r="E15" s="1491"/>
    </row>
    <row r="16" spans="1:5" ht="15">
      <c r="A16" s="1491"/>
      <c r="B16" s="3493" t="str">
        <f>结果表!E109</f>
        <v>——</v>
      </c>
      <c r="C16" s="1499" t="s">
        <v>922</v>
      </c>
      <c r="D16" s="1500" t="str">
        <f>结果表!H109</f>
        <v>——</v>
      </c>
      <c r="E16" s="1491"/>
    </row>
    <row r="17" spans="1:5" ht="15.75">
      <c r="A17" s="1491"/>
      <c r="B17" s="3494"/>
      <c r="C17" s="1494" t="s">
        <v>923</v>
      </c>
      <c r="D17" s="850" t="e">
        <f>NUMBERSTRING(INT(D16*10000),2)&amp;"元整"</f>
        <v>#VALUE!</v>
      </c>
      <c r="E17" s="1491"/>
    </row>
    <row r="18" spans="1:5" ht="15">
      <c r="A18" s="1491"/>
      <c r="B18" s="3495"/>
      <c r="C18" s="1495" t="s">
        <v>912</v>
      </c>
      <c r="D18" s="859" t="str">
        <f>结果表!H110</f>
        <v>——</v>
      </c>
      <c r="E18" s="1491"/>
    </row>
    <row r="19" spans="1:5" ht="15.75">
      <c r="A19" s="1491"/>
      <c r="B19" s="3486" t="str">
        <f>结果表!E111</f>
        <v>——</v>
      </c>
      <c r="C19" s="1499" t="s">
        <v>910</v>
      </c>
      <c r="D19" s="851" t="str">
        <f>结果表!H111</f>
        <v>——</v>
      </c>
      <c r="E19" s="1491"/>
    </row>
    <row r="20" spans="1:5" ht="15.75">
      <c r="A20" s="1491"/>
      <c r="B20" s="3487"/>
      <c r="C20" s="1494" t="s">
        <v>923</v>
      </c>
      <c r="D20" s="850" t="e">
        <f>NUMBERSTRING(INT(D19*10000),2)&amp;"元整"</f>
        <v>#VALUE!</v>
      </c>
      <c r="E20" s="1491"/>
    </row>
    <row r="21" spans="1:5" ht="15.75" thickBot="1">
      <c r="A21" s="1491"/>
      <c r="B21" s="348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22982</v>
      </c>
      <c r="C2" s="2" t="s">
        <v>106</v>
      </c>
      <c r="D2" s="199"/>
      <c r="E2" s="199"/>
      <c r="F2" s="199"/>
      <c r="G2" s="199"/>
    </row>
    <row r="3" spans="1:7" s="200" customFormat="1" ht="18" customHeight="1" thickBot="1">
      <c r="A3" s="203" t="s">
        <v>58</v>
      </c>
      <c r="B3" s="204">
        <f ca="1">ROUND(B2*10000/'数据-汇总表'!E3,0)</f>
        <v>137213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33</v>
      </c>
      <c r="D10" s="845">
        <f>'数据-汇总表'!E6</f>
        <v>1674.92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33</v>
      </c>
      <c r="D19" s="849">
        <f>'数据-汇总表'!E3</f>
        <v>1674.92</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0</v>
      </c>
      <c r="D22" s="235">
        <f ca="1">C26</f>
        <v>0</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0</v>
      </c>
      <c r="D25" s="238"/>
      <c r="E25" s="241"/>
      <c r="F25" s="239"/>
      <c r="G25" s="242" t="s">
        <v>83</v>
      </c>
    </row>
    <row r="26" spans="1:7" s="214" customFormat="1">
      <c r="A26" s="780" t="s">
        <v>350</v>
      </c>
      <c r="B26" s="215" t="s">
        <v>422</v>
      </c>
      <c r="C26" s="238">
        <f ca="1">ROUND(IF('数据-取费表'!B22&lt;=1,F21*F22*'数据-取费表'!B23/2,F21*(POWER((1+F22),'数据-取费表'!B23/2)-1)),4)</f>
        <v>0</v>
      </c>
      <c r="D26" s="238"/>
      <c r="E26" s="241"/>
      <c r="F26" s="239"/>
      <c r="G26" s="243"/>
    </row>
    <row r="27" spans="1:7" s="214" customFormat="1" ht="24.75">
      <c r="A27" s="777" t="s">
        <v>342</v>
      </c>
      <c r="B27" s="244" t="s">
        <v>85</v>
      </c>
      <c r="C27" s="245">
        <f>C28</f>
        <v>0</v>
      </c>
      <c r="D27" s="235">
        <f>C29</f>
        <v>0</v>
      </c>
      <c r="E27" s="236" t="s">
        <v>99</v>
      </c>
      <c r="F27" s="246">
        <f>'数据-取费表'!Q16</f>
        <v>0.1</v>
      </c>
      <c r="G27" s="247" t="s">
        <v>431</v>
      </c>
    </row>
    <row r="28" spans="1:7" s="214" customFormat="1" ht="13.5" customHeight="1">
      <c r="A28" s="780" t="s">
        <v>349</v>
      </c>
      <c r="B28" s="248" t="s">
        <v>424</v>
      </c>
      <c r="C28" s="249">
        <f>ROUND((C5+C19+C20)*F27*'数据-取费表'!B21/'数据-取费表'!B20,0)</f>
        <v>0</v>
      </c>
      <c r="D28" s="235"/>
      <c r="E28" s="236"/>
      <c r="F28" s="246"/>
      <c r="G28" s="247"/>
    </row>
    <row r="29" spans="1:7" s="214" customFormat="1" ht="13.5" customHeight="1">
      <c r="A29" s="780" t="s">
        <v>347</v>
      </c>
      <c r="B29" s="248" t="s">
        <v>425</v>
      </c>
      <c r="C29" s="238">
        <f>ROUND(C21*F27*'数据-取费表'!B21/'数据-取费表'!B20,4)</f>
        <v>0</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22946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0.88</v>
      </c>
      <c r="G34" s="219" t="s">
        <v>89</v>
      </c>
    </row>
    <row r="35" spans="1:7" ht="13.5" customHeight="1">
      <c r="A35" s="780" t="s">
        <v>351</v>
      </c>
      <c r="B35" s="215" t="s">
        <v>33</v>
      </c>
      <c r="C35" s="220">
        <f>ROUND(C34*F35,0)</f>
        <v>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29</v>
      </c>
      <c r="D37" s="217">
        <f>'数据-汇总表'!E3</f>
        <v>1674.92</v>
      </c>
      <c r="E37" s="249">
        <f>'数据-取费表'!B35</f>
        <v>200</v>
      </c>
      <c r="F37" s="259"/>
      <c r="G37" s="261" t="s">
        <v>92</v>
      </c>
    </row>
    <row r="38" spans="1:7" ht="13.5" customHeight="1">
      <c r="A38" s="780" t="s">
        <v>354</v>
      </c>
      <c r="B38" s="215" t="s">
        <v>36</v>
      </c>
      <c r="C38" s="220">
        <f>ROUND(C34*F38,0)</f>
        <v>0</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0</v>
      </c>
      <c r="D41" s="235">
        <f ca="1">C44</f>
        <v>0</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0</v>
      </c>
      <c r="D42" s="238"/>
      <c r="E42" s="238"/>
      <c r="F42" s="239"/>
      <c r="G42" s="3669" t="s">
        <v>94</v>
      </c>
    </row>
    <row r="43" spans="1:7" ht="13.5" customHeight="1">
      <c r="A43" s="780" t="s">
        <v>347</v>
      </c>
      <c r="B43" s="215" t="s">
        <v>426</v>
      </c>
      <c r="C43" s="238">
        <f ca="1">ROUND(IF('数据-取费表'!B22&lt;=1,C39*F22*'数据-取费表'!B21/2,C39*(POWER((1+F22),'数据-取费表'!B21/2)-1)),0)</f>
        <v>0</v>
      </c>
      <c r="D43" s="238"/>
      <c r="E43" s="238"/>
      <c r="F43" s="239"/>
      <c r="G43" s="3670"/>
    </row>
    <row r="44" spans="1:7" ht="13.5" customHeight="1">
      <c r="A44" s="780" t="s">
        <v>348</v>
      </c>
      <c r="B44" s="215" t="s">
        <v>428</v>
      </c>
      <c r="C44" s="238">
        <f ca="1">ROUND(IF('数据-取费表'!B22&lt;=1,C40*F22*'数据-取费表'!B21/2,C40*(POWER((1+F22),'数据-取费表'!B21/2)-1)),4)</f>
        <v>0</v>
      </c>
      <c r="D44" s="238"/>
      <c r="E44" s="238"/>
      <c r="F44" s="239"/>
      <c r="G44" s="3671"/>
    </row>
    <row r="45" spans="1:7" s="214" customFormat="1" ht="13.5" customHeight="1">
      <c r="A45" s="777" t="s">
        <v>341</v>
      </c>
      <c r="B45" s="244" t="s">
        <v>85</v>
      </c>
      <c r="C45" s="245">
        <f>C46</f>
        <v>3</v>
      </c>
      <c r="D45" s="235">
        <f>C47</f>
        <v>3.0000000000000001E-3</v>
      </c>
      <c r="E45" s="236" t="s">
        <v>102</v>
      </c>
      <c r="F45" s="246"/>
      <c r="G45" s="247" t="s">
        <v>434</v>
      </c>
    </row>
    <row r="46" spans="1:7" s="214" customFormat="1" ht="13.5" customHeight="1">
      <c r="A46" s="780" t="s">
        <v>349</v>
      </c>
      <c r="B46" s="248" t="s">
        <v>427</v>
      </c>
      <c r="C46" s="249">
        <f>ROUND((C33+C39)*F27,0)</f>
        <v>3</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36</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36</v>
      </c>
      <c r="D51" s="232"/>
      <c r="E51" s="232"/>
      <c r="F51" s="264"/>
      <c r="G51" s="234" t="s">
        <v>37</v>
      </c>
    </row>
    <row r="52" spans="1:7" s="208" customFormat="1" ht="16.5" thickBot="1">
      <c r="A52" s="265" t="s">
        <v>38</v>
      </c>
      <c r="B52" s="266"/>
      <c r="C52" s="267">
        <f ca="1">C31+C51</f>
        <v>22982</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9" t="s">
        <v>3181</v>
      </c>
      <c r="B1" s="3809"/>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10" t="s">
        <v>3232</v>
      </c>
      <c r="B1" s="3810"/>
      <c r="C1" s="3810"/>
      <c r="D1" s="3810"/>
      <c r="E1" s="3810"/>
      <c r="F1" s="3811"/>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21">
        <f>基准地价修正!G23</f>
        <v>45891</v>
      </c>
      <c r="B1" s="3210" t="s">
        <v>3377</v>
      </c>
      <c r="C1" s="3211"/>
      <c r="D1" s="3211"/>
      <c r="E1" s="3211"/>
      <c r="F1" s="3211"/>
      <c r="G1" s="3211"/>
      <c r="H1" s="3211"/>
      <c r="I1" s="3211"/>
      <c r="J1" s="3165"/>
      <c r="K1" s="3211" t="s">
        <v>454</v>
      </c>
      <c r="L1" s="3211"/>
      <c r="M1" s="3211"/>
      <c r="N1" s="3211"/>
      <c r="O1" s="3211"/>
      <c r="P1" s="3211"/>
      <c r="Q1" s="3165"/>
      <c r="R1" s="3812" t="s">
        <v>456</v>
      </c>
      <c r="S1" s="3813"/>
      <c r="T1" s="3813"/>
      <c r="U1" s="3813"/>
      <c r="V1" s="3813"/>
      <c r="W1" s="3813"/>
      <c r="X1" s="3165"/>
      <c r="Y1" s="3812" t="s">
        <v>457</v>
      </c>
      <c r="Z1" s="3813"/>
      <c r="AA1" s="3813"/>
      <c r="AB1" s="3813"/>
      <c r="AC1" s="3813"/>
      <c r="AD1" s="3813"/>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3404</v>
      </c>
      <c r="AG2" t="s">
        <v>673</v>
      </c>
      <c r="AH2" t="s">
        <v>21</v>
      </c>
      <c r="AI2" t="s">
        <v>3405</v>
      </c>
      <c r="AJ2" t="s">
        <v>3</v>
      </c>
      <c r="AK2" t="s">
        <v>3406</v>
      </c>
      <c r="AM2" t="s">
        <v>3404</v>
      </c>
      <c r="AN2" t="s">
        <v>673</v>
      </c>
      <c r="AO2" t="s">
        <v>21</v>
      </c>
      <c r="AP2" t="s">
        <v>3405</v>
      </c>
      <c r="AQ2" t="s">
        <v>3</v>
      </c>
      <c r="AR2" t="s">
        <v>3406</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3403</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3402</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3401</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3409</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3408</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3381</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3375</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3374</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3370</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3369</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3367</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3366</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3365</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3363</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3354</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3380</v>
      </c>
    </row>
    <row r="27" spans="1:44" s="3009" customFormat="1">
      <c r="I27" s="3208" t="s">
        <v>2825</v>
      </c>
    </row>
    <row r="28" spans="1:44" s="3009" customFormat="1"/>
    <row r="29" spans="1:44" s="3209" customFormat="1" ht="12.75">
      <c r="B29" s="3210" t="s">
        <v>3378</v>
      </c>
      <c r="C29" s="3211"/>
      <c r="D29" s="3211"/>
      <c r="E29" s="3211"/>
      <c r="F29" s="3211"/>
      <c r="G29" s="3211"/>
      <c r="H29" s="3211"/>
      <c r="I29" s="3211"/>
      <c r="J29" s="3165"/>
      <c r="K29" s="3211" t="s">
        <v>2826</v>
      </c>
      <c r="L29" s="3211"/>
      <c r="M29" s="3211"/>
      <c r="N29" s="3211"/>
      <c r="O29" s="3211"/>
      <c r="P29" s="3211"/>
      <c r="Q29" s="3165"/>
      <c r="R29" s="3812" t="s">
        <v>2827</v>
      </c>
      <c r="S29" s="3813"/>
      <c r="T29" s="3813"/>
      <c r="U29" s="3813"/>
      <c r="V29" s="3813"/>
      <c r="W29" s="3813"/>
      <c r="X29" s="3165"/>
      <c r="Y29" s="3812" t="s">
        <v>2828</v>
      </c>
      <c r="Z29" s="3813"/>
      <c r="AA29" s="3813"/>
      <c r="AB29" s="3813"/>
      <c r="AC29" s="3813"/>
      <c r="AD29" s="3813"/>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3405</v>
      </c>
      <c r="AJ30"/>
      <c r="AK30" t="s">
        <v>3406</v>
      </c>
      <c r="AN30" t="s">
        <v>673</v>
      </c>
      <c r="AO30" t="s">
        <v>21</v>
      </c>
      <c r="AP30" t="s">
        <v>3405</v>
      </c>
      <c r="AQ30"/>
      <c r="AR30" t="s">
        <v>3406</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3403</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3402</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3410</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3407</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3408</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3372</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3376</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3373</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3371</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3369</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3368</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3366</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3365</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3364</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3354</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3379</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9" t="s">
        <v>452</v>
      </c>
      <c r="C1" s="3819"/>
      <c r="D1" s="3819"/>
      <c r="E1" s="3819"/>
      <c r="F1" s="3819"/>
      <c r="G1" s="3815" t="s">
        <v>453</v>
      </c>
      <c r="H1" s="3815"/>
      <c r="I1" s="3815"/>
      <c r="J1" s="3815"/>
      <c r="K1" s="3815"/>
      <c r="L1" s="3815"/>
      <c r="N1" s="3815" t="s">
        <v>454</v>
      </c>
      <c r="O1" s="3815"/>
      <c r="P1" s="3815"/>
      <c r="Q1" s="3815"/>
      <c r="S1" s="3815" t="s">
        <v>455</v>
      </c>
      <c r="T1" s="3815"/>
      <c r="U1" s="3815"/>
      <c r="V1" s="3815"/>
      <c r="X1" s="3814" t="s">
        <v>456</v>
      </c>
      <c r="Y1" s="3815"/>
      <c r="Z1" s="3815"/>
      <c r="AA1" s="3815"/>
      <c r="AB1" s="3815"/>
      <c r="AD1" s="3814" t="s">
        <v>457</v>
      </c>
      <c r="AE1" s="3815"/>
      <c r="AF1" s="3815"/>
      <c r="AG1" s="3815"/>
      <c r="AH1" s="381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2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27" t="s">
        <v>2839</v>
      </c>
      <c r="B1" s="3827"/>
      <c r="C1" s="3827"/>
      <c r="D1" s="3827"/>
      <c r="E1" s="3827"/>
      <c r="F1" s="3827"/>
      <c r="G1" s="3828"/>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25"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26"/>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45891</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0" sqref="P20"/>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6" t="str">
        <f>IF(项目基本情况!B9="房地产市场价值","估价结果一览表","结果表-2")</f>
        <v>结果表-2</v>
      </c>
      <c r="B1" s="3496"/>
      <c r="C1" s="3496"/>
      <c r="D1" s="3496"/>
      <c r="E1" s="3496"/>
      <c r="F1" s="3496"/>
      <c r="G1" s="3496"/>
      <c r="H1" s="3496"/>
      <c r="I1" s="3496"/>
    </row>
    <row r="2" spans="1:9" ht="30" customHeight="1" thickTop="1">
      <c r="A2" s="3497" t="s">
        <v>928</v>
      </c>
      <c r="B2" s="3497" t="s">
        <v>929</v>
      </c>
      <c r="C2" s="3497" t="s">
        <v>930</v>
      </c>
      <c r="D2" s="3497" t="str">
        <f>结果表!D116</f>
        <v>出让国有建设用地使用权价值</v>
      </c>
      <c r="E2" s="3497"/>
      <c r="F2" s="3497" t="str">
        <f>结果表!F116</f>
        <v>在建建筑物价值</v>
      </c>
      <c r="G2" s="3497"/>
      <c r="H2" s="3497" t="str">
        <f>IF(项目基本情况!B9="房地产市场价值","房地产市场价值","房地产价值")</f>
        <v>房地产价值</v>
      </c>
      <c r="I2" s="3497"/>
    </row>
    <row r="3" spans="1:9" ht="15">
      <c r="A3" s="3498"/>
      <c r="B3" s="3498"/>
      <c r="C3" s="3498"/>
      <c r="D3" s="854" t="s">
        <v>925</v>
      </c>
      <c r="E3" s="854" t="s">
        <v>931</v>
      </c>
      <c r="F3" s="854" t="s">
        <v>925</v>
      </c>
      <c r="G3" s="854" t="s">
        <v>926</v>
      </c>
      <c r="H3" s="854" t="s">
        <v>925</v>
      </c>
      <c r="I3" s="854" t="s">
        <v>926</v>
      </c>
    </row>
    <row r="4" spans="1:9" ht="45">
      <c r="A4" s="1505" t="str">
        <f>项目基本情况!S2</f>
        <v>北京市大兴区天水街16号院1号楼负1层地下仓储用房房地产</v>
      </c>
      <c r="B4" s="854">
        <f>项目基本情况!C17</f>
        <v>1674.92</v>
      </c>
      <c r="C4" s="854">
        <f>项目基本情况!C18</f>
        <v>0</v>
      </c>
      <c r="D4" s="854">
        <f ca="1">结果表!D118</f>
        <v>185</v>
      </c>
      <c r="E4" s="854">
        <f ca="1">结果表!E118</f>
        <v>1103</v>
      </c>
      <c r="F4" s="854">
        <f ca="1">结果表!F118</f>
        <v>644</v>
      </c>
      <c r="G4" s="854">
        <f ca="1">结果表!G118</f>
        <v>3844</v>
      </c>
      <c r="H4" s="854">
        <f ca="1">结果表!H118</f>
        <v>829</v>
      </c>
      <c r="I4" s="854">
        <f ca="1">结果表!I118</f>
        <v>4947</v>
      </c>
    </row>
    <row r="5" spans="1:9" ht="30" customHeight="1">
      <c r="A5" s="3498" t="s">
        <v>927</v>
      </c>
      <c r="B5" s="3498"/>
      <c r="C5" s="3498"/>
      <c r="D5" s="3498" t="str">
        <f ca="1">结果表!D119</f>
        <v>壹佰捌拾伍万元整</v>
      </c>
      <c r="E5" s="3498"/>
      <c r="F5" s="3498" t="str">
        <f ca="1">结果表!F119</f>
        <v>陆佰肆拾肆万元整</v>
      </c>
      <c r="G5" s="3498"/>
      <c r="H5" s="3498" t="str">
        <f ca="1">结果表!H119</f>
        <v>捌佰贰拾玖万元整</v>
      </c>
      <c r="I5" s="3498"/>
    </row>
    <row r="6" spans="1:9" ht="15.75">
      <c r="A6" s="3499" t="str">
        <f>结果表!A120</f>
        <v>估价师知悉的法定优先受偿款</v>
      </c>
      <c r="B6" s="3499"/>
      <c r="C6" s="3499"/>
      <c r="D6" s="3499">
        <f>结果表!D120</f>
        <v>0</v>
      </c>
      <c r="E6" s="3499"/>
      <c r="F6" s="3499"/>
      <c r="G6" s="3499"/>
      <c r="H6" s="3499"/>
      <c r="I6" s="3499"/>
    </row>
    <row r="7" spans="1:9" ht="15">
      <c r="A7" s="3498" t="s">
        <v>927</v>
      </c>
      <c r="B7" s="3498"/>
      <c r="C7" s="3498"/>
      <c r="D7" s="3500" t="str">
        <f>结果表!D121</f>
        <v>零元整</v>
      </c>
      <c r="E7" s="3501"/>
      <c r="F7" s="3501"/>
      <c r="G7" s="3501"/>
      <c r="H7" s="3501"/>
      <c r="I7" s="3502"/>
    </row>
    <row r="8" spans="1:9" ht="15.75">
      <c r="A8" s="3499" t="str">
        <f>结果表!A122</f>
        <v>房地产抵押价值</v>
      </c>
      <c r="B8" s="3499"/>
      <c r="C8" s="3499"/>
      <c r="D8" s="3499">
        <f ca="1">结果表!D122</f>
        <v>829</v>
      </c>
      <c r="E8" s="3499"/>
      <c r="F8" s="3499"/>
      <c r="G8" s="3499"/>
      <c r="H8" s="3499"/>
      <c r="I8" s="3499"/>
    </row>
    <row r="9" spans="1:9" ht="15">
      <c r="A9" s="3498" t="s">
        <v>927</v>
      </c>
      <c r="B9" s="3498"/>
      <c r="C9" s="3498"/>
      <c r="D9" s="3498" t="str">
        <f ca="1">结果表!D123</f>
        <v>捌佰贰拾玖万元整</v>
      </c>
      <c r="E9" s="3498"/>
      <c r="F9" s="3498"/>
      <c r="G9" s="3498"/>
      <c r="H9" s="3498"/>
      <c r="I9" s="3498"/>
    </row>
    <row r="10" spans="1:9" ht="15.75">
      <c r="A10" s="3499" t="str">
        <f>结果表!A124</f>
        <v/>
      </c>
      <c r="B10" s="3499"/>
      <c r="C10" s="3499"/>
      <c r="D10" s="3499" t="str">
        <f>结果表!D124</f>
        <v>——</v>
      </c>
      <c r="E10" s="3499"/>
      <c r="F10" s="3499"/>
      <c r="G10" s="3499"/>
      <c r="H10" s="3499"/>
      <c r="I10" s="3499"/>
    </row>
    <row r="11" spans="1:9" ht="15">
      <c r="A11" s="3498" t="s">
        <v>927</v>
      </c>
      <c r="B11" s="3498"/>
      <c r="C11" s="3498"/>
      <c r="D11" s="3498" t="e">
        <f>结果表!D125</f>
        <v>#VALUE!</v>
      </c>
      <c r="E11" s="3498"/>
      <c r="F11" s="3498"/>
      <c r="G11" s="3498"/>
      <c r="H11" s="3498"/>
      <c r="I11" s="3498"/>
    </row>
    <row r="12" spans="1:9" ht="15.75">
      <c r="A12" s="3499" t="str">
        <f>结果表!A126</f>
        <v/>
      </c>
      <c r="B12" s="3499"/>
      <c r="C12" s="3499"/>
      <c r="D12" s="3499" t="str">
        <f>结果表!D126</f>
        <v>——</v>
      </c>
      <c r="E12" s="3499"/>
      <c r="F12" s="3499"/>
      <c r="G12" s="3499"/>
      <c r="H12" s="3499"/>
      <c r="I12" s="3499"/>
    </row>
    <row r="13" spans="1:9" ht="15.75" thickBot="1">
      <c r="A13" s="3503" t="s">
        <v>927</v>
      </c>
      <c r="B13" s="3503"/>
      <c r="C13" s="3503"/>
      <c r="D13" s="3503" t="e">
        <f>结果表!D127</f>
        <v>#VALUE!</v>
      </c>
      <c r="E13" s="3503"/>
      <c r="F13" s="3503"/>
      <c r="G13" s="3503"/>
      <c r="H13" s="3503"/>
      <c r="I13" s="3503"/>
    </row>
    <row r="14" spans="1:9" ht="15" thickTop="1">
      <c r="A14" s="3504" t="s">
        <v>932</v>
      </c>
      <c r="B14" s="3504"/>
      <c r="C14" s="3504"/>
      <c r="D14" s="3504"/>
      <c r="E14" s="3504"/>
      <c r="F14" s="3504"/>
      <c r="G14" s="3504"/>
      <c r="H14" s="3504"/>
      <c r="I14" s="350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5" t="s">
        <v>949</v>
      </c>
      <c r="B1" s="3505"/>
      <c r="C1" s="3505"/>
      <c r="D1" s="3505"/>
    </row>
    <row r="2" spans="1:4" ht="18">
      <c r="A2" s="3506" t="s">
        <v>933</v>
      </c>
      <c r="B2" s="3506"/>
      <c r="C2" s="3506"/>
      <c r="D2" s="3506"/>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6" t="s">
        <v>939</v>
      </c>
      <c r="B6" s="3506"/>
      <c r="C6" s="3506"/>
      <c r="D6" s="350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7" t="s">
        <v>942</v>
      </c>
      <c r="B11" s="3508"/>
      <c r="C11" s="3508"/>
      <c r="D11" s="3508"/>
    </row>
    <row r="12" spans="1:4" ht="15.75">
      <c r="A12" s="35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9"/>
      <c r="C12" s="3509"/>
      <c r="D12" s="3509"/>
    </row>
    <row r="13" spans="1:4" ht="30" customHeight="1">
      <c r="A13" s="35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9"/>
      <c r="C13" s="3509"/>
      <c r="D13" s="3509"/>
    </row>
    <row r="14" spans="1:4" ht="15.75" customHeight="1">
      <c r="A14" s="3508" t="str">
        <f>IF(项目基本情况!B8="抵押","4.本次评估估价师所知悉的法定优先受偿款情况说明如下：","——")</f>
        <v>4.本次评估估价师所知悉的法定优先受偿款情况说明如下：</v>
      </c>
      <c r="B14" s="3509"/>
      <c r="C14" s="3509"/>
      <c r="D14" s="3509"/>
    </row>
    <row r="15" spans="1:4" ht="42" customHeight="1">
      <c r="A15" s="35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8"/>
      <c r="C15" s="3508"/>
      <c r="D15" s="3508"/>
    </row>
    <row r="16" spans="1:4" ht="30" customHeight="1">
      <c r="A16" s="3511" t="s">
        <v>943</v>
      </c>
      <c r="B16" s="3511"/>
      <c r="C16" s="3511"/>
      <c r="D16" s="3511"/>
    </row>
    <row r="17" spans="1:4" ht="144" customHeight="1">
      <c r="A17" s="3511" t="s">
        <v>944</v>
      </c>
      <c r="B17" s="3511"/>
      <c r="C17" s="3511"/>
      <c r="D17" s="3511"/>
    </row>
    <row r="18" spans="1:4" ht="15.75" customHeight="1">
      <c r="A18" s="3508" t="str">
        <f>IF(项目基本情况!B8="抵押",结果表!K120,"——")</f>
        <v>故，本次评估不存在估价师知悉的法定优先受偿款</v>
      </c>
      <c r="B18" s="3508"/>
      <c r="C18" s="3508"/>
      <c r="D18" s="3508"/>
    </row>
    <row r="19" spans="1:4" ht="46.5" customHeight="1">
      <c r="A19" s="35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8"/>
      <c r="C19" s="3508"/>
      <c r="D19" s="3508"/>
    </row>
    <row r="20" spans="1:4" ht="57.75" customHeight="1">
      <c r="A20" s="35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8"/>
      <c r="C20" s="3508"/>
      <c r="D20" s="3508"/>
    </row>
    <row r="21" spans="1:4" ht="57.75" customHeight="1">
      <c r="A21" s="35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2"/>
      <c r="C21" s="3512"/>
      <c r="D21" s="3512"/>
    </row>
    <row r="22" spans="1:4" ht="18.75" customHeight="1">
      <c r="A22" s="3513" t="s">
        <v>945</v>
      </c>
      <c r="B22" s="3513"/>
      <c r="C22" s="3513"/>
      <c r="D22" s="351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0">
        <v>42551</v>
      </c>
      <c r="D31" s="35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9" t="s">
        <v>956</v>
      </c>
      <c r="B15" s="3514" t="s">
        <v>109</v>
      </c>
      <c r="C15" s="3515"/>
    </row>
    <row r="16" spans="1:7" ht="13.5">
      <c r="A16" s="3520"/>
      <c r="B16" s="3514" t="s">
        <v>42</v>
      </c>
      <c r="C16" s="3515"/>
    </row>
    <row r="17" spans="1:3" ht="13.5">
      <c r="A17" s="3520"/>
      <c r="B17" s="3517" t="s">
        <v>957</v>
      </c>
      <c r="C17" s="1532" t="s">
        <v>956</v>
      </c>
    </row>
    <row r="18" spans="1:3" ht="13.5">
      <c r="A18" s="3520"/>
      <c r="B18" s="3517"/>
      <c r="C18" s="1532" t="s">
        <v>958</v>
      </c>
    </row>
    <row r="19" spans="1:3" ht="13.5">
      <c r="A19" s="3520"/>
      <c r="B19" s="3517"/>
      <c r="C19" s="1532" t="s">
        <v>959</v>
      </c>
    </row>
    <row r="20" spans="1:3" ht="13.5">
      <c r="A20" s="3521"/>
      <c r="B20" s="3516" t="s">
        <v>960</v>
      </c>
      <c r="C20" s="3515"/>
    </row>
    <row r="21" spans="1:3" ht="13.5">
      <c r="A21" s="1533" t="s">
        <v>961</v>
      </c>
      <c r="B21" s="1534"/>
      <c r="C21" s="1535"/>
    </row>
    <row r="22" spans="1:3" ht="13.5">
      <c r="A22" s="3518" t="s">
        <v>962</v>
      </c>
      <c r="B22" s="3516" t="s">
        <v>963</v>
      </c>
      <c r="C22" s="3515"/>
    </row>
    <row r="23" spans="1:3" ht="13.5">
      <c r="A23" s="3518"/>
      <c r="B23" s="3516" t="s">
        <v>964</v>
      </c>
      <c r="C23" s="3515"/>
    </row>
    <row r="24" spans="1:3" ht="13.5">
      <c r="A24" s="3518"/>
      <c r="B24" s="3516" t="s">
        <v>965</v>
      </c>
      <c r="C24" s="3515"/>
    </row>
    <row r="25" spans="1:3" ht="13.5">
      <c r="A25" s="3518"/>
      <c r="B25" s="3517" t="s">
        <v>966</v>
      </c>
      <c r="C25" s="1532" t="s">
        <v>967</v>
      </c>
    </row>
    <row r="26" spans="1:3" ht="13.5">
      <c r="A26" s="3518"/>
      <c r="B26" s="3517"/>
      <c r="C26" s="1532" t="s">
        <v>968</v>
      </c>
    </row>
    <row r="27" spans="1:3" ht="13.5">
      <c r="A27" s="3518"/>
      <c r="B27" s="3517"/>
      <c r="C27" s="1532" t="s">
        <v>969</v>
      </c>
    </row>
    <row r="28" spans="1:3" ht="13.5">
      <c r="A28" s="3518"/>
      <c r="B28" s="3517"/>
      <c r="C28" s="1532" t="s">
        <v>970</v>
      </c>
    </row>
    <row r="29" spans="1:3" ht="13.5">
      <c r="A29" s="3518"/>
      <c r="B29" s="3517"/>
      <c r="C29" s="1532" t="s">
        <v>971</v>
      </c>
    </row>
    <row r="30" spans="1:3" ht="13.5">
      <c r="A30" s="3518"/>
      <c r="B30" s="3517"/>
      <c r="C30" s="1532" t="s">
        <v>972</v>
      </c>
    </row>
    <row r="31" spans="1:3" ht="13.5">
      <c r="A31" s="3518"/>
      <c r="B31" s="3517"/>
      <c r="C31" s="1532" t="s">
        <v>973</v>
      </c>
    </row>
    <row r="32" spans="1:3" ht="13.5">
      <c r="A32" s="3518"/>
      <c r="B32" s="3517"/>
      <c r="C32" s="1532" t="s">
        <v>974</v>
      </c>
    </row>
    <row r="33" spans="1:3" ht="13.5">
      <c r="A33" s="3518"/>
      <c r="B33" s="351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45891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2" t="s">
        <v>2160</v>
      </c>
      <c r="B17" s="3522"/>
      <c r="C17" s="3522"/>
      <c r="D17" s="3522"/>
      <c r="E17" s="3522"/>
      <c r="F17" s="3522"/>
      <c r="G17" s="3522"/>
      <c r="H17" s="3522"/>
    </row>
    <row r="18" spans="1:8" ht="24" customHeight="1">
      <c r="A18" s="3523" t="s">
        <v>2161</v>
      </c>
      <c r="B18" s="3523"/>
      <c r="C18" s="3523"/>
      <c r="D18" s="2343"/>
      <c r="E18" s="3524" t="s">
        <v>2162</v>
      </c>
      <c r="F18" s="3523"/>
      <c r="G18" s="352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比较法-仓储</vt:lpstr>
      <vt:lpstr>收益法 (元)</vt:lpstr>
      <vt:lpstr>收益法-酒店模型</vt:lpstr>
      <vt:lpstr>收益法（汇总）</vt:lpstr>
      <vt:lpstr>比较法-住宅</vt:lpstr>
      <vt:lpstr>比较法-商业</vt:lpstr>
      <vt:lpstr>比较法-办公</vt:lpstr>
      <vt:lpstr>比较法-工业</vt:lpstr>
      <vt:lpstr>比较法-车位</vt:lpstr>
      <vt:lpstr>土地比较法-住宅、综合</vt:lpstr>
      <vt:lpstr>土地比较法-工业</vt:lpstr>
      <vt:lpstr>典型户型修正</vt:lpstr>
      <vt:lpstr>基准地价（汇总）</vt:lpstr>
      <vt:lpstr>中指仓储</vt:lpstr>
      <vt:lpstr>修正</vt:lpstr>
      <vt:lpstr>容积率修正</vt:lpstr>
      <vt:lpstr>成本法（废）</vt:lpstr>
      <vt:lpstr>因素修正幅度</vt:lpstr>
      <vt:lpstr>区片价（范围）</vt:lpstr>
      <vt:lpstr>地价-分区</vt:lpstr>
      <vt:lpstr>地价</vt:lpstr>
      <vt:lpstr>区片价</vt:lpstr>
      <vt:lpstr>存贷款利率</vt:lpstr>
      <vt:lpstr>111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2025-08-22T07:18:47Z</dcterms:modified>
</cp:coreProperties>
</file>