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<sst xmlns="http://schemas.openxmlformats.org/spreadsheetml/2006/main" count="7890" uniqueCount="2779">
  <si>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</si>
  <si>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</si>
  <si>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</si>
  <si>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</si>
  <si>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</si>
  <si>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</si>
  <si>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</si>
  <si>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</si>
  <si>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</si>
  <si>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</si>
  <si>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</si>
  <si>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</si>
  <si>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</si>
  <si>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</si>
  <si>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</si>
  <si>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</si>
  <si>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</si>
  <si>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</si>
  <si>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</si>
  <si>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</si>
  <si>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</si>
  <si>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</si>
  <si>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</si>
  <si>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</si>
  <si>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</si>
  <si>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</si>
  <si>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</si>
  <si>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</si>
  <si>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</si>
  <si>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</si>
  <si>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</si>
  <si>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</si>
  <si>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</si>
  <si>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</si>
  <si>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</si>
  <si>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</si>
  <si>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</si>
  <si>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</si>
  <si>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</si>
  <si>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</si>
  <si>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</si>
  <si>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</si>
  <si>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</si>
  <si>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</si>
  <si>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</si>
  <si>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</si>
  <si>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</si>
  <si>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</si>
  <si>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</si>
  <si>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</si>
  <si>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</si>
  <si>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</si>
  <si>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</si>
  <si>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</si>
  <si>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</si>
  <si>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</si>
  <si>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</si>
  <si>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</si>
  <si>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</si>
  <si>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</si>
  <si>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</si>
  <si>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</si>
  <si>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</si>
  <si>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</si>
  <si>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</si>
  <si>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</si>
  <si>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</si>
  <si>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</si>
  <si>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</si>
  <si>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</si>
  <si>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</si>
  <si>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</si>
  <si>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</si>
  <si>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</si>
  <si>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</si>
  <si>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</si>
  <si>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</si>
  <si>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</si>
  <si>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</si>
  <si>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</si>
  <si>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</si>
  <si>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</si>
  <si>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</si>
  <si>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</si>
  <si>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</si>
  <si>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</si>
  <si>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</si>
  <si>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</si>
  <si>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</si>
  <si>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</si>
  <si>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</si>
  <si>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</si>
  <si>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</si>
  <si>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</si>
  <si>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</si>
  <si>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</si>
  <si>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</si>
  <si>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</si>
  <si>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</si>
  <si>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</si>
  <si>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</si>
  <si>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</si>
  <si>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</si>
  <si>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</si>
  <si>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</si>
  <si>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</si>
  <si>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</si>
  <si>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</si>
  <si>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</si>
  <si>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</si>
  <si>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</si>
  <si>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</si>
  <si>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</si>
  <si>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</si>
  <si>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</si>
  <si>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</si>
  <si>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</si>
  <si>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</si>
  <si>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</si>
  <si>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</si>
  <si>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</si>
  <si>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</si>
  <si>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</si>
  <si>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</si>
  <si>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</si>
  <si>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</si>
  <si>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</si>
  <si>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</si>
  <si>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</si>
  <si>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</si>
  <si>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</si>
  <si>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</si>
  <si>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</si>
  <si>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</si>
  <si>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</si>
  <si>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</si>
  <si>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</si>
  <si>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</si>
  <si>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</si>
  <si>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</si>
  <si>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</si>
  <si>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</si>
  <si>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</si>
  <si>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</si>
  <si>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</si>
  <si>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</si>
  <si>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</si>
  <si>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</si>
  <si>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</si>
  <si>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</si>
  <si>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</si>
  <si>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</si>
  <si>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</si>
  <si>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</si>
  <si>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</si>
  <si>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</si>
  <si>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</si>
  <si>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</si>
  <si>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</si>
  <si>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</si>
  <si>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</si>
  <si>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</si>
  <si>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</si>
  <si>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</si>
  <si>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</si>
  <si>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</si>
  <si>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</si>
  <si>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</si>
  <si>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</si>
  <si>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</si>
  <si>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</si>
  <si>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</si>
  <si>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</si>
  <si>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</si>
  <si>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</si>
  <si>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</si>
  <si>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</si>
  <si>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</si>
  <si>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</si>
  <si>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</si>
  <si>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</si>
  <si>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</si>
  <si>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</si>
  <si>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</si>
  <si>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</si>
  <si>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</si>
  <si>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</si>
  <si>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</si>
  <si>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</si>
  <si>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</si>
  <si>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</si>
  <si>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</si>
  <si>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</si>
  <si>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</si>
  <si>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</si>
  <si>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</si>
  <si>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</si>
  <si>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</si>
  <si>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</si>
  <si>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</si>
  <si>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</si>
  <si>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</si>
  <si>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</si>
  <si>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</si>
  <si>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</si>
  <si>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</si>
  <si>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</si>
  <si>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</si>
  <si>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</si>
  <si>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</si>
  <si>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</si>
  <si>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</si>
  <si>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</si>
  <si>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</si>
  <si>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</si>
  <si>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</si>
  <si>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</si>
  <si>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</si>
  <si>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</si>
  <si>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</si>
  <si>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</si>
  <si>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</si>
  <si>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</si>
  <si>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</si>
  <si>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</si>
  <si>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</si>
  <si>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</si>
  <si>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</si>
  <si>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</si>
  <si>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</si>
  <si>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</si>
  <si>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</si>
  <si>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</si>
  <si>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</si>
  <si>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</si>
  <si>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</si>
  <si>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</si>
  <si>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</si>
  <si>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</si>
  <si>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</si>
  <si>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</si>
  <si>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</si>
  <si>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</si>
  <si>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</si>
  <si>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</si>
  <si>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</si>
  <si>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</si>
  <si>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</si>
  <si>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</si>
  <si>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</si>
  <si>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</si>
  <si>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</si>
  <si>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</si>
  <si>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</si>
  <si>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</si>
  <si>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</si>
  <si>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</si>
  <si>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</si>
  <si>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</si>
  <si>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</si>
  <si>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</si>
  <si>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</si>
  <si>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</si>
  <si>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</si>
  <si>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</si>
  <si>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</si>
  <si>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</si>
  <si>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</si>
  <si>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</si>
  <si>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</si>
  <si>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</si>
  <si>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</si>
  <si>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</si>
  <si>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</si>
  <si>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</si>
  <si>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</si>
  <si>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</si>
  <si>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</si>
  <si>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</si>
  <si>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</si>
  <si>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</si>
  <si>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</si>
  <si>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</si>
  <si>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</si>
  <si>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</si>
  <si>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</si>
  <si>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</si>
  <si>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</si>
  <si>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</si>
  <si>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</si>
  <si>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</si>
  <si>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</si>
  <si>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</si>
  <si>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</si>
  <si>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</si>
  <si>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</si>
  <si>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</si>
  <si>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</si>
  <si>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</si>
  <si>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</si>
  <si>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</si>
  <si>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</si>
  <si>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</si>
  <si>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</si>
  <si>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</si>
  <si>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</si>
  <si>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</si>
  <si>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</si>
  <si>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</si>
  <si>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</si>
  <si>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</si>
  <si>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</si>
  <si>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</si>
  <si>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</si>
  <si>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</si>
  <si>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</si>
  <si>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</si>
  <si>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</si>
  <si>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</si>
  <si>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</si>
  <si>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</si>
  <si>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</si>
  <si>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</si>
  <si>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</si>
  <si>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</si>
  <si>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</si>
  <si>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</si>
  <si>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</si>
  <si>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</si>
  <si>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</si>
  <si>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</si>
  <si>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</si>
  <si>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</si>
  <si>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</si>
  <si>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</si>
  <si>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</si>
  <si>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</si>
  <si>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</si>
  <si>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</si>
  <si>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</si>
  <si>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</si>
  <si>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</si>
  <si>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</si>
  <si>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</si>
  <si>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</si>
  <si>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</si>
  <si>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</si>
  <si>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</si>
  <si>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</si>
  <si>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</si>
  <si>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</si>
  <si>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</si>
  <si>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</si>
  <si>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</si>
  <si>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</si>
  <si>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</si>
  <si>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</si>
  <si>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</si>
  <si>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</si>
  <si>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</si>
  <si>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</si>
  <si>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</si>
  <si>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</si>
  <si>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</si>
  <si>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</si>
  <si>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</si>
  <si>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</si>
  <si>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</si>
  <si>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</si>
  <si>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</si>
  <si>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</si>
  <si>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</si>
  <si>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</si>
  <si>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</si>
  <si>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</si>
  <si>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</si>
  <si>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</si>
  <si>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</si>
  <si>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</si>
  <si>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</si>
  <si>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</si>
  <si>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</si>
  <si>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</si>
  <si>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</si>
  <si>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</si>
  <si>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</si>
  <si>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</si>
  <si>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</si>
  <si>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</si>
  <si>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</si>
  <si>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</si>
  <si>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</si>
  <si>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</si>
  <si>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</si>
  <si>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</si>
  <si>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</si>
  <si>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</si>
  <si>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</si>
  <si>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</si>
  <si>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</si>
  <si>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</si>
  <si>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</si>
  <si>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</si>
  <si>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</si>
  <si>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</si>
  <si>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</si>
  <si>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</si>
  <si>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</si>
  <si>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</si>
  <si>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</si>
  <si>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</si>
  <si>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</si>
  <si>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</si>
  <si>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</si>
  <si>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</si>
  <si>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</si>
  <si>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</si>
  <si>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</si>
  <si>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</si>
  <si>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</si>
  <si>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</si>
  <si>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</si>
  <si>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</si>
  <si>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</si>
  <si>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</si>
  <si>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</si>
  <si>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</si>
  <si>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</si>
  <si>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</si>
  <si>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</si>
  <si>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</si>
  <si>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</si>
  <si>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</si>
  <si>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</si>
  <si>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</si>
  <si>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</si>
  <si>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</si>
  <si>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</si>
  <si>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</si>
  <si>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</si>
  <si>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</si>
  <si>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</si>
  <si>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</si>
  <si>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</si>
  <si>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</si>
  <si>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</si>
  <si>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</si>
  <si>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</si>
  <si>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</si>
  <si>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</si>
  <si>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</si>
  <si>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</si>
  <si>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</si>
  <si>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</si>
  <si>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</si>
  <si>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</si>
  <si>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</si>
  <si>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</si>
  <si>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</si>
  <si>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</si>
  <si>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</si>
  <si>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</si>
  <si>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</si>
  <si>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</si>
  <si>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</si>
  <si>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</si>
  <si>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</si>
  <si>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</si>
  <si>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</si>
  <si>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</si>
  <si>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</si>
  <si>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</si>
  <si>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</si>
  <si>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</si>
  <si>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</si>
  <si>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</si>
  <si>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</si>
  <si>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</si>
  <si>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</si>
  <si>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</si>
  <si>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</si>
  <si>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</si>
  <si>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</si>
  <si>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</si>
  <si>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</si>
  <si>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</si>
  <si>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</si>
  <si>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</si>
  <si>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</si>
  <si>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</si>
  <si>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</si>
  <si>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</si>
  <si>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</si>
  <si>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</si>
  <si>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</si>
  <si>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</si>
  <si>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</si>
  <si>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</si>
  <si>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</si>
  <si>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</si>
  <si>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</si>
  <si>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</si>
  <si>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</si>
  <si>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</si>
  <si>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</si>
  <si>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</si>
  <si>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</si>
  <si>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</si>
  <si>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</si>
  <si>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</si>
  <si>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</si>
  <si>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</si>
  <si>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</si>
  <si>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</si>
  <si>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</si>
  <si>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</si>
  <si>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</si>
  <si>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</si>
  <si>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</si>
  <si>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</si>
  <si>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</si>
  <si>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</si>
  <si>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</si>
  <si>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</si>
  <si>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</si>
  <si>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</si>
  <si>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</si>
  <si>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</si>
  <si>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</si>
  <si>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</si>
  <si>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</si>
  <si>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</si>
  <si>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</si>
  <si>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</si>
  <si>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</si>
  <si>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</si>
  <si>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</si>
  <si>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</si>
  <si>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</si>
  <si>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</si>
  <si>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</si>
  <si>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</si>
  <si>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</si>
  <si>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</si>
  <si>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</si>
  <si>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</si>
  <si>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</si>
  <si>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</si>
  <si>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</si>
  <si>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</si>
  <si>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</si>
  <si>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</si>
  <si>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</si>
  <si>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</si>
  <si>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</si>
  <si>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</si>
  <si>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5-3-5</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</si>
  <si>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</si>
  <si>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</si>
  <si>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</si>
  <si>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</si>
  <si>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</si>
  <si>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</si>
  <si>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</si>
  <si>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</si>
  <si>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</si>
  <si>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</si>
  <si>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</si>
  <si>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</si>
  <si>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</si>
  <si>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</si>
  <si>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</si>
  <si>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</si>
  <si>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</si>
  <si>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</si>
  <si>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</si>
  <si>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</si>
  <si>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</si>
  <si>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</si>
  <si>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</si>
  <si>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</si>
  <si>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</si>
  <si>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</si>
  <si>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</si>
  <si>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</si>
  <si>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</si>
  <si>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</si>
  <si>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</si>
  <si>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</si>
  <si>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</si>
  <si>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</si>
  <si>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</si>
  <si>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</si>
  <si>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</si>
  <si>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</si>
  <si>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</si>
  <si>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</si>
  <si>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</si>
  <si>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</si>
  <si>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</si>
  <si>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</si>
  <si>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</si>
  <si>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</si>
  <si>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</si>
  <si>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</si>
  <si>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</si>
  <si>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</si>
  <si>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</si>
  <si>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</si>
  <si>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</si>
  <si>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</si>
  <si>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</si>
  <si>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</si>
  <si>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</si>
  <si>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</si>
  <si>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</si>
  <si>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</si>
  <si>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</si>
  <si>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</si>
  <si>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</si>
  <si>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</si>
  <si>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</si>
  <si>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</si>
  <si>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</si>
  <si>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</si>
  <si>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</si>
  <si>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</si>
  <si>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</si>
  <si>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</si>
  <si>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</si>
  <si>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</si>
  <si>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</si>
  <si>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</si>
  <si>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</si>
  <si>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</si>
  <si>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</si>
  <si>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</si>
  <si>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</si>
  <si>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</si>
  <si>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</si>
  <si>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</si>
  <si>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</si>
  <si>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</si>
  <si>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</si>
  <si>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</si>
  <si>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</si>
  <si>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</si>
  <si>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</si>
  <si>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</si>
  <si>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</si>
  <si>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</si>
  <si>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</si>
  <si>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</si>
  <si>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</si>
  <si>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</si>
  <si>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</si>
  <si>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</si>
  <si>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</si>
  <si>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</si>
  <si>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</si>
  <si>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</si>
  <si>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</si>
  <si>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</si>
  <si>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</si>
  <si>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</si>
  <si>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</si>
  <si>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</si>
  <si>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</si>
  <si>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</si>
  <si>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</si>
  <si>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</si>
  <si>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</si>
  <si>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</si>
  <si>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</si>
  <si>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</si>
  <si>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</si>
  <si>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</si>
  <si>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</si>
  <si>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</si>
  <si>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</si>
  <si>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</si>
  <si>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</si>
  <si>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</si>
  <si>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</si>
  <si>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</si>
  <si>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</si>
  <si>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</si>
  <si>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</si>
  <si>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</si>
  <si>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</si>
  <si>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</si>
  <si>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</si>
  <si>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</si>
  <si>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</si>
  <si>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</si>
  <si>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</si>
  <si>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</si>
  <si>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</si>
  <si>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</si>
  <si>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</si>
  <si>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</si>
  <si>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</si>
  <si>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</si>
  <si>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</si>
  <si>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</si>
  <si>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</si>
  <si>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</si>
  <si>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</si>
  <si>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</si>
  <si>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</si>
  <si>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</si>
  <si>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</si>
  <si>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</si>
  <si>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</si>
  <si>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</si>
  <si>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</si>
  <si>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</si>
  <si>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</si>
  <si>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</si>
  <si>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</si>
  <si>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</si>
  <si>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</si>
  <si>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</si>
  <si>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</si>
  <si>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</si>
  <si>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</si>
  <si>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</si>
  <si>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</si>
  <si>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</si>
  <si>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</si>
  <si>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</si>
  <si>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</si>
  <si>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</si>
  <si>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</si>
  <si>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</si>
  <si>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</si>
  <si>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</si>
  <si>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</si>
  <si>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</si>
  <si>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</si>
  <si>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</si>
  <si>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</si>
  <si>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</si>
  <si>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</si>
  <si>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</si>
  <si>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</si>
  <si>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</si>
  <si>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</si>
  <si>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</si>
  <si>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</si>
  <si>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</si>
  <si>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</si>
  <si>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</si>
  <si>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</si>
  <si>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</si>
  <si>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</si>
  <si>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</si>
  <si>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</si>
  <si>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</si>
  <si>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</si>
  <si>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</si>
  <si>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</si>
  <si>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</si>
  <si>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</si>
  <si>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</si>
  <si>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</si>
  <si>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</si>
  <si>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</si>
  <si>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</si>
  <si>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</si>
  <si>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</si>
  <si>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</si>
  <si>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</si>
  <si>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</si>
  <si>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</si>
  <si>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</si>
  <si>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</si>
  <si>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</si>
  <si>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</si>
  <si>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</si>
  <si>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</si>
  <si>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</si>
  <si>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</si>
  <si>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</si>
  <si>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</si>
  <si>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</si>
  <si>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</si>
  <si>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</si>
  <si>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</si>
  <si>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</si>
  <si>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</si>
  <si>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</si>
  <si>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</si>
  <si>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</si>
  <si>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</si>
  <si>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</si>
  <si>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</si>
  <si>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</si>
  <si>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</si>
  <si>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</si>
  <si>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</si>
  <si>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</si>
  <si>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</si>
  <si>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</si>
  <si>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</si>
  <si>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</si>
  <si>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</si>
  <si>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</si>
  <si>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</si>
  <si>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</si>
  <si>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</si>
  <si>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</si>
  <si>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</si>
  <si>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</si>
  <si>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</si>
  <si>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</si>
  <si>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</si>
  <si>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</si>
  <si>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</si>
  <si>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</si>
  <si>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</si>
  <si>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</si>
  <si>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</si>
  <si>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</si>
  <si>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</si>
  <si>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</si>
  <si>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</si>
  <si>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</si>
  <si>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</si>
  <si>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</si>
  <si>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</si>
  <si>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</si>
  <si>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</si>
  <si>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</si>
  <si>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</si>
  <si>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</si>
  <si>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</si>
  <si>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</si>
  <si>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</si>
  <si>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</si>
  <si>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</si>
  <si>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</si>
  <si>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</si>
  <si>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</si>
  <si>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</si>
  <si>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</si>
  <si>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</si>
  <si>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</si>
  <si>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</si>
  <si>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</si>
  <si>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</si>
  <si>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</si>
  <si>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</si>
  <si>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</si>
  <si>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</si>
  <si>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</si>
  <si>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</si>
  <si>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</si>
  <si>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</si>
  <si>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</si>
  <si>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</si>
  <si>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</si>
  <si>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</si>
  <si>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</si>
  <si>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</si>
  <si>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</si>
  <si>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</si>
  <si>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</si>
  <si>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</si>
  <si>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</si>
  <si>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</si>
  <si>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</si>
  <si>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</si>
  <si>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</si>
  <si>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</si>
  <si>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</si>
  <si>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</si>
  <si>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</si>
  <si>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</si>
  <si>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</si>
  <si>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</si>
  <si>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</si>
  <si>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</si>
  <si>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</si>
  <si>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</si>
  <si>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</si>
  <si>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</si>
  <si>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</si>
  <si>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</si>
  <si>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</si>
  <si>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</si>
  <si>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</si>
  <si>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</si>
  <si>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</si>
  <si>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</si>
  <si>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</si>
  <si>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</si>
  <si>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</si>
  <si>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</si>
  <si>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</si>
  <si>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</si>
  <si>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</si>
  <si>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</si>
  <si>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</si>
  <si>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</si>
  <si>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</si>
  <si>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</si>
  <si>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</si>
  <si>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</si>
  <si>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</si>
  <si>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</si>
  <si>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</si>
  <si>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</si>
  <si>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</si>
  <si>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</si>
  <si>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</si>
  <si>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</si>
  <si>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</si>
  <si>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</si>
  <si>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</si>
  <si>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</si>
  <si>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</si>
  <si>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</si>
  <si>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</si>
  <si>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</si>
  <si>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</si>
  <si>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</si>
  <si>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</si>
  <si>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</si>
  <si>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</si>
  <si>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</si>
  <si>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</si>
  <si>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</si>
  <si>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</si>
  <si>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</si>
  <si>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</si>
  <si>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</si>
  <si>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</si>
  <si>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</si>
  <si>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</si>
  <si>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</si>
  <si>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</si>
  <si>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</si>
  <si>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</si>
  <si>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</si>
  <si>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</si>
  <si>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</si>
  <si>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</si>
  <si>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</si>
  <si>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</si>
  <si>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</si>
  <si>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</si>
  <si>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</si>
  <si>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</si>
  <si>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</si>
  <si>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</si>
  <si>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</si>
  <si>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</si>
  <si>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</si>
  <si>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</si>
  <si>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</si>
  <si>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</si>
  <si>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</si>
  <si>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</si>
  <si>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</si>
  <si>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</si>
  <si>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</si>
  <si>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</si>
  <si>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</si>
  <si>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</si>
  <si>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</si>
  <si>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</si>
  <si>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</si>
  <si>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</si>
  <si>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</si>
  <si>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</si>
  <si>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</si>
  <si>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</si>
  <si>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</si>
  <si>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</si>
  <si>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</si>
  <si>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</si>
  <si>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</si>
  <si>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</si>
  <si>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</si>
  <si>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</si>
  <si>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</si>
  <si>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</si>
  <si>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</si>
  <si>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</si>
  <si>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</si>
  <si>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</si>
  <si>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</si>
  <si>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</si>
  <si>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</si>
  <si>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</si>
  <si>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</si>
  <si>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</si>
  <si>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</si>
  <si>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</si>
  <si>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</si>
  <si>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</si>
  <si>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</si>
  <si>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</si>
  <si>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</si>
  <si>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</si>
  <si>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</si>
  <si>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</si>
  <si>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</si>
  <si>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</si>
  <si>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</si>
  <si>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</si>
  <si>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</si>
  <si>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</si>
  <si>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</si>
  <si>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</si>
  <si>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</si>
  <si>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</si>
  <si>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</si>
  <si>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</si>
  <si>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</si>
  <si>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</si>
  <si>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</si>
  <si>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</si>
  <si>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</si>
  <si>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</si>
  <si>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</si>
  <si>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</si>
  <si>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</si>
  <si>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</si>
  <si>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</si>
  <si>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</si>
  <si>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西北</t>
  </si>
  <si>
    <t>楼层</t>
  </si>
  <si>
    <t>3/5</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</si>
  <si>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</si>
  <si>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</si>
  <si>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</si>
  <si>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</si>
  <si>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</si>
  <si>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</si>
  <si>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</si>
  <si>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</si>
  <si>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</si>
  <si>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</si>
  <si>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</si>
  <si>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</si>
  <si>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</si>
  <si>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</si>
  <si>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</si>
  <si>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</si>
  <si>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</si>
  <si>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</si>
  <si>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</si>
  <si>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</si>
  <si>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</si>
  <si>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</si>
  <si>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</si>
  <si>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</si>
  <si>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</si>
  <si>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</si>
  <si>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</si>
  <si>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</si>
  <si>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</si>
  <si>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</si>
  <si>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</si>
  <si>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</si>
  <si>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</si>
  <si>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</si>
  <si>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</si>
  <si>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</si>
  <si>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</si>
  <si>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</si>
  <si>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</si>
  <si>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</si>
  <si>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</si>
  <si>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</si>
  <si>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</si>
  <si>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</si>
  <si>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</si>
  <si>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</si>
  <si>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</si>
  <si>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</si>
  <si>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</si>
  <si>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</si>
  <si>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</si>
  <si>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</si>
  <si>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</si>
  <si>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</si>
  <si>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</si>
  <si>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</si>
  <si>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</si>
  <si>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</si>
  <si>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</si>
  <si>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</si>
  <si>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</si>
  <si>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</si>
  <si>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</si>
  <si>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</si>
  <si>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</si>
  <si>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</si>
  <si>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</si>
  <si>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</si>
  <si>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</si>
  <si>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</si>
  <si>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</si>
  <si>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</si>
  <si>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</si>
  <si>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</si>
  <si>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</si>
  <si>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</si>
  <si>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</si>
  <si>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</si>
  <si>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</si>
  <si>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</si>
  <si>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</si>
  <si>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</si>
  <si>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</si>
  <si>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</si>
  <si>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</si>
  <si>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</si>
  <si>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</si>
  <si>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</si>
  <si>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</si>
  <si>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</si>
  <si>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</si>
  <si>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</si>
  <si>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</si>
  <si>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</si>
  <si>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</si>
  <si>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</si>
  <si>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</si>
  <si>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</si>
  <si>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</si>
  <si>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</si>
  <si>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</si>
  <si>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</si>
  <si>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</si>
  <si>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</si>
  <si>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</si>
  <si>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</si>
  <si>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</si>
  <si>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</si>
  <si>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</si>
  <si>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</si>
  <si>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</si>
  <si>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</si>
  <si>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</si>
  <si>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</si>
  <si>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</si>
  <si>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</si>
  <si>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</si>
  <si>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</si>
  <si>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</si>
  <si>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</si>
  <si>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</si>
  <si>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</si>
  <si>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</si>
  <si>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</si>
  <si>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</si>
  <si>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</si>
  <si>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</si>
  <si>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</si>
  <si>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</si>
  <si>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</si>
  <si>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</si>
  <si>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</si>
  <si>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</si>
  <si>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</si>
  <si>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</si>
  <si>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</si>
  <si>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</si>
  <si>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</si>
  <si>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</si>
  <si>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</si>
  <si>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</si>
  <si>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</si>
  <si>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</si>
  <si>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</si>
  <si>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</si>
  <si>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</si>
  <si>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</si>
  <si>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</si>
  <si>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</si>
  <si>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</si>
  <si>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</si>
  <si>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</si>
  <si>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</si>
  <si>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</si>
  <si>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</si>
  <si>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</si>
  <si>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</si>
  <si>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</si>
  <si>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</si>
  <si>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</si>
  <si>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</si>
  <si>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</si>
  <si>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</si>
  <si>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</si>
  <si>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</si>
  <si>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</si>
  <si>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</si>
  <si>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</si>
  <si>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</si>
  <si>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</si>
  <si>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</si>
  <si>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</si>
  <si>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</si>
  <si>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</si>
  <si>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</si>
  <si>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</si>
  <si>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</si>
  <si>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</si>
  <si>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</si>
  <si>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</si>
  <si>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</si>
  <si>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</si>
  <si>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</si>
  <si>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</si>
  <si>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</si>
  <si>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</si>
  <si>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</si>
  <si>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</si>
  <si>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</si>
  <si>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</si>
  <si>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</si>
  <si>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</si>
  <si>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</si>
  <si>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</si>
  <si>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</si>
  <si>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</si>
  <si>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</si>
  <si>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</si>
  <si>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</si>
  <si>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</si>
  <si>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</si>
  <si>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</si>
  <si>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</si>
  <si>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</si>
  <si>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</si>
  <si>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</si>
  <si>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</si>
  <si>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</si>
  <si>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</si>
  <si>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</si>
  <si>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</si>
  <si>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</si>
  <si>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</si>
  <si>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</si>
  <si>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</si>
  <si>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</si>
  <si>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</si>
  <si>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</si>
  <si>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</si>
  <si>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</si>
  <si>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</si>
  <si>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</si>
  <si>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</si>
  <si>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</si>
  <si>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</si>
  <si>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</si>
  <si>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</si>
  <si>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</si>
  <si>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</si>
  <si>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</si>
  <si>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</si>
  <si>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</si>
  <si>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</si>
  <si>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</si>
  <si>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</si>
  <si>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</si>
  <si>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</si>
  <si>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</si>
  <si>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</si>
  <si>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</si>
  <si>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</si>
  <si>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</si>
  <si>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</si>
  <si>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</si>
  <si>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</si>
  <si>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</si>
  <si>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</si>
  <si>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</si>
  <si>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</si>
  <si>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</si>
  <si>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</si>
  <si>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</si>
  <si>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</si>
  <si>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</si>
  <si>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</si>
  <si>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</si>
  <si>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</si>
  <si>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</si>
  <si>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</si>
  <si>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</si>
  <si>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</si>
  <si>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</si>
  <si>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</si>
  <si>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</si>
  <si>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</si>
  <si>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</si>
  <si>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</si>
  <si>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</si>
  <si>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</si>
  <si>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</si>
  <si>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</si>
  <si>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</si>
  <si>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</si>
  <si>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</si>
  <si>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</si>
  <si>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</si>
  <si>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</si>
  <si>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</si>
  <si>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</si>
  <si>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</si>
  <si>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</si>
  <si>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</si>
  <si>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</si>
  <si>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</si>
  <si>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</si>
  <si>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</si>
  <si>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</si>
  <si>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</si>
  <si>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</si>
  <si>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</si>
  <si>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</si>
  <si>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</si>
  <si>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</si>
  <si>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</si>
  <si>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</si>
  <si>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</si>
  <si>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</si>
  <si>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</si>
  <si>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</si>
  <si>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</si>
  <si>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</si>
  <si>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</si>
  <si>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</si>
  <si>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</si>
  <si>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</si>
  <si>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</si>
  <si>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</si>
  <si>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</si>
  <si>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</si>
  <si>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</si>
  <si>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</si>
  <si>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</si>
  <si>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</si>
  <si>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</si>
  <si>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</si>
  <si>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</si>
  <si>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</si>
  <si>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</si>
  <si>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</si>
  <si>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</si>
  <si>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</si>
  <si>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</si>
  <si>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</si>
  <si>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</si>
  <si>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</si>
  <si>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</si>
  <si>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</si>
  <si>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</si>
  <si>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</si>
  <si>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</si>
  <si>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</si>
  <si>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</si>
  <si>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</si>
  <si>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</si>
  <si>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</si>
  <si>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</si>
  <si>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</si>
  <si>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</si>
  <si>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</si>
  <si>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</si>
  <si>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</si>
  <si>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</si>
  <si>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</si>
  <si>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</si>
  <si>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</si>
  <si>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</si>
  <si>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</si>
  <si>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</si>
  <si>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</si>
  <si>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</si>
  <si>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</si>
  <si>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</si>
  <si>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</si>
  <si>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</si>
  <si>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</si>
  <si>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</si>
  <si>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</si>
  <si>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</si>
  <si>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</si>
  <si>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</si>
  <si>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</si>
  <si>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</si>
  <si>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</si>
  <si>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</si>
  <si>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</si>
  <si>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</si>
  <si>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</si>
  <si>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</si>
  <si>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</si>
  <si>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</si>
  <si>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</si>
  <si>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</si>
  <si>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</si>
  <si>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</si>
  <si>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</si>
  <si>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</si>
  <si>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</si>
  <si>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</si>
  <si>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</si>
  <si>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</si>
  <si>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</si>
  <si>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</si>
  <si>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</si>
  <si>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</si>
  <si>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</si>
  <si>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</si>
  <si>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</si>
  <si>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</si>
  <si>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</si>
  <si>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</si>
  <si>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</si>
  <si>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</si>
  <si>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</si>
  <si>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</si>
  <si>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</si>
  <si>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</si>
  <si>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</si>
  <si>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</si>
  <si>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</si>
  <si>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</si>
  <si>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</si>
  <si>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</si>
  <si>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</si>
  <si>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</si>
  <si>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</si>
  <si>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</si>
  <si>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</si>
  <si>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</si>
  <si>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</si>
  <si>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</si>
  <si>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</si>
  <si>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</si>
  <si>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</si>
  <si>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</si>
  <si>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</si>
  <si>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</si>
  <si>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</si>
  <si>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</si>
  <si>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</si>
  <si>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</si>
  <si>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</si>
  <si>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</si>
  <si>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</si>
  <si>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</si>
  <si>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</si>
  <si>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</si>
  <si>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</si>
  <si>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</si>
  <si>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</si>
  <si>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</si>
  <si>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</si>
  <si>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</si>
  <si>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</si>
  <si>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</si>
  <si>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</si>
  <si>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</si>
  <si>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</si>
  <si>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</si>
  <si>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</si>
  <si>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</si>
  <si>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</si>
  <si>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</si>
  <si>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</si>
  <si>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</si>
  <si>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</si>
  <si>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</si>
  <si>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</si>
  <si>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</si>
  <si>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</si>
  <si>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</si>
  <si>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</si>
  <si>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</si>
  <si>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</si>
  <si>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</si>
  <si>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</si>
  <si>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</si>
  <si>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</si>
  <si>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</si>
  <si>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</si>
  <si>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</si>
  <si>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</si>
  <si>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</si>
  <si>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</si>
  <si>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</si>
  <si>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</si>
  <si>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</si>
  <si>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</si>
  <si>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</si>
  <si>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</si>
  <si>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</si>
  <si>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</si>
  <si>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</si>
  <si>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</si>
  <si>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</si>
  <si>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</si>
  <si>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</si>
  <si>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</si>
  <si>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</si>
  <si>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</si>
  <si>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</si>
  <si>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</si>
  <si>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</si>
  <si>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</si>
  <si>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</si>
  <si>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</si>
  <si>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</si>
  <si>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</si>
  <si>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</si>
  <si>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</si>
  <si>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</si>
  <si>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</si>
  <si>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</si>
  <si>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</si>
  <si>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</si>
  <si>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</si>
  <si>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</si>
  <si>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</si>
  <si>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</si>
  <si>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</si>
  <si>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</si>
  <si>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</si>
  <si>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</si>
  <si>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</si>
  <si>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</si>
  <si>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</si>
  <si>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</si>
  <si>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</si>
  <si>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</si>
  <si>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</si>
  <si>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</si>
  <si>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</si>
  <si>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</si>
  <si>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</si>
  <si>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</si>
  <si>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</si>
  <si>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</si>
  <si>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</si>
  <si>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</si>
  <si>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</si>
  <si>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</si>
  <si>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</si>
  <si>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</si>
  <si>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</si>
  <si>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</si>
  <si>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</si>
  <si>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</si>
  <si>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</si>
  <si>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</si>
  <si>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</si>
  <si>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</si>
  <si>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</si>
  <si>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</si>
  <si>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</si>
  <si>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</si>
  <si>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</si>
  <si>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</si>
  <si>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</si>
  <si>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</si>
  <si>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</si>
  <si>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</si>
  <si>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</si>
  <si>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</si>
  <si>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</si>
  <si>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</si>
  <si>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</si>
  <si>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</si>
  <si>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</si>
  <si>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</si>
  <si>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</si>
  <si>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</si>
  <si>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</si>
  <si>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</si>
  <si>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</si>
  <si>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</si>
  <si>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</si>
  <si>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</si>
  <si>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</si>
  <si>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</si>
  <si>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</si>
  <si>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</si>
  <si>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</si>
  <si>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</si>
  <si>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</si>
  <si>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</si>
  <si>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</si>
  <si>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</si>
  <si>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</si>
  <si>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</si>
  <si>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</si>
  <si>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</si>
  <si>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</si>
  <si>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</si>
  <si>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</si>
  <si>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</si>
  <si>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</si>
  <si>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</si>
  <si>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</si>
  <si>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</si>
  <si>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</si>
  <si>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</si>
  <si>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</si>
  <si>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</si>
  <si>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</si>
  <si>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</si>
  <si>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</si>
  <si>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</si>
  <si>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</si>
  <si>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</si>
  <si>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</si>
  <si>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</si>
  <si>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</si>
  <si>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</si>
  <si>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</si>
  <si>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</si>
  <si>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</si>
  <si>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</si>
  <si>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</si>
  <si>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</si>
  <si>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</si>
  <si>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</si>
  <si>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</si>
  <si>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</si>
  <si>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</si>
  <si>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</si>
  <si>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</si>
  <si>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</si>
  <si>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</si>
  <si>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</si>
  <si>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</si>
  <si>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</si>
  <si>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</si>
  <si>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</si>
  <si>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</si>
  <si>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</si>
  <si>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</si>
  <si>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</si>
  <si>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</si>
  <si>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</si>
  <si>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</si>
  <si>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</si>
  <si>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</si>
  <si>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</si>
  <si>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</si>
  <si>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</si>
  <si>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</si>
  <si>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</si>
  <si>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</si>
  <si>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</si>
  <si>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</si>
  <si>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</si>
  <si>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</si>
  <si>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</si>
  <si>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</si>
  <si>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</si>
  <si>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</si>
  <si>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</si>
  <si>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</si>
  <si>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</si>
  <si>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</si>
  <si>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</si>
  <si>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</si>
  <si>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</si>
  <si>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</si>
  <si>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</si>
  <si>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</si>
  <si>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</si>
  <si>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</si>
  <si>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</si>
  <si>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</si>
  <si>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</si>
  <si>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</si>
  <si>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</si>
  <si>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</si>
  <si>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</si>
  <si>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</si>
  <si>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</si>
  <si>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</si>
  <si>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</si>
  <si>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</si>
  <si>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3/6</t>
  </si>
  <si>
    <t>2/6</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</si>
  <si>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</si>
  <si>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</si>
  <si>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</si>
  <si>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</si>
  <si>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</si>
  <si>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</si>
  <si>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</si>
  <si>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</si>
  <si>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2-5-5</t>
  </si>
  <si>
    <t>5-12-1</t>
  </si>
  <si>
    <t>5-12-4</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</si>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</sst>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0000_);[Red]\(0.0000\)"/>
    <numFmt numFmtId="181" formatCode="0.0%"/>
    <numFmt numFmtId="182" formatCode="0_);[Red]\(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b/>
      <sz val="8"/>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8"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1" fontId="19" fillId="0" borderId="19" xfId="21" applyNumberFormat="1" applyFont="1" applyBorder="1" applyAlignment="1">
      <alignment horizontal="left" vertical="center"/>
    </xf>
    <xf numFmtId="181" fontId="19" fillId="0" borderId="0" xfId="21" applyNumberFormat="1" applyFont="1" applyAlignment="1">
      <alignment horizontal="left" vertical="center"/>
    </xf>
    <xf numFmtId="178"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8"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8"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1" fontId="25" fillId="0" borderId="150"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0"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0"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1"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78"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78"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3"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71" fillId="2" borderId="7" xfId="59" applyNumberFormat="1" applyFont="1" applyFill="1" applyBorder="1" applyAlignment="1" applyProtection="1">
      <alignment vertical="center"/>
    </xf>
    <xf numFmtId="178" fontId="71" fillId="15"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9" applyNumberFormat="1" applyFont="1" applyFill="1" applyBorder="1" applyAlignment="1" applyProtection="1">
      <alignment horizontal="left" vertical="center" wrapText="1"/>
      <protection locked="0"/>
    </xf>
    <xf numFmtId="178" fontId="71" fillId="2" borderId="13" xfId="59"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1"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8"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9"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9"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9"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估价对象为北京市房地产，为所有。根据《国有土地使用证》[]，估价对象（分摊）出让国有建设用地使用权面积为0平方米，建筑面积为81.7平方米。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估价对象为北京市房地产,属开发建设的，该项目尚在开发建设中。根据《国有土地使用证》[]，估价对象（分摊）出让国有建设用地使用权面积为0平方米，规划建筑面积为81.7平方米。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2003年8月6日</v>
      </c>
    </row>
    <row r="13" s="3698" customFormat="1" spans="1:2">
      <c r="A13" s="3706" t="s">
        <v>13</v>
      </c>
      <c r="B13" s="3707" t="str">
        <f>'预评函-1'!A18</f>
        <v>本次估价的“房地产价值”是指在正常市场情况下，在价值时点2003年8月6日，估价对象规划用途为，土地取得方式为划拨，假定未设立法定优先受偿款下的房地产市场价值。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81.7</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37839</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23.38</v>
      </c>
      <c r="D5" s="3497">
        <f>IF(ISERROR(ROUND(POWER(1+E5,A5-C5)*(POWER(1+E5,C5)-1)/(POWER(1+E5,A5)-1),3)),0,ROUND(POWER(1+E5,A5-C5)*(POWER(1+E5,C5)-1)/(POWER(1+E5,A5)-1),4))</f>
        <v>0.7582</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33.39</v>
      </c>
      <c r="D6" s="3497">
        <f>IF(ISERROR(ROUND(POWER(1+E6,A6-C6)*(POWER(1+E6,C6)-1)/(POWER(1+E6,A6)-1),3)),0,ROUND(POWER(1+E6,A6-C6)*(POWER(1+E6,C6)-1)/(POWER(1+E6,A6)-1),4))</f>
        <v>0.8496</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53.4</v>
      </c>
      <c r="D7" s="3497">
        <f>IF(ISERROR(ROUND(POWER(1+E7,A7-C7)*(POWER(1+E7,C7)-1)/(POWER(1+E7,A7)-1),3)),0,ROUND(POWER(1+E7,A7-C7)*(POWER(1+E7,C7)-1)/(POWER(1+E7,A7)-1),4))</f>
        <v>0.937</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8" sqref="F8"/>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37839</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81.7</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81.7</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81.7</v>
      </c>
      <c r="H5" s="3247">
        <f t="shared" ref="H5:AT5" si="0">SUM(H13:H656)</f>
        <v>81.7</v>
      </c>
      <c r="I5" s="3247">
        <f t="shared" si="0"/>
        <v>81.7</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81.7</v>
      </c>
      <c r="BA5" s="3309">
        <f t="shared" si="1"/>
        <v>81.7</v>
      </c>
      <c r="BB5" s="3309">
        <f t="shared" si="1"/>
        <v>81.7</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81.7</v>
      </c>
      <c r="H13" s="3250">
        <f>SUMIF(I$12:AB$12,"总值",I13:AB13)</f>
        <v>81.7</v>
      </c>
      <c r="I13" s="3280">
        <v>81.7</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5-3-5</v>
      </c>
      <c r="AY13" s="2665">
        <f>ROUND($AY$6*AZ13/$AZ$5,2)</f>
        <v>0</v>
      </c>
      <c r="AZ13" s="3247">
        <f>BA13+BL13</f>
        <v>81.7</v>
      </c>
      <c r="BA13" s="3247">
        <f>SUM(BB13:BK13)</f>
        <v>81.7</v>
      </c>
      <c r="BB13" s="3247">
        <f>IF($D13="是",I13-J13,0)</f>
        <v>81.7</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81.7</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81.7</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81.7</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81.7</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81.7</v>
      </c>
      <c r="F19" s="3185">
        <f>'数据-基础表'!G13</f>
        <v>81.7</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81.7</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81.7</v>
      </c>
      <c r="F27" s="3192">
        <f>IF(SUM(F19:F26)=E8,SUM(F19:F26),"地上面积有误")</f>
        <v>81.7</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81.7</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81.7</v>
      </c>
      <c r="F31" s="3203">
        <f>F27+F30</f>
        <v>81.7</v>
      </c>
      <c r="G31" s="3204">
        <f>G27+G30</f>
        <v>0</v>
      </c>
      <c r="H31" s="3140"/>
      <c r="I31" s="3140"/>
      <c r="J31" s="3140"/>
      <c r="K31" s="3140"/>
      <c r="L31" s="3140"/>
      <c r="M31" s="3140"/>
      <c r="N31" s="3140"/>
      <c r="O31" s="3140"/>
      <c r="P31" s="3140"/>
    </row>
    <row r="32" spans="1:16">
      <c r="A32" s="3205"/>
      <c r="B32" s="3205" t="s">
        <v>606</v>
      </c>
      <c r="C32" s="3205"/>
      <c r="D32" s="3205"/>
      <c r="E32" s="3206">
        <f>SUMIF(C19:C26,"*住宅*",E19:E26)</f>
        <v>81.7</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16" sqref="L16"/>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37839</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81.7</v>
      </c>
      <c r="L6" s="3057">
        <v>1500</v>
      </c>
      <c r="M6" s="3058">
        <f t="shared" ref="M6:M14" si="0">ROUND(K6*L6/10000,0)</f>
        <v>12</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122550</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81.7</v>
      </c>
      <c r="L16" s="3067">
        <f>ROUND(M16*10000/SUM(K6:K14),0)</f>
        <v>1469</v>
      </c>
      <c r="M16" s="3067">
        <f>SUM(M6:M14)</f>
        <v>12</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1984</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19</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31</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0.62</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81.7</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37839</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 ca="1">SUM(D14:D23)</f>
        <v>36.6506</v>
      </c>
      <c r="C5" s="2848">
        <f ca="1">IF(B5=D14,结果表!H102,ROUND(B5*10000/$B$1,0))</f>
        <v>0</v>
      </c>
      <c r="D5" s="2848" t="e">
        <f ca="1">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f>'数据-基础表'!B3</f>
        <v>81.7</v>
      </c>
      <c r="C14" s="2860"/>
      <c r="D14" s="2860">
        <f ca="1">ROUND(E14*B14/10000,4)</f>
        <v>36.6506</v>
      </c>
      <c r="E14" s="2860">
        <f ca="1">结果表!G20</f>
        <v>4486</v>
      </c>
      <c r="F14" s="2860" t="e">
        <f ca="1">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9" sqref="O9"/>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81.7</v>
      </c>
      <c r="M18" s="2028">
        <f>IF(C1="",'数据-汇总表'!E3,SUMIF(项目类型,C1,'数据-汇总表'!E17:E26))</f>
        <v>81.7</v>
      </c>
    </row>
    <row r="19" ht="14.25" spans="1:13">
      <c r="A19" s="2527" t="s">
        <v>800</v>
      </c>
      <c r="B19" s="2528" t="s">
        <v>801</v>
      </c>
      <c r="C19" s="2529">
        <f ca="1">SUMIF(INDIRECT("'"&amp;C4&amp;"'"&amp;"!A:A"),结果表!B19,INDIRECT("'"&amp;C4&amp;"'"&amp;"!B:B"))</f>
        <v>48.9946</v>
      </c>
      <c r="D19" s="1520">
        <f ca="1">SUMIF(INDIRECT("'"&amp;D4&amp;"'"&amp;"!A:A"),结果表!B19,INDIRECT("'"&amp;D4&amp;"'"&amp;"!B:B"))</f>
        <v>33.5624</v>
      </c>
      <c r="E19" s="2527" t="s">
        <v>802</v>
      </c>
      <c r="F19" s="2528" t="s">
        <v>801</v>
      </c>
      <c r="G19" s="2530">
        <f ca="1">ROUND(C19*$C$18+D19*$D$18,0)</f>
        <v>37</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4108</v>
      </c>
      <c r="E20" s="2532"/>
      <c r="F20" s="2533" t="s">
        <v>804</v>
      </c>
      <c r="G20" s="2534">
        <f ca="1">ROUND(C20*$C$18+D20*$D$18,0)</f>
        <v>4486</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0.459806211713108</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4486</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37839</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48.9946</v>
      </c>
      <c r="D102" s="2767">
        <f ca="1">IF(D32="楼面单价",ROUND(D19,0),D19)</f>
        <v>33.5624</v>
      </c>
      <c r="E102" s="2768"/>
      <c r="F102" s="2769"/>
      <c r="G102" s="2770" t="s">
        <v>99</v>
      </c>
      <c r="H102" s="2637" t="e">
        <f ca="1">I118</f>
        <v>#REF!</v>
      </c>
      <c r="I102" s="1039"/>
    </row>
    <row r="103" ht="42.75" customHeight="1" spans="1:9">
      <c r="A103" s="2772"/>
      <c r="B103" s="2773" t="s">
        <v>99</v>
      </c>
      <c r="C103" s="2774">
        <f ca="1">C20</f>
        <v>5997</v>
      </c>
      <c r="D103" s="2775">
        <f ca="1">D20</f>
        <v>4108</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81.7</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N34" sqref="N34"/>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33.5624</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4108</v>
      </c>
      <c r="C3" s="1549" t="s">
        <v>993</v>
      </c>
      <c r="D3" s="1550">
        <f>IF(D1="",'数据-汇总表'!E3,SUMIF('数据-汇总表'!$C19:$C33,D1,'数据-汇总表'!$E19:$E33))</f>
        <v>81.7</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1030</v>
      </c>
      <c r="F26" s="1182">
        <f>SUMIF(88:88,E26,89:89)-SUMIF(88:88,C26,89:89)+100</f>
        <v>100</v>
      </c>
      <c r="G26" s="2407" t="s">
        <v>1031</v>
      </c>
      <c r="H26" s="1182">
        <f>SUMIF(88:88,G26,89:89)-SUMIF(88:88,C26,89:89)+100</f>
        <v>99</v>
      </c>
      <c r="I26" s="2407" t="s">
        <v>1032</v>
      </c>
      <c r="J26" s="1182">
        <f>SUMIF(88:88,I26,89:89)-SUMIF(88:88,C26,89:89)+100</f>
        <v>96</v>
      </c>
      <c r="K26" s="2423">
        <v>0.5</v>
      </c>
      <c r="L26" s="1317"/>
      <c r="M26" s="1301"/>
      <c r="N26" s="1301"/>
      <c r="O26" s="1301"/>
      <c r="P26" s="1733"/>
      <c r="Q26" s="700" t="str">
        <f t="shared" si="11"/>
        <v>朝向</v>
      </c>
      <c r="R26" s="1367" t="s">
        <v>1009</v>
      </c>
      <c r="S26" s="1368">
        <f t="shared" si="12"/>
        <v>100</v>
      </c>
      <c r="T26" s="1367" t="s">
        <v>1009</v>
      </c>
      <c r="U26" s="1368">
        <f t="shared" si="13"/>
        <v>99</v>
      </c>
      <c r="V26" s="1367" t="s">
        <v>1009</v>
      </c>
      <c r="W26" s="1368">
        <f t="shared" si="14"/>
        <v>96</v>
      </c>
      <c r="X26" s="1354"/>
      <c r="Y26" s="1320"/>
      <c r="Z26" s="1341" t="str">
        <f>Q26</f>
        <v>朝向</v>
      </c>
      <c r="AA26" s="1383">
        <f t="shared" si="15"/>
        <v>1</v>
      </c>
      <c r="AB26" s="1383">
        <f t="shared" si="16"/>
        <v>1.01010101010101</v>
      </c>
      <c r="AC26" s="1383">
        <f t="shared" si="17"/>
        <v>1.04166666666667</v>
      </c>
    </row>
    <row r="27" s="1120" customFormat="1" ht="15" spans="1:29">
      <c r="A27" s="1176"/>
      <c r="B27" s="2408" t="s">
        <v>1033</v>
      </c>
      <c r="C27" s="1503" t="s">
        <v>1034</v>
      </c>
      <c r="D27" s="1675">
        <v>100</v>
      </c>
      <c r="E27" s="1503" t="s">
        <v>1035</v>
      </c>
      <c r="F27" s="1675">
        <f>SUMIF(90:90,E27,91:91)-SUMIF(90:90,C27,91:91)+100</f>
        <v>97</v>
      </c>
      <c r="G27" s="1504" t="s">
        <v>1036</v>
      </c>
      <c r="H27" s="1675">
        <f>SUMIF(90:90,G27,91:91)-SUMIF(90:90,C27,91:91)+100</f>
        <v>100</v>
      </c>
      <c r="I27" s="1504" t="s">
        <v>1037</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1038</v>
      </c>
      <c r="B32" s="1166" t="s">
        <v>1039</v>
      </c>
      <c r="C32" s="1757" t="s">
        <v>1040</v>
      </c>
      <c r="D32" s="1223">
        <v>100</v>
      </c>
      <c r="E32" s="2409" t="s">
        <v>1040</v>
      </c>
      <c r="F32" s="1562">
        <f>SUMIF(100:100,E32,101:101)-SUMIF(100:100,C32,101:101)+100</f>
        <v>100</v>
      </c>
      <c r="G32" s="1757" t="s">
        <v>1041</v>
      </c>
      <c r="H32" s="1223">
        <f>SUMIF(100:100,G32,101:101)-SUMIF(100:100,C32,101:101)+100</f>
        <v>98</v>
      </c>
      <c r="I32" s="2409" t="s">
        <v>1041</v>
      </c>
      <c r="J32" s="1182">
        <f>SUMIF(100:100,I32,101:101)-SUMIF(100:100,C32,101:101)+100</f>
        <v>98</v>
      </c>
      <c r="K32" s="2423">
        <v>0.5</v>
      </c>
      <c r="L32" s="1317"/>
      <c r="M32" s="1301"/>
      <c r="N32" s="1301"/>
      <c r="O32" s="1301"/>
      <c r="P32" s="1734" t="s">
        <v>1042</v>
      </c>
      <c r="Q32" s="700" t="str">
        <f t="shared" si="11"/>
        <v>建筑类型</v>
      </c>
      <c r="R32" s="1367" t="s">
        <v>1009</v>
      </c>
      <c r="S32" s="1368">
        <f t="shared" si="12"/>
        <v>100</v>
      </c>
      <c r="T32" s="1367" t="s">
        <v>1009</v>
      </c>
      <c r="U32" s="1368">
        <f t="shared" si="13"/>
        <v>98</v>
      </c>
      <c r="V32" s="1367" t="s">
        <v>1009</v>
      </c>
      <c r="W32" s="1368">
        <f t="shared" si="14"/>
        <v>98</v>
      </c>
      <c r="X32" s="1354"/>
      <c r="Y32" s="1329" t="s">
        <v>1042</v>
      </c>
      <c r="Z32" s="1341" t="str">
        <f t="shared" si="18"/>
        <v>建筑类型</v>
      </c>
      <c r="AA32" s="1383">
        <f t="shared" si="15"/>
        <v>1</v>
      </c>
      <c r="AB32" s="1383">
        <f t="shared" si="16"/>
        <v>1.02040816326531</v>
      </c>
      <c r="AC32" s="1383">
        <f t="shared" si="17"/>
        <v>1.02040816326531</v>
      </c>
    </row>
    <row r="33" s="1122" customFormat="1" ht="15" spans="1:29">
      <c r="A33" s="1229"/>
      <c r="B33" s="1170" t="s">
        <v>1043</v>
      </c>
      <c r="C33" s="1556">
        <f>'数据-汇总表'!E19</f>
        <v>81.7</v>
      </c>
      <c r="D33" s="1172">
        <v>100</v>
      </c>
      <c r="E33" s="1175">
        <v>57.4</v>
      </c>
      <c r="F33" s="1555">
        <f>LOOKUP(E33,103:103,104:104)-LOOKUP(C33,103:103,104:104)+100</f>
        <v>101</v>
      </c>
      <c r="G33" s="1174">
        <v>42.8</v>
      </c>
      <c r="H33" s="1172">
        <f>LOOKUP(G33,103:103,104:104)-LOOKUP(C33,103:103,104:104)+100</f>
        <v>102</v>
      </c>
      <c r="I33" s="1175">
        <v>77.9</v>
      </c>
      <c r="J33" s="1172">
        <f>LOOKUP(I33,103:103,104:104)-LOOKUP(C33,103:103,104:104)+100</f>
        <v>100</v>
      </c>
      <c r="K33" s="2424"/>
      <c r="L33" s="1315"/>
      <c r="M33" s="1327"/>
      <c r="N33" s="1327"/>
      <c r="O33" s="1327"/>
      <c r="P33" s="1735"/>
      <c r="Q33" s="1601" t="str">
        <f t="shared" si="11"/>
        <v>项目建筑规模</v>
      </c>
      <c r="R33" s="1369" t="s">
        <v>1009</v>
      </c>
      <c r="S33" s="1370">
        <f t="shared" si="12"/>
        <v>101</v>
      </c>
      <c r="T33" s="1369" t="s">
        <v>1009</v>
      </c>
      <c r="U33" s="1370">
        <f t="shared" si="13"/>
        <v>102</v>
      </c>
      <c r="V33" s="1369" t="s">
        <v>1009</v>
      </c>
      <c r="W33" s="1370">
        <f t="shared" si="14"/>
        <v>100</v>
      </c>
      <c r="X33" s="1371"/>
      <c r="Y33" s="1329"/>
      <c r="Z33" s="1384" t="str">
        <f t="shared" si="18"/>
        <v>项目建筑规模</v>
      </c>
      <c r="AA33" s="1383">
        <f t="shared" si="15"/>
        <v>0.99009900990099</v>
      </c>
      <c r="AB33" s="1383">
        <f t="shared" si="16"/>
        <v>0.980392156862745</v>
      </c>
      <c r="AC33" s="1383">
        <f t="shared" si="17"/>
        <v>1</v>
      </c>
    </row>
    <row r="34" ht="15" spans="1:29">
      <c r="A34" s="1224"/>
      <c r="B34" s="1170" t="s">
        <v>1044</v>
      </c>
      <c r="C34" s="1758" t="s">
        <v>1045</v>
      </c>
      <c r="D34" s="1182">
        <v>100</v>
      </c>
      <c r="E34" s="2410" t="s">
        <v>1045</v>
      </c>
      <c r="F34" s="1562">
        <f>SUMIF(105:105,E34,106:106)-SUMIF(105:105,C34,106:106)+100</f>
        <v>100</v>
      </c>
      <c r="G34" s="1758" t="s">
        <v>1046</v>
      </c>
      <c r="H34" s="1182">
        <f>SUMIF(105:105,G34,106:106)-SUMIF(105:105,C34,106:106)+100</f>
        <v>103</v>
      </c>
      <c r="I34" s="2410" t="s">
        <v>1046</v>
      </c>
      <c r="J34" s="1182">
        <f>SUMIF(105:105,I34,106:106)-SUMIF(105:105,C34,106:106)+100</f>
        <v>103</v>
      </c>
      <c r="K34" s="2423">
        <v>3</v>
      </c>
      <c r="L34" s="1317"/>
      <c r="M34" s="1301"/>
      <c r="N34" s="1301"/>
      <c r="O34" s="1301"/>
      <c r="P34" s="1735"/>
      <c r="Q34" s="700" t="str">
        <f t="shared" si="11"/>
        <v>建筑结构</v>
      </c>
      <c r="R34" s="1367" t="s">
        <v>1009</v>
      </c>
      <c r="S34" s="1368">
        <f t="shared" si="12"/>
        <v>100</v>
      </c>
      <c r="T34" s="1367" t="s">
        <v>1009</v>
      </c>
      <c r="U34" s="1368">
        <f t="shared" si="13"/>
        <v>103</v>
      </c>
      <c r="V34" s="1367" t="s">
        <v>1009</v>
      </c>
      <c r="W34" s="1368">
        <f t="shared" si="14"/>
        <v>103</v>
      </c>
      <c r="X34" s="1354"/>
      <c r="Y34" s="1329"/>
      <c r="Z34" s="1341" t="str">
        <f t="shared" si="18"/>
        <v>建筑结构</v>
      </c>
      <c r="AA34" s="1383">
        <f t="shared" si="15"/>
        <v>1</v>
      </c>
      <c r="AB34" s="1383">
        <f t="shared" si="16"/>
        <v>0.970873786407767</v>
      </c>
      <c r="AC34" s="1383">
        <f t="shared" si="17"/>
        <v>0.970873786407767</v>
      </c>
    </row>
    <row r="35" ht="15" spans="1:29">
      <c r="A35" s="1224"/>
      <c r="B35" s="1170" t="s">
        <v>1047</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1048</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1049</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1042</v>
      </c>
      <c r="Q38" s="700" t="str">
        <f t="shared" si="11"/>
        <v>物业管理</v>
      </c>
      <c r="R38" s="1367" t="s">
        <v>1009</v>
      </c>
      <c r="S38" s="1368">
        <f t="shared" si="12"/>
        <v>100</v>
      </c>
      <c r="T38" s="1367" t="s">
        <v>1009</v>
      </c>
      <c r="U38" s="1368">
        <f t="shared" si="13"/>
        <v>100</v>
      </c>
      <c r="V38" s="1367" t="s">
        <v>1009</v>
      </c>
      <c r="W38" s="1368">
        <f t="shared" si="14"/>
        <v>100</v>
      </c>
      <c r="X38" s="1354"/>
      <c r="Y38" s="1329" t="s">
        <v>1042</v>
      </c>
      <c r="Z38" s="1341" t="str">
        <f t="shared" si="18"/>
        <v>物业管理</v>
      </c>
      <c r="AA38" s="1383">
        <f t="shared" si="15"/>
        <v>1</v>
      </c>
      <c r="AB38" s="1383">
        <f t="shared" si="16"/>
        <v>1</v>
      </c>
      <c r="AC38" s="1383">
        <f t="shared" si="17"/>
        <v>1</v>
      </c>
    </row>
    <row r="39" ht="15" spans="1:29">
      <c r="A39" s="1224"/>
      <c r="B39" s="1170" t="s">
        <v>1050</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1051</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1052</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1053</v>
      </c>
      <c r="C42" s="1225" t="s">
        <v>1054</v>
      </c>
      <c r="D42" s="1182">
        <v>100</v>
      </c>
      <c r="E42" s="2407" t="s">
        <v>1055</v>
      </c>
      <c r="F42" s="1562">
        <f>SUMIF(122:122,E42,123:123)-SUMIF(122:122,C42,123:123)+100</f>
        <v>103</v>
      </c>
      <c r="G42" s="1225" t="s">
        <v>1055</v>
      </c>
      <c r="H42" s="1182">
        <f>SUMIF(122:122,G42,123:123)-SUMIF(122:122,C42,123:123)+100</f>
        <v>103</v>
      </c>
      <c r="I42" s="2407" t="s">
        <v>1055</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1056</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1057</v>
      </c>
      <c r="C44" s="2411" t="s">
        <v>1058</v>
      </c>
      <c r="D44" s="1172">
        <v>100</v>
      </c>
      <c r="E44" s="2411" t="s">
        <v>1058</v>
      </c>
      <c r="F44" s="1555">
        <f>SUMIF(126:126,E44,127:127)-SUMIF(126:126,C44,127:127)+100</f>
        <v>100</v>
      </c>
      <c r="G44" s="2411" t="s">
        <v>1059</v>
      </c>
      <c r="H44" s="1172">
        <f>SUMIF(126:126,G44,127:127)-SUMIF(126:126,C44,127:127)+100</f>
        <v>105</v>
      </c>
      <c r="I44" s="2411" t="s">
        <v>1059</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1060</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1061</v>
      </c>
      <c r="B48" s="1583"/>
      <c r="C48" s="1584">
        <f>R49</f>
        <v>4108</v>
      </c>
      <c r="D48" s="1242" t="s">
        <v>1062</v>
      </c>
      <c r="E48" s="1585">
        <f>R48</f>
        <v>3849</v>
      </c>
      <c r="F48" s="1243"/>
      <c r="G48" s="1584">
        <f>T48</f>
        <v>3865</v>
      </c>
      <c r="H48" s="1243"/>
      <c r="I48" s="1585">
        <f>V48</f>
        <v>4609</v>
      </c>
      <c r="J48" s="1243"/>
      <c r="K48" s="2429">
        <f>F48+H48+J48</f>
        <v>0</v>
      </c>
      <c r="L48" s="1333"/>
      <c r="M48" s="1248"/>
      <c r="N48" s="1248"/>
      <c r="O48" s="1248"/>
      <c r="P48" s="700" t="str">
        <f>A48</f>
        <v>比较价值（元/平方米）</v>
      </c>
      <c r="Q48" s="700"/>
      <c r="R48" s="1383">
        <f>IF(F1="售价",ROUND(PRODUCT(R47,AA7:AA46),0),ROUND(PRODUCT(R47,AA7:AA46),1))</f>
        <v>3849</v>
      </c>
      <c r="S48" s="1383"/>
      <c r="T48" s="1383">
        <f>IF(F1="售价",ROUND(PRODUCT(T47,AB7:AB46),0),ROUND(PRODUCT(T47,AB7:AB46),1))</f>
        <v>3865</v>
      </c>
      <c r="U48" s="1383"/>
      <c r="V48" s="1383">
        <f>IF(F1="售价",ROUND(PRODUCT(V47,AC7:AC46),0),ROUND(PRODUCT(V47,AC7:AC46),1))</f>
        <v>4609</v>
      </c>
      <c r="W48" s="1383"/>
      <c r="X48" s="1289"/>
      <c r="Y48" s="1289"/>
      <c r="Z48" s="1289"/>
      <c r="AA48" s="1289"/>
      <c r="AB48" s="1289"/>
      <c r="AC48" s="1289"/>
    </row>
    <row r="49" ht="15.75" spans="1:29">
      <c r="A49" s="1245" t="s">
        <v>1063</v>
      </c>
      <c r="B49" s="1246"/>
      <c r="C49" s="2412">
        <f>R49</f>
        <v>4108</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4108</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1064</v>
      </c>
      <c r="D52" s="744"/>
      <c r="E52" s="1251">
        <f>IF(E47&lt;E48,E48/E47-1,E47/E48-1)</f>
        <v>0.0392309690828787</v>
      </c>
      <c r="F52" s="1252" t="str">
        <f>IF(OR(E52&gt;=0.3,E52&lt;=-0.3),"超过30%","")</f>
        <v/>
      </c>
      <c r="G52" s="1251">
        <f>IF(G47&lt;G48,G48/G47-1,G47/G48-1)</f>
        <v>0.124450194049159</v>
      </c>
      <c r="H52" s="1252" t="str">
        <f>IF(OR(G52&gt;=0.3,G52&lt;=-0.3),"超过30%","")</f>
        <v/>
      </c>
      <c r="I52" s="1251">
        <f>IF(I47&lt;I48,I48/I47-1,I47/I48-1)</f>
        <v>0.0303753525710566</v>
      </c>
      <c r="J52" s="1252" t="str">
        <f>IF(OR(I52&gt;=0.3,I52&lt;=-0.3),"超过30%","")</f>
        <v/>
      </c>
      <c r="K52" s="1337"/>
      <c r="L52" s="1338"/>
      <c r="M52" s="1248"/>
      <c r="N52" s="1248"/>
      <c r="O52" s="1248"/>
    </row>
    <row r="53" ht="13.5" customHeight="1" spans="1:15">
      <c r="A53" s="1248"/>
      <c r="B53" s="1248"/>
      <c r="C53" s="1250" t="s">
        <v>1065</v>
      </c>
      <c r="D53" s="743"/>
      <c r="E53" s="1251">
        <f>IF(E48&lt;G48,G48/E48-1,E48/G48-1)</f>
        <v>0.00415692387633149</v>
      </c>
      <c r="F53" s="1252" t="str">
        <f>IF(OR(E53&gt;=0.2,E53&lt;=-0.2),"超过20%","")</f>
        <v/>
      </c>
      <c r="G53" s="1251">
        <f>IF(G48&lt;I48,I48/G48-1,G48/I48-1)</f>
        <v>0.192496765847348</v>
      </c>
      <c r="H53" s="1252" t="str">
        <f>IF(OR(G53&gt;=0.2,G53&lt;=-0.2),"超过20%","")</f>
        <v/>
      </c>
      <c r="I53" s="1251">
        <f>IF(I48&lt;E48,E48/I48-1,I48/E48-1)</f>
        <v>0.197453884125747</v>
      </c>
      <c r="J53" s="1252" t="str">
        <f>IF(OR(I53&gt;=0.2,I53&lt;=-0.2),"超过20%","")</f>
        <v/>
      </c>
      <c r="K53" s="1337"/>
      <c r="L53" s="1338"/>
      <c r="M53" s="1248"/>
      <c r="N53" s="1248"/>
      <c r="O53" s="1248"/>
    </row>
    <row r="54" s="1123" customFormat="1" ht="13.5" customHeight="1" spans="1:16">
      <c r="A54" s="1253"/>
      <c r="B54" s="1253"/>
      <c r="C54" s="1250" t="s">
        <v>1066</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1067</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1068</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1069</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1070</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1071</v>
      </c>
      <c r="D76" s="1421" t="s">
        <v>1072</v>
      </c>
      <c r="E76" s="1421" t="s">
        <v>1073</v>
      </c>
      <c r="F76" s="1421" t="s">
        <v>1074</v>
      </c>
      <c r="G76" s="1421" t="s">
        <v>1075</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1071</v>
      </c>
      <c r="D78" s="1423" t="s">
        <v>1072</v>
      </c>
      <c r="E78" s="1423" t="s">
        <v>1073</v>
      </c>
      <c r="F78" s="1423" t="s">
        <v>1074</v>
      </c>
      <c r="G78" s="1423" t="s">
        <v>1075</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1071</v>
      </c>
      <c r="D80" s="1423" t="s">
        <v>1072</v>
      </c>
      <c r="E80" s="1423" t="s">
        <v>1073</v>
      </c>
      <c r="F80" s="1423" t="s">
        <v>1074</v>
      </c>
      <c r="G80" s="1423" t="s">
        <v>1075</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1076</v>
      </c>
      <c r="D82" s="1406" t="s">
        <v>1077</v>
      </c>
      <c r="E82" s="1406" t="s">
        <v>1078</v>
      </c>
      <c r="F82" s="1406" t="s">
        <v>1079</v>
      </c>
      <c r="G82" s="1406" t="s">
        <v>1080</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1071</v>
      </c>
      <c r="D84" s="1423" t="s">
        <v>1072</v>
      </c>
      <c r="E84" s="1423" t="s">
        <v>1073</v>
      </c>
      <c r="F84" s="1423" t="s">
        <v>1074</v>
      </c>
      <c r="G84" s="1423" t="s">
        <v>1075</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1081</v>
      </c>
      <c r="D88" s="2439" t="s">
        <v>1082</v>
      </c>
      <c r="E88" s="2439" t="s">
        <v>1030</v>
      </c>
      <c r="F88" s="2440" t="s">
        <v>1083</v>
      </c>
      <c r="G88" s="2439" t="s">
        <v>1031</v>
      </c>
      <c r="H88" s="2439" t="s">
        <v>1084</v>
      </c>
      <c r="I88" s="2439" t="s">
        <v>1085</v>
      </c>
      <c r="J88" s="2439" t="s">
        <v>1086</v>
      </c>
      <c r="K88" s="2439" t="s">
        <v>1087</v>
      </c>
      <c r="L88" s="2439" t="s">
        <v>1088</v>
      </c>
      <c r="M88" s="2449" t="s">
        <v>1032</v>
      </c>
      <c r="N88" s="1701"/>
      <c r="O88" s="1701"/>
      <c r="P88" s="2436"/>
      <c r="Q88" s="1698"/>
    </row>
    <row r="89" s="1120" customFormat="1" ht="15.75" spans="1:17">
      <c r="A89" s="1424"/>
      <c r="B89" s="1407"/>
      <c r="C89" s="1425">
        <v>100</v>
      </c>
      <c r="D89" s="1408">
        <f t="shared" ref="D89:M89" si="24">C89-$K26</f>
        <v>99.5</v>
      </c>
      <c r="E89" s="1408">
        <f t="shared" si="24"/>
        <v>99</v>
      </c>
      <c r="F89" s="1408">
        <f t="shared" si="24"/>
        <v>98.5</v>
      </c>
      <c r="G89" s="1408">
        <f t="shared" si="24"/>
        <v>98</v>
      </c>
      <c r="H89" s="1408">
        <f t="shared" si="24"/>
        <v>97.5</v>
      </c>
      <c r="I89" s="1408">
        <f t="shared" si="24"/>
        <v>97</v>
      </c>
      <c r="J89" s="1408">
        <f t="shared" si="24"/>
        <v>96.5</v>
      </c>
      <c r="K89" s="1408">
        <f t="shared" si="24"/>
        <v>96</v>
      </c>
      <c r="L89" s="1408">
        <f t="shared" si="24"/>
        <v>95.5</v>
      </c>
      <c r="M89" s="1408">
        <f t="shared" si="24"/>
        <v>95</v>
      </c>
      <c r="N89" s="1705"/>
      <c r="O89" s="1705"/>
      <c r="P89" s="2436"/>
      <c r="Q89" s="1698"/>
    </row>
    <row r="90" s="1122" customFormat="1" ht="15.75" spans="1:17">
      <c r="A90" s="1412"/>
      <c r="B90" s="1405" t="str">
        <f>B27</f>
        <v>楼层</v>
      </c>
      <c r="C90" s="2441" t="s">
        <v>1034</v>
      </c>
      <c r="D90" s="2441" t="s">
        <v>1035</v>
      </c>
      <c r="E90" s="2441" t="s">
        <v>1036</v>
      </c>
      <c r="F90" s="2441" t="s">
        <v>1037</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1038</v>
      </c>
      <c r="B100" s="1402" t="s">
        <v>1039</v>
      </c>
      <c r="C100" s="2443" t="s">
        <v>1040</v>
      </c>
      <c r="D100" s="2443" t="s">
        <v>1089</v>
      </c>
      <c r="E100" s="2443" t="s">
        <v>1090</v>
      </c>
      <c r="F100" s="2443" t="s">
        <v>1091</v>
      </c>
      <c r="G100" s="2443" t="s">
        <v>1041</v>
      </c>
      <c r="H100" s="1330"/>
      <c r="I100" s="1330"/>
      <c r="J100" s="1330"/>
      <c r="K100" s="1447"/>
      <c r="L100" s="1448"/>
      <c r="M100" s="1449"/>
      <c r="N100" s="1703"/>
      <c r="O100" s="1703"/>
      <c r="P100" s="2436"/>
      <c r="Q100" s="1698"/>
    </row>
    <row r="101" ht="15.75" spans="1:17">
      <c r="A101" s="1403"/>
      <c r="B101" s="1407"/>
      <c r="C101" s="1408">
        <v>100</v>
      </c>
      <c r="D101" s="1408">
        <f t="shared" ref="D101:M101" si="25">C101-$K32</f>
        <v>99.5</v>
      </c>
      <c r="E101" s="1408">
        <f t="shared" si="25"/>
        <v>99</v>
      </c>
      <c r="F101" s="1408">
        <f t="shared" si="25"/>
        <v>98.5</v>
      </c>
      <c r="G101" s="1408">
        <f t="shared" si="25"/>
        <v>98</v>
      </c>
      <c r="H101" s="1408">
        <f t="shared" si="25"/>
        <v>97.5</v>
      </c>
      <c r="I101" s="1408">
        <f t="shared" si="25"/>
        <v>97</v>
      </c>
      <c r="J101" s="1408">
        <f t="shared" si="25"/>
        <v>96.5</v>
      </c>
      <c r="K101" s="1408">
        <f t="shared" si="25"/>
        <v>96</v>
      </c>
      <c r="L101" s="1408">
        <f t="shared" si="25"/>
        <v>95.5</v>
      </c>
      <c r="M101" s="1408">
        <f t="shared" si="25"/>
        <v>95</v>
      </c>
      <c r="N101" s="1705"/>
      <c r="O101" s="1705"/>
      <c r="P101" s="2436"/>
      <c r="Q101" s="1698"/>
    </row>
    <row r="102" ht="15.75" spans="1:17">
      <c r="A102" s="1403"/>
      <c r="B102" s="1405" t="s">
        <v>1043</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1044</v>
      </c>
      <c r="C105" s="2439" t="s">
        <v>1046</v>
      </c>
      <c r="D105" s="2439" t="s">
        <v>1045</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97</v>
      </c>
      <c r="E106" s="1408">
        <f t="shared" si="27"/>
        <v>94</v>
      </c>
      <c r="F106" s="1408">
        <f t="shared" si="27"/>
        <v>91</v>
      </c>
      <c r="G106" s="1408">
        <f t="shared" si="27"/>
        <v>88</v>
      </c>
      <c r="H106" s="1408">
        <f t="shared" si="27"/>
        <v>85</v>
      </c>
      <c r="I106" s="1408">
        <f t="shared" si="27"/>
        <v>82</v>
      </c>
      <c r="J106" s="1408">
        <f t="shared" si="27"/>
        <v>79</v>
      </c>
      <c r="K106" s="1408">
        <f t="shared" si="27"/>
        <v>76</v>
      </c>
      <c r="L106" s="1408">
        <f t="shared" si="27"/>
        <v>73</v>
      </c>
      <c r="M106" s="1408">
        <f t="shared" si="27"/>
        <v>70</v>
      </c>
      <c r="N106" s="1705"/>
      <c r="O106" s="1705"/>
      <c r="P106" s="2436"/>
      <c r="Q106" s="1698"/>
    </row>
    <row r="107" ht="15.75" spans="1:17">
      <c r="A107" s="1435"/>
      <c r="B107" s="1405" t="s">
        <v>1047</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1048</v>
      </c>
      <c r="C109" s="2439" t="s">
        <v>1093</v>
      </c>
      <c r="D109" s="2439" t="s">
        <v>1055</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1049</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1050</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1051</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1052</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1053</v>
      </c>
      <c r="C122" s="2439" t="s">
        <v>1093</v>
      </c>
      <c r="D122" s="2439" t="s">
        <v>1055</v>
      </c>
      <c r="E122" s="2439" t="s">
        <v>1054</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1056</v>
      </c>
      <c r="C124" s="1423" t="s">
        <v>1071</v>
      </c>
      <c r="D124" s="1423" t="s">
        <v>1072</v>
      </c>
      <c r="E124" s="1423" t="s">
        <v>1073</v>
      </c>
      <c r="F124" s="1423" t="s">
        <v>1074</v>
      </c>
      <c r="G124" s="1423" t="s">
        <v>1075</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1059</v>
      </c>
      <c r="D126" s="2439" t="s">
        <v>1058</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12</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1469</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1</v>
      </c>
      <c r="D9" s="420">
        <f ca="1">IF(B1="",'数据-汇总表'!E5,IF(INDIRECT("'数据-取费表'!c"&amp;$G$1)="住宅",INDIRECT("'数据-取费表'!k"&amp;$G$1),0))</f>
        <v>81.7</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81.7</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14</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12</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81.7</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16</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10</v>
      </c>
      <c r="D51" s="430"/>
      <c r="E51" s="430"/>
      <c r="F51" s="468"/>
      <c r="G51" s="435" t="s">
        <v>1206</v>
      </c>
    </row>
    <row r="52" s="383" customFormat="1" ht="16.5" spans="1:7">
      <c r="A52" s="469" t="s">
        <v>1207</v>
      </c>
      <c r="B52" s="470"/>
      <c r="C52" s="471">
        <f ca="1">C31+C51</f>
        <v>12</v>
      </c>
      <c r="D52" s="470"/>
      <c r="E52" s="470"/>
      <c r="F52" s="470"/>
      <c r="G52" s="472"/>
    </row>
    <row r="55" ht="15" spans="2:3">
      <c r="B55" s="473" t="s">
        <v>1208</v>
      </c>
      <c r="C55" s="474"/>
    </row>
    <row r="56" spans="2:3">
      <c r="B56" s="475" t="s">
        <v>1209</v>
      </c>
      <c r="C56" s="477">
        <f ca="1">1-C57</f>
        <v>0.167</v>
      </c>
    </row>
    <row r="57" spans="2:3">
      <c r="B57" s="475" t="s">
        <v>1210</v>
      </c>
      <c r="C57" s="476">
        <f ca="1">ROUND(C51/C52,3)</f>
        <v>0.833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48.9946</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307407</v>
      </c>
      <c r="D5" s="404" t="s">
        <v>1122</v>
      </c>
      <c r="E5" s="405" t="s">
        <v>1123</v>
      </c>
      <c r="F5" s="405" t="s">
        <v>890</v>
      </c>
      <c r="G5" s="406"/>
    </row>
    <row r="6" s="384" customFormat="1" ht="13.5" customHeight="1" spans="1:7">
      <c r="A6" s="407" t="s">
        <v>1124</v>
      </c>
      <c r="B6" s="408" t="s">
        <v>1125</v>
      </c>
      <c r="C6" s="409">
        <f ca="1">ROUND(3496*D19,0)</f>
        <v>285623</v>
      </c>
      <c r="D6" s="410"/>
      <c r="E6" s="411"/>
      <c r="F6" s="411"/>
      <c r="G6" s="412"/>
    </row>
    <row r="7" s="384" customFormat="1" ht="13.5" customHeight="1" spans="1:7">
      <c r="A7" s="407" t="s">
        <v>1126</v>
      </c>
      <c r="B7" s="408" t="s">
        <v>1127</v>
      </c>
      <c r="C7" s="413">
        <f ca="1">ROUND(C6*F7,0)</f>
        <v>8712</v>
      </c>
      <c r="D7" s="413"/>
      <c r="E7" s="411"/>
      <c r="F7" s="414">
        <f>IF(项目基本情况!B8="出让",0,'数据-取费表'!B48+'数据-取费表'!B49)</f>
        <v>0.0305</v>
      </c>
      <c r="G7" s="412"/>
    </row>
    <row r="8" s="385" customFormat="1" spans="1:7">
      <c r="A8" s="407" t="s">
        <v>1128</v>
      </c>
      <c r="B8" s="408" t="s">
        <v>1129</v>
      </c>
      <c r="C8" s="413">
        <f ca="1">IF(G8="已包含在土地购买价格中",0,C9+C10)</f>
        <v>13072</v>
      </c>
      <c r="D8" s="415"/>
      <c r="E8" s="413"/>
      <c r="F8" s="414"/>
      <c r="G8" s="2393"/>
    </row>
    <row r="9" s="384" customFormat="1" ht="13.5" customHeight="1" spans="1:7">
      <c r="A9" s="417" t="s">
        <v>1130</v>
      </c>
      <c r="B9" s="418" t="s">
        <v>1131</v>
      </c>
      <c r="C9" s="419">
        <f ca="1">ROUND(D9*E9,0)</f>
        <v>13072</v>
      </c>
      <c r="D9" s="420">
        <f ca="1">IF(B1="",'数据-汇总表'!E5,IF(INDIRECT("'数据-取费表'!c"&amp;$G$1)="住宅",INDIRECT("'数据-取费表'!k"&amp;$G$1),0))</f>
        <v>81.7</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16340</v>
      </c>
      <c r="D19" s="428">
        <f ca="1">D9+D10</f>
        <v>81.7</v>
      </c>
      <c r="E19" s="404">
        <f>'数据-取费表'!B31</f>
        <v>200</v>
      </c>
      <c r="F19" s="429"/>
      <c r="G19" s="2393"/>
    </row>
    <row r="20" s="384" customFormat="1" ht="13.5" customHeight="1" spans="1:7">
      <c r="A20" s="402" t="s">
        <v>1153</v>
      </c>
      <c r="B20" s="403" t="s">
        <v>1154</v>
      </c>
      <c r="C20" s="430">
        <f ca="1">ROUND((C5+C19)*F20,0)</f>
        <v>3237</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17277</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16323</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868</v>
      </c>
      <c r="D24" s="440"/>
      <c r="E24" s="440"/>
      <c r="F24" s="441"/>
      <c r="G24" s="442" t="s">
        <v>1165</v>
      </c>
    </row>
    <row r="25" s="384" customFormat="1" ht="24" spans="1:7">
      <c r="A25" s="438" t="s">
        <v>1128</v>
      </c>
      <c r="B25" s="408" t="s">
        <v>1166</v>
      </c>
      <c r="C25" s="2395">
        <f ca="1">ROUND(IF('数据-取费表'!B22&lt;=1,C20*F22*'数据-取费表'!B22/2,C20*(POWER((1+F22),'数据-取费表'!B22/2)-1)),0)</f>
        <v>86</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16349</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16349</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386423</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148082</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122550</v>
      </c>
      <c r="D34" s="410"/>
      <c r="E34" s="413"/>
      <c r="F34" s="459"/>
      <c r="G34" s="412"/>
    </row>
    <row r="35" ht="13.5" customHeight="1" spans="1:7">
      <c r="A35" s="438" t="s">
        <v>1126</v>
      </c>
      <c r="B35" s="408" t="s">
        <v>1184</v>
      </c>
      <c r="C35" s="413">
        <f ca="1">ROUND(C34*F35,0)</f>
        <v>3677</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3677</v>
      </c>
      <c r="D36" s="413"/>
      <c r="E36" s="413"/>
      <c r="F36" s="460">
        <f>'数据-取费表'!B34</f>
        <v>0.03</v>
      </c>
      <c r="G36" s="461" t="s">
        <v>1187</v>
      </c>
    </row>
    <row r="37" s="386" customFormat="1" ht="13.5" customHeight="1" spans="1:7">
      <c r="A37" s="438" t="s">
        <v>1168</v>
      </c>
      <c r="B37" s="408" t="s">
        <v>1188</v>
      </c>
      <c r="C37" s="451">
        <f ca="1">ROUND(E37*D37,0)</f>
        <v>16340</v>
      </c>
      <c r="D37" s="410">
        <f ca="1">D19</f>
        <v>81.7</v>
      </c>
      <c r="E37" s="451">
        <f>'数据-取费表'!B35</f>
        <v>200</v>
      </c>
      <c r="F37" s="460"/>
      <c r="G37" s="462"/>
    </row>
    <row r="38" ht="13.5" customHeight="1" spans="1:7">
      <c r="A38" s="438" t="s">
        <v>1190</v>
      </c>
      <c r="B38" s="408" t="s">
        <v>926</v>
      </c>
      <c r="C38" s="413">
        <f ca="1">ROUND(C34*F38,0)</f>
        <v>1838</v>
      </c>
      <c r="D38" s="413"/>
      <c r="E38" s="413"/>
      <c r="F38" s="460">
        <f>'数据-取费表'!B36</f>
        <v>0.015</v>
      </c>
      <c r="G38" s="412" t="s">
        <v>1185</v>
      </c>
    </row>
    <row r="39" s="384" customFormat="1" ht="13.5" customHeight="1" spans="1:7">
      <c r="A39" s="402" t="s">
        <v>1151</v>
      </c>
      <c r="B39" s="403" t="s">
        <v>1154</v>
      </c>
      <c r="C39" s="430">
        <f ca="1">ROUND(C33*F20,0)</f>
        <v>1481</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3971</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3932</v>
      </c>
      <c r="D42" s="440"/>
      <c r="E42" s="440"/>
      <c r="F42" s="441"/>
      <c r="G42" s="464" t="s">
        <v>1214</v>
      </c>
    </row>
    <row r="43" ht="13.5" customHeight="1" spans="1:7">
      <c r="A43" s="438" t="s">
        <v>1126</v>
      </c>
      <c r="B43" s="408" t="s">
        <v>1164</v>
      </c>
      <c r="C43" s="440">
        <f ca="1">ROUND(IF('数据-取费表'!B22&lt;=1,C39*F22*'数据-取费表'!B20/2,C39*(POWER((1+F22),'数据-取费表'!B20/2)-1)),0)</f>
        <v>39</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7478</v>
      </c>
      <c r="D45" s="433">
        <f ca="1">C47</f>
        <v>0.0005</v>
      </c>
      <c r="E45" s="434" t="s">
        <v>1192</v>
      </c>
      <c r="F45" s="448">
        <f ca="1">F27</f>
        <v>0.05</v>
      </c>
      <c r="G45" s="449" t="s">
        <v>1195</v>
      </c>
    </row>
    <row r="46" s="384" customFormat="1" ht="13.5" customHeight="1" spans="1:7">
      <c r="A46" s="438" t="s">
        <v>1124</v>
      </c>
      <c r="B46" s="450" t="s">
        <v>1196</v>
      </c>
      <c r="C46" s="451">
        <f ca="1">ROUND((C33+C39)*F27,0)</f>
        <v>7478</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172538</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103523</v>
      </c>
      <c r="D51" s="430"/>
      <c r="E51" s="430"/>
      <c r="F51" s="468"/>
      <c r="G51" s="435" t="s">
        <v>1206</v>
      </c>
    </row>
    <row r="52" s="383" customFormat="1" ht="16.5" spans="1:7">
      <c r="A52" s="469" t="s">
        <v>1207</v>
      </c>
      <c r="B52" s="470"/>
      <c r="C52" s="471">
        <f ca="1">C31+C51</f>
        <v>489946</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-1</v>
      </c>
      <c r="C2" s="2304" t="s">
        <v>1218</v>
      </c>
      <c r="D2" s="2304"/>
      <c r="E2" s="2302"/>
      <c r="F2" s="2302"/>
      <c r="G2" s="2302"/>
      <c r="H2" s="2302"/>
      <c r="I2" s="2302"/>
      <c r="J2" s="2302"/>
      <c r="K2" s="2302"/>
    </row>
    <row r="3" ht="18" customHeight="1" spans="1:11">
      <c r="A3" s="397" t="s">
        <v>992</v>
      </c>
      <c r="B3" s="398">
        <f ca="1">ROUND(B2*10000/IF(C1="",'数据-汇总表'!E3,INDIRECT("'数据-取费表'!K"&amp;$K$1)),0)</f>
        <v>-122</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81.7</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81.7</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1</v>
      </c>
      <c r="D18" s="2327"/>
      <c r="E18" s="1050"/>
      <c r="F18" s="2328"/>
      <c r="G18" s="2332"/>
      <c r="H18" s="2333"/>
      <c r="I18" s="2379" t="s">
        <v>1247</v>
      </c>
      <c r="J18" s="2185"/>
      <c r="K18" s="2186"/>
    </row>
    <row r="19" s="2293" customFormat="1" ht="13.5" customHeight="1" spans="1:11">
      <c r="A19" s="2322" t="s">
        <v>1130</v>
      </c>
      <c r="B19" s="2323" t="s">
        <v>445</v>
      </c>
      <c r="C19" s="1050">
        <f ca="1">ROUND(D19*E19/10000,0)</f>
        <v>1</v>
      </c>
      <c r="D19" s="2327">
        <f ca="1">IF(C1="",'数据-汇总表'!E5,IF(INDIRECT("'数据-取费表'!c"&amp;$K$1)="住宅",INDIRECT("'数据-取费表'!k"&amp;$K$1),0))</f>
        <v>81.7</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1</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-1</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81.7</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37839</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1038</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1042</v>
      </c>
      <c r="Q32" s="700" t="str">
        <f t="shared" si="11"/>
        <v>商业类型</v>
      </c>
      <c r="R32" s="1367" t="s">
        <v>1009</v>
      </c>
      <c r="S32" s="1368">
        <f t="shared" si="12"/>
        <v>100</v>
      </c>
      <c r="T32" s="1367" t="s">
        <v>1009</v>
      </c>
      <c r="U32" s="1368">
        <f t="shared" si="13"/>
        <v>100</v>
      </c>
      <c r="V32" s="1367" t="s">
        <v>1009</v>
      </c>
      <c r="W32" s="1368">
        <f t="shared" si="14"/>
        <v>100</v>
      </c>
      <c r="X32" s="1354"/>
      <c r="Y32" s="1329" t="s">
        <v>1042</v>
      </c>
      <c r="Z32" s="1341" t="str">
        <f t="shared" si="15"/>
        <v>商业类型</v>
      </c>
      <c r="AA32" s="1383">
        <f t="shared" si="3"/>
        <v>1</v>
      </c>
      <c r="AB32" s="1383">
        <f t="shared" si="4"/>
        <v>1</v>
      </c>
      <c r="AC32" s="1383">
        <f t="shared" si="5"/>
        <v>1</v>
      </c>
    </row>
    <row r="33" s="1122" customFormat="1" ht="15" spans="1:29">
      <c r="A33" s="1229"/>
      <c r="B33" s="1170" t="s">
        <v>1043</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1044</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1048</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1050</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1042</v>
      </c>
      <c r="Q38" s="700" t="str">
        <f t="shared" si="11"/>
        <v>业态</v>
      </c>
      <c r="R38" s="1367" t="s">
        <v>1009</v>
      </c>
      <c r="S38" s="1368">
        <f t="shared" si="12"/>
        <v>100</v>
      </c>
      <c r="T38" s="1367" t="s">
        <v>1009</v>
      </c>
      <c r="U38" s="1368">
        <f t="shared" si="13"/>
        <v>100</v>
      </c>
      <c r="V38" s="1367" t="s">
        <v>1009</v>
      </c>
      <c r="W38" s="1368">
        <f t="shared" si="14"/>
        <v>100</v>
      </c>
      <c r="X38" s="1354"/>
      <c r="Y38" s="1329" t="s">
        <v>1042</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1053</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1056</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1060</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1061</v>
      </c>
      <c r="B48" s="1583"/>
      <c r="C48" s="1584" t="e">
        <f>R49</f>
        <v>#DIV/0!</v>
      </c>
      <c r="D48" s="1242" t="s">
        <v>1062</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1063</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1064</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1065</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1066</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1067</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1068</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1069</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1070</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1071</v>
      </c>
      <c r="D76" s="1421" t="s">
        <v>1072</v>
      </c>
      <c r="E76" s="1421" t="s">
        <v>1073</v>
      </c>
      <c r="F76" s="1421" t="s">
        <v>1074</v>
      </c>
      <c r="G76" s="1421" t="s">
        <v>1075</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1071</v>
      </c>
      <c r="D78" s="1423" t="s">
        <v>1072</v>
      </c>
      <c r="E78" s="1423" t="s">
        <v>1073</v>
      </c>
      <c r="F78" s="1423" t="s">
        <v>1074</v>
      </c>
      <c r="G78" s="1423" t="s">
        <v>1075</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1071</v>
      </c>
      <c r="D80" s="1423" t="s">
        <v>1072</v>
      </c>
      <c r="E80" s="1423" t="s">
        <v>1073</v>
      </c>
      <c r="F80" s="1423" t="s">
        <v>1074</v>
      </c>
      <c r="G80" s="1423" t="s">
        <v>1075</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1076</v>
      </c>
      <c r="D82" s="1428" t="s">
        <v>1077</v>
      </c>
      <c r="E82" s="1428" t="s">
        <v>1078</v>
      </c>
      <c r="F82" s="1428" t="s">
        <v>1079</v>
      </c>
      <c r="G82" s="1428" t="s">
        <v>1080</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1071</v>
      </c>
      <c r="D84" s="1423" t="s">
        <v>1072</v>
      </c>
      <c r="E84" s="1423" t="s">
        <v>1073</v>
      </c>
      <c r="F84" s="1423" t="s">
        <v>1074</v>
      </c>
      <c r="G84" s="1423" t="s">
        <v>1075</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1038</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1044</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1048</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1050</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1053</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1056</v>
      </c>
      <c r="C124" s="1423" t="s">
        <v>1071</v>
      </c>
      <c r="D124" s="1423" t="s">
        <v>1072</v>
      </c>
      <c r="E124" s="1423" t="s">
        <v>1073</v>
      </c>
      <c r="F124" s="1423" t="s">
        <v>1074</v>
      </c>
      <c r="G124" s="1423" t="s">
        <v>1075</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81.7</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37839</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1038</v>
      </c>
      <c r="B33" s="1166" t="s">
        <v>1039</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1042</v>
      </c>
      <c r="Q33" s="700" t="str">
        <f t="shared" si="11"/>
        <v>建筑类型</v>
      </c>
      <c r="R33" s="1367" t="s">
        <v>1009</v>
      </c>
      <c r="S33" s="1368">
        <f t="shared" si="12"/>
        <v>100</v>
      </c>
      <c r="T33" s="1367" t="s">
        <v>1009</v>
      </c>
      <c r="U33" s="1368">
        <f t="shared" si="13"/>
        <v>100</v>
      </c>
      <c r="V33" s="1367" t="s">
        <v>1009</v>
      </c>
      <c r="W33" s="1368">
        <f t="shared" si="14"/>
        <v>100</v>
      </c>
      <c r="X33" s="1354"/>
      <c r="Y33" s="1329" t="s">
        <v>1042</v>
      </c>
      <c r="Z33" s="1341" t="str">
        <f t="shared" si="15"/>
        <v>建筑类型</v>
      </c>
      <c r="AA33" s="1383">
        <f t="shared" si="3"/>
        <v>1</v>
      </c>
      <c r="AB33" s="1383">
        <f t="shared" si="4"/>
        <v>1</v>
      </c>
      <c r="AC33" s="1748">
        <f t="shared" si="5"/>
        <v>1</v>
      </c>
    </row>
    <row r="34" s="1122" customFormat="1" ht="15" spans="1:29">
      <c r="A34" s="1229"/>
      <c r="B34" s="1170" t="s">
        <v>1043</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1044</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1048</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1049</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1042</v>
      </c>
      <c r="Q39" s="700" t="str">
        <f t="shared" si="11"/>
        <v>物业管理</v>
      </c>
      <c r="R39" s="1367" t="s">
        <v>1009</v>
      </c>
      <c r="S39" s="1368">
        <f t="shared" si="12"/>
        <v>100</v>
      </c>
      <c r="T39" s="1367" t="s">
        <v>1009</v>
      </c>
      <c r="U39" s="1368">
        <f t="shared" si="13"/>
        <v>100</v>
      </c>
      <c r="V39" s="1367" t="s">
        <v>1009</v>
      </c>
      <c r="W39" s="1368">
        <f t="shared" si="14"/>
        <v>100</v>
      </c>
      <c r="X39" s="1354"/>
      <c r="Y39" s="1329" t="s">
        <v>1042</v>
      </c>
      <c r="Z39" s="1341" t="str">
        <f t="shared" si="15"/>
        <v>物业管理</v>
      </c>
      <c r="AA39" s="1383">
        <f t="shared" si="3"/>
        <v>1</v>
      </c>
      <c r="AB39" s="1383">
        <f t="shared" si="4"/>
        <v>1</v>
      </c>
      <c r="AC39" s="1748">
        <f t="shared" si="5"/>
        <v>1</v>
      </c>
    </row>
    <row r="40" ht="15" spans="1:29">
      <c r="A40" s="1224"/>
      <c r="B40" s="1170" t="s">
        <v>1050</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1053</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1056</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1060</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1061</v>
      </c>
      <c r="B49" s="1583"/>
      <c r="C49" s="1584" t="e">
        <f>R50</f>
        <v>#DIV/0!</v>
      </c>
      <c r="D49" s="1242" t="s">
        <v>1062</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1063</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1064</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1065</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1066</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1067</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1068</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1069</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1070</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1071</v>
      </c>
      <c r="D77" s="1421" t="s">
        <v>1072</v>
      </c>
      <c r="E77" s="1421" t="s">
        <v>1073</v>
      </c>
      <c r="F77" s="1421" t="s">
        <v>1074</v>
      </c>
      <c r="G77" s="1421" t="s">
        <v>1075</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1071</v>
      </c>
      <c r="D79" s="1423" t="s">
        <v>1072</v>
      </c>
      <c r="E79" s="1423" t="s">
        <v>1073</v>
      </c>
      <c r="F79" s="1423" t="s">
        <v>1074</v>
      </c>
      <c r="G79" s="1423" t="s">
        <v>1075</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1071</v>
      </c>
      <c r="D81" s="1423" t="s">
        <v>1072</v>
      </c>
      <c r="E81" s="1423" t="s">
        <v>1073</v>
      </c>
      <c r="F81" s="1423" t="s">
        <v>1074</v>
      </c>
      <c r="G81" s="1423" t="s">
        <v>1075</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1076</v>
      </c>
      <c r="D83" s="1428" t="s">
        <v>1077</v>
      </c>
      <c r="E83" s="1428" t="s">
        <v>1078</v>
      </c>
      <c r="F83" s="1428" t="s">
        <v>1079</v>
      </c>
      <c r="G83" s="1428" t="s">
        <v>1080</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1071</v>
      </c>
      <c r="D85" s="1423" t="s">
        <v>1072</v>
      </c>
      <c r="E85" s="1423" t="s">
        <v>1073</v>
      </c>
      <c r="F85" s="1423" t="s">
        <v>1074</v>
      </c>
      <c r="G85" s="1423" t="s">
        <v>1075</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1038</v>
      </c>
      <c r="B101" s="1402" t="s">
        <v>1039</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1044</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1048</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1049</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1050</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1053</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1056</v>
      </c>
      <c r="C125" s="1423" t="s">
        <v>1071</v>
      </c>
      <c r="D125" s="1423" t="s">
        <v>1072</v>
      </c>
      <c r="E125" s="1423" t="s">
        <v>1073</v>
      </c>
      <c r="F125" s="1423" t="s">
        <v>1074</v>
      </c>
      <c r="G125" s="1423" t="s">
        <v>1075</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81.7</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1038</v>
      </c>
      <c r="B29" s="1166" t="s">
        <v>1039</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1042</v>
      </c>
      <c r="Q29" s="700" t="str">
        <f t="shared" si="11"/>
        <v>建筑类型</v>
      </c>
      <c r="R29" s="1367" t="s">
        <v>1009</v>
      </c>
      <c r="S29" s="1368">
        <f t="shared" si="12"/>
        <v>100</v>
      </c>
      <c r="T29" s="1367" t="s">
        <v>1009</v>
      </c>
      <c r="U29" s="1368">
        <f t="shared" si="13"/>
        <v>100</v>
      </c>
      <c r="V29" s="1367" t="s">
        <v>1009</v>
      </c>
      <c r="W29" s="1368">
        <f t="shared" si="14"/>
        <v>100</v>
      </c>
      <c r="X29" s="1354"/>
      <c r="Y29" s="1329" t="s">
        <v>1042</v>
      </c>
      <c r="Z29" s="1341" t="str">
        <f t="shared" si="15"/>
        <v>建筑类型</v>
      </c>
      <c r="AA29" s="1383">
        <f t="shared" si="3"/>
        <v>1</v>
      </c>
      <c r="AB29" s="1383">
        <f t="shared" si="4"/>
        <v>1</v>
      </c>
      <c r="AC29" s="1383">
        <f t="shared" si="5"/>
        <v>1</v>
      </c>
    </row>
    <row r="30" s="1122" customFormat="1" ht="15" spans="1:29">
      <c r="A30" s="1229"/>
      <c r="B30" s="1170" t="s">
        <v>1043</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1044</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1048</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1049</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1050</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1042</v>
      </c>
      <c r="Q35" s="700" t="str">
        <f t="shared" si="11"/>
        <v>市政基础设施</v>
      </c>
      <c r="R35" s="1367" t="s">
        <v>1009</v>
      </c>
      <c r="S35" s="1368">
        <f t="shared" si="12"/>
        <v>100</v>
      </c>
      <c r="T35" s="1367" t="s">
        <v>1009</v>
      </c>
      <c r="U35" s="1368">
        <f t="shared" si="13"/>
        <v>100</v>
      </c>
      <c r="V35" s="1367" t="s">
        <v>1009</v>
      </c>
      <c r="W35" s="1368">
        <f t="shared" si="14"/>
        <v>100</v>
      </c>
      <c r="X35" s="1354"/>
      <c r="Y35" s="1329" t="s">
        <v>1042</v>
      </c>
      <c r="Z35" s="1341" t="str">
        <f t="shared" si="15"/>
        <v>市政基础设施</v>
      </c>
      <c r="AA35" s="1383">
        <f t="shared" si="3"/>
        <v>1</v>
      </c>
      <c r="AB35" s="1383">
        <f t="shared" si="4"/>
        <v>1</v>
      </c>
      <c r="AC35" s="1383">
        <f t="shared" si="5"/>
        <v>1</v>
      </c>
    </row>
    <row r="36" ht="15" spans="1:29">
      <c r="A36" s="1224"/>
      <c r="B36" s="1170" t="s">
        <v>1053</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1060</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1061</v>
      </c>
      <c r="B42" s="1583"/>
      <c r="C42" s="1584" t="e">
        <f>R43</f>
        <v>#DIV/0!</v>
      </c>
      <c r="D42" s="1242" t="s">
        <v>1062</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1063</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1067</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1068</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1069</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1070</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1071</v>
      </c>
      <c r="D70" s="1421" t="s">
        <v>1072</v>
      </c>
      <c r="E70" s="1421" t="s">
        <v>1073</v>
      </c>
      <c r="F70" s="1421" t="s">
        <v>1074</v>
      </c>
      <c r="G70" s="1421" t="s">
        <v>1075</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1071</v>
      </c>
      <c r="D72" s="1423" t="s">
        <v>1072</v>
      </c>
      <c r="E72" s="1423" t="s">
        <v>1073</v>
      </c>
      <c r="F72" s="1423" t="s">
        <v>1074</v>
      </c>
      <c r="G72" s="1423" t="s">
        <v>1075</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1071</v>
      </c>
      <c r="D74" s="1423" t="s">
        <v>1072</v>
      </c>
      <c r="E74" s="1423" t="s">
        <v>1073</v>
      </c>
      <c r="F74" s="1423" t="s">
        <v>1074</v>
      </c>
      <c r="G74" s="1423" t="s">
        <v>1075</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1076</v>
      </c>
      <c r="D76" s="1428" t="s">
        <v>1077</v>
      </c>
      <c r="E76" s="1428" t="s">
        <v>1078</v>
      </c>
      <c r="F76" s="1428" t="s">
        <v>1079</v>
      </c>
      <c r="G76" s="1428" t="s">
        <v>1080</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1071</v>
      </c>
      <c r="D78" s="1423" t="s">
        <v>1072</v>
      </c>
      <c r="E78" s="1423" t="s">
        <v>1073</v>
      </c>
      <c r="F78" s="1423" t="s">
        <v>1074</v>
      </c>
      <c r="G78" s="1423" t="s">
        <v>1075</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1038</v>
      </c>
      <c r="B88" s="1402" t="s">
        <v>1039</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1044</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1048</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1049</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1050</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1053</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1071</v>
      </c>
      <c r="D106" s="1423" t="s">
        <v>1072</v>
      </c>
      <c r="E106" s="1423" t="s">
        <v>1073</v>
      </c>
      <c r="F106" s="1423" t="s">
        <v>1074</v>
      </c>
      <c r="G106" s="1423" t="s">
        <v>1075</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估价对象为北京市房地产，为所有。根据《国有土地使用证》[]，估价对象（分摊）出让国有建设用地使用权面积为0平方米，建筑面积为81.7平方米。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估价对象为北京市房地产,属开发建设的，该项目尚在开发建设中。根据《国有土地使用证》[]，估价对象（分摊）出让国有建设用地使用权面积为0平方米，规划建筑面积为81.7平方米。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2003年8月6日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本次估价的“房地产价值”是指在正常市场情况下，在价值时点2003年8月6日，估价对象规划用途为，土地取得方式为划拨，假定未设立法定优先受偿款下的房地产市场价值。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1038</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1042</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1042</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1048</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1042</v>
      </c>
      <c r="Q32" s="700" t="str">
        <f t="shared" si="11"/>
        <v>车位类型</v>
      </c>
      <c r="R32" s="1367" t="s">
        <v>1009</v>
      </c>
      <c r="S32" s="1368">
        <f t="shared" si="12"/>
        <v>100</v>
      </c>
      <c r="T32" s="1367" t="s">
        <v>1009</v>
      </c>
      <c r="U32" s="1368">
        <f t="shared" si="13"/>
        <v>100</v>
      </c>
      <c r="V32" s="1367" t="s">
        <v>1009</v>
      </c>
      <c r="W32" s="1368">
        <f t="shared" si="14"/>
        <v>100</v>
      </c>
      <c r="X32" s="1354"/>
      <c r="Y32" s="1329" t="s">
        <v>1042</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1061</v>
      </c>
      <c r="B38" s="1583" t="str">
        <f>B37</f>
        <v>元/平方米</v>
      </c>
      <c r="C38" s="1584" t="e">
        <f>R39</f>
        <v>#DIV/0!</v>
      </c>
      <c r="D38" s="1242" t="s">
        <v>1062</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1064</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1065</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1066</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1067</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1068</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1069</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1070</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1071</v>
      </c>
      <c r="D63" s="1421" t="s">
        <v>1072</v>
      </c>
      <c r="E63" s="1421" t="s">
        <v>1073</v>
      </c>
      <c r="F63" s="1421" t="s">
        <v>1074</v>
      </c>
      <c r="G63" s="1421" t="s">
        <v>1075</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1071</v>
      </c>
      <c r="D65" s="1423" t="s">
        <v>1072</v>
      </c>
      <c r="E65" s="1423" t="s">
        <v>1073</v>
      </c>
      <c r="F65" s="1423" t="s">
        <v>1074</v>
      </c>
      <c r="G65" s="1423" t="s">
        <v>1075</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1076</v>
      </c>
      <c r="D67" s="1428" t="s">
        <v>1077</v>
      </c>
      <c r="E67" s="1428" t="s">
        <v>1078</v>
      </c>
      <c r="F67" s="1428" t="s">
        <v>1079</v>
      </c>
      <c r="G67" s="1428" t="s">
        <v>1080</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1071</v>
      </c>
      <c r="D69" s="1423" t="s">
        <v>1072</v>
      </c>
      <c r="E69" s="1423" t="s">
        <v>1073</v>
      </c>
      <c r="F69" s="1423" t="s">
        <v>1074</v>
      </c>
      <c r="G69" s="1423" t="s">
        <v>1075</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1038</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1048</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1038</v>
      </c>
      <c r="B26" s="1166" t="s">
        <v>1048</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1042</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1042</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1042</v>
      </c>
      <c r="Q32" s="700">
        <f t="shared" si="11"/>
        <v>111</v>
      </c>
      <c r="R32" s="1367" t="s">
        <v>1009</v>
      </c>
      <c r="S32" s="1368">
        <f t="shared" si="12"/>
        <v>100</v>
      </c>
      <c r="T32" s="1367" t="s">
        <v>1009</v>
      </c>
      <c r="U32" s="1368">
        <f t="shared" si="13"/>
        <v>100</v>
      </c>
      <c r="V32" s="1367" t="s">
        <v>1009</v>
      </c>
      <c r="W32" s="1368">
        <f t="shared" si="14"/>
        <v>100</v>
      </c>
      <c r="X32" s="1354"/>
      <c r="Y32" s="1329" t="s">
        <v>1042</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1060</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1061</v>
      </c>
      <c r="B36" s="1583"/>
      <c r="C36" s="1584" t="e">
        <f>R37</f>
        <v>#DIV/0!</v>
      </c>
      <c r="D36" s="1242" t="s">
        <v>1062</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1063</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1064</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1065</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1066</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1067</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1068</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1069</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1070</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1071</v>
      </c>
      <c r="D61" s="1421" t="s">
        <v>1072</v>
      </c>
      <c r="E61" s="1421" t="s">
        <v>1073</v>
      </c>
      <c r="F61" s="1421" t="s">
        <v>1074</v>
      </c>
      <c r="G61" s="1421" t="s">
        <v>1075</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1071</v>
      </c>
      <c r="D63" s="1423" t="s">
        <v>1072</v>
      </c>
      <c r="E63" s="1423" t="s">
        <v>1073</v>
      </c>
      <c r="F63" s="1423" t="s">
        <v>1074</v>
      </c>
      <c r="G63" s="1423" t="s">
        <v>1075</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1076</v>
      </c>
      <c r="D65" s="1428" t="s">
        <v>1077</v>
      </c>
      <c r="E65" s="1428" t="s">
        <v>1078</v>
      </c>
      <c r="F65" s="1428" t="s">
        <v>1079</v>
      </c>
      <c r="G65" s="1428" t="s">
        <v>1080</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1071</v>
      </c>
      <c r="D67" s="1423" t="s">
        <v>1072</v>
      </c>
      <c r="E67" s="1423" t="s">
        <v>1073</v>
      </c>
      <c r="F67" s="1423" t="s">
        <v>1074</v>
      </c>
      <c r="G67" s="1423" t="s">
        <v>1075</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1038</v>
      </c>
      <c r="B77" s="1402" t="s">
        <v>1048</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1042</v>
      </c>
      <c r="Q36" s="700">
        <f t="shared" si="8"/>
        <v>111</v>
      </c>
      <c r="R36" s="1367" t="s">
        <v>1009</v>
      </c>
      <c r="S36" s="1368">
        <f t="shared" si="10"/>
        <v>100</v>
      </c>
      <c r="T36" s="1367" t="s">
        <v>1009</v>
      </c>
      <c r="U36" s="1368">
        <f t="shared" si="11"/>
        <v>100</v>
      </c>
      <c r="V36" s="1367" t="s">
        <v>1009</v>
      </c>
      <c r="W36" s="1368">
        <f t="shared" si="12"/>
        <v>100</v>
      </c>
      <c r="X36" s="1354"/>
      <c r="Y36" s="1329" t="s">
        <v>1042</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1038</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1042</v>
      </c>
      <c r="Q42" s="700" t="str">
        <f t="shared" si="14"/>
        <v>工程地质条件</v>
      </c>
      <c r="R42" s="1367" t="s">
        <v>1009</v>
      </c>
      <c r="S42" s="1368">
        <f t="shared" si="10"/>
        <v>100</v>
      </c>
      <c r="T42" s="1367" t="s">
        <v>1009</v>
      </c>
      <c r="U42" s="1368">
        <f t="shared" si="11"/>
        <v>100</v>
      </c>
      <c r="V42" s="1367" t="s">
        <v>1009</v>
      </c>
      <c r="W42" s="1368">
        <f t="shared" si="12"/>
        <v>100</v>
      </c>
      <c r="X42" s="1354"/>
      <c r="Y42" s="1329" t="s">
        <v>1042</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1061</v>
      </c>
      <c r="B47" s="1240"/>
      <c r="C47" s="1241" t="e">
        <f>R48</f>
        <v>#DIV/0!</v>
      </c>
      <c r="D47" s="1242" t="s">
        <v>1062</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1064</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1065</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1066</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81.7</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81.7</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1067</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1068</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1069</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1070</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1071</v>
      </c>
      <c r="D87" s="1421" t="s">
        <v>1072</v>
      </c>
      <c r="E87" s="1421" t="s">
        <v>1073</v>
      </c>
      <c r="F87" s="1421" t="s">
        <v>1074</v>
      </c>
      <c r="G87" s="1421" t="s">
        <v>1075</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1071</v>
      </c>
      <c r="D89" s="1423" t="s">
        <v>1072</v>
      </c>
      <c r="E89" s="1423" t="s">
        <v>1073</v>
      </c>
      <c r="F89" s="1423" t="s">
        <v>1074</v>
      </c>
      <c r="G89" s="1423" t="s">
        <v>1075</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1071</v>
      </c>
      <c r="D91" s="1423" t="s">
        <v>1072</v>
      </c>
      <c r="E91" s="1423" t="s">
        <v>1073</v>
      </c>
      <c r="F91" s="1423" t="s">
        <v>1074</v>
      </c>
      <c r="G91" s="1423" t="s">
        <v>1075</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1071</v>
      </c>
      <c r="D93" s="1423" t="s">
        <v>1072</v>
      </c>
      <c r="E93" s="1423" t="s">
        <v>1073</v>
      </c>
      <c r="F93" s="1423" t="s">
        <v>1074</v>
      </c>
      <c r="G93" s="1423" t="s">
        <v>1075</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1071</v>
      </c>
      <c r="D95" s="1423" t="s">
        <v>1072</v>
      </c>
      <c r="E95" s="1423" t="s">
        <v>1073</v>
      </c>
      <c r="F95" s="1423" t="s">
        <v>1074</v>
      </c>
      <c r="G95" s="1423" t="s">
        <v>1075</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1071</v>
      </c>
      <c r="D97" s="1421" t="s">
        <v>1072</v>
      </c>
      <c r="E97" s="1421" t="s">
        <v>1073</v>
      </c>
      <c r="F97" s="1421" t="s">
        <v>1074</v>
      </c>
      <c r="G97" s="1421" t="s">
        <v>1075</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1071</v>
      </c>
      <c r="D99" s="1421" t="s">
        <v>1072</v>
      </c>
      <c r="E99" s="1421" t="s">
        <v>1073</v>
      </c>
      <c r="F99" s="1421" t="s">
        <v>1074</v>
      </c>
      <c r="G99" s="1421" t="s">
        <v>1075</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1076</v>
      </c>
      <c r="D101" s="1428" t="s">
        <v>1077</v>
      </c>
      <c r="E101" s="1428" t="s">
        <v>1078</v>
      </c>
      <c r="F101" s="1428" t="s">
        <v>1079</v>
      </c>
      <c r="G101" s="1428" t="s">
        <v>1080</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1038</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37839</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1042</v>
      </c>
      <c r="Q32" s="700">
        <f t="shared" si="8"/>
        <v>111</v>
      </c>
      <c r="R32" s="1367" t="s">
        <v>1009</v>
      </c>
      <c r="S32" s="1368">
        <f t="shared" si="10"/>
        <v>100</v>
      </c>
      <c r="T32" s="1367" t="s">
        <v>1009</v>
      </c>
      <c r="U32" s="1368">
        <f t="shared" si="11"/>
        <v>100</v>
      </c>
      <c r="V32" s="1367" t="s">
        <v>1009</v>
      </c>
      <c r="W32" s="1368">
        <f t="shared" si="12"/>
        <v>100</v>
      </c>
      <c r="X32" s="1354"/>
      <c r="Y32" s="1329" t="s">
        <v>1042</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1038</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1042</v>
      </c>
      <c r="Q37" s="700" t="str">
        <f t="shared" si="14"/>
        <v>工程地质条件</v>
      </c>
      <c r="R37" s="1367" t="s">
        <v>1009</v>
      </c>
      <c r="S37" s="1368">
        <f t="shared" si="10"/>
        <v>100</v>
      </c>
      <c r="T37" s="1367" t="s">
        <v>1009</v>
      </c>
      <c r="U37" s="1368">
        <f t="shared" si="11"/>
        <v>100</v>
      </c>
      <c r="V37" s="1367" t="s">
        <v>1009</v>
      </c>
      <c r="W37" s="1368">
        <f t="shared" si="12"/>
        <v>100</v>
      </c>
      <c r="X37" s="1354"/>
      <c r="Y37" s="1329" t="s">
        <v>1042</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1061</v>
      </c>
      <c r="B42" s="1240"/>
      <c r="C42" s="1241" t="e">
        <f>R43</f>
        <v>#DIV/0!</v>
      </c>
      <c r="D42" s="1242" t="s">
        <v>1062</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1063</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81.7</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1067</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1068</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1069</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1070</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1071</v>
      </c>
      <c r="D83" s="1421" t="s">
        <v>1072</v>
      </c>
      <c r="E83" s="1421" t="s">
        <v>1073</v>
      </c>
      <c r="F83" s="1421" t="s">
        <v>1074</v>
      </c>
      <c r="G83" s="1421" t="s">
        <v>1075</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1071</v>
      </c>
      <c r="D85" s="1423" t="s">
        <v>1072</v>
      </c>
      <c r="E85" s="1423" t="s">
        <v>1073</v>
      </c>
      <c r="F85" s="1423" t="s">
        <v>1074</v>
      </c>
      <c r="G85" s="1423" t="s">
        <v>1075</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1071</v>
      </c>
      <c r="D87" s="1421" t="s">
        <v>1072</v>
      </c>
      <c r="E87" s="1421" t="s">
        <v>1073</v>
      </c>
      <c r="F87" s="1421" t="s">
        <v>1074</v>
      </c>
      <c r="G87" s="1421" t="s">
        <v>1075</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1071</v>
      </c>
      <c r="D89" s="1421" t="s">
        <v>1072</v>
      </c>
      <c r="E89" s="1421" t="s">
        <v>1073</v>
      </c>
      <c r="F89" s="1421" t="s">
        <v>1074</v>
      </c>
      <c r="G89" s="1421" t="s">
        <v>1075</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1071</v>
      </c>
      <c r="D91" s="1421" t="s">
        <v>1072</v>
      </c>
      <c r="E91" s="1421" t="s">
        <v>1073</v>
      </c>
      <c r="F91" s="1421" t="s">
        <v>1074</v>
      </c>
      <c r="G91" s="1421" t="s">
        <v>1075</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1076</v>
      </c>
      <c r="D93" s="1428" t="s">
        <v>1077</v>
      </c>
      <c r="E93" s="1428" t="s">
        <v>1078</v>
      </c>
      <c r="F93" s="1428" t="s">
        <v>1079</v>
      </c>
      <c r="G93" s="1428" t="s">
        <v>1080</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1038</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1082</v>
      </c>
      <c r="D5" s="1012" t="s">
        <v>1030</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1694</v>
      </c>
      <c r="D17" s="1034" t="s">
        <v>1695</v>
      </c>
      <c r="E17" s="1034" t="s">
        <v>1034</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4493</v>
      </c>
      <c r="S22" s="1050">
        <f ca="1">SUM(S24:S10000)</f>
        <v>194</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1704</v>
      </c>
      <c r="B24" s="1055">
        <v>103.59</v>
      </c>
      <c r="C24" s="1056">
        <v>1</v>
      </c>
      <c r="D24" s="1057" t="s">
        <v>1030</v>
      </c>
      <c r="E24" s="1056">
        <v>1</v>
      </c>
      <c r="F24" s="1057"/>
      <c r="G24" s="1056">
        <v>1</v>
      </c>
      <c r="H24" s="1057"/>
      <c r="I24" s="1056">
        <v>1</v>
      </c>
      <c r="J24" s="1057"/>
      <c r="K24" s="1056">
        <v>1</v>
      </c>
      <c r="L24" s="1057"/>
      <c r="M24" s="1056">
        <v>1</v>
      </c>
      <c r="N24" s="1057"/>
      <c r="O24" s="1056">
        <v>1</v>
      </c>
      <c r="P24" s="1057" t="s">
        <v>1694</v>
      </c>
      <c r="Q24" s="1056">
        <v>1</v>
      </c>
      <c r="R24" s="1116">
        <f ca="1">结果表!G20</f>
        <v>4486</v>
      </c>
      <c r="S24" s="1117">
        <f ca="1" t="shared" ref="S24:S54" si="11">ROUND(R24*B24/10000,0)</f>
        <v>46</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1705</v>
      </c>
      <c r="B25" s="1059">
        <v>82.41</v>
      </c>
      <c r="C25" s="1050">
        <f>IF(B25="",1,(LOOKUP(B25,$3:$3,$4:$4)-LOOKUP($B$24,$3:$3,$4:$4)+100)/100)</f>
        <v>1.01</v>
      </c>
      <c r="D25" s="1057" t="s">
        <v>1030</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1695</v>
      </c>
      <c r="Q25" s="1050">
        <f>(SUMIF($17:$17,P25,$18:$18)-SUMIF($17:$17,$P$24,$18:$18)+100)/100</f>
        <v>0.97</v>
      </c>
      <c r="R25" s="1113">
        <f ca="1">IF(B25="",0,ROUND($R$24*C25*E25*G25*I25*K25*M25*O25*Q25,0))</f>
        <v>4395</v>
      </c>
      <c r="S25" s="1049">
        <f ca="1" t="shared" si="11"/>
        <v>36</v>
      </c>
    </row>
    <row r="26" spans="1:19">
      <c r="A26" s="1058" t="s">
        <v>1706</v>
      </c>
      <c r="B26" s="1059">
        <v>82.41</v>
      </c>
      <c r="C26" s="1050">
        <f t="shared" ref="C26:C89" si="12">IF(B26="",1,(LOOKUP(B26,$3:$3,$4:$4)-LOOKUP($B$24,$3:$3,$4:$4)+100)/100)</f>
        <v>1.01</v>
      </c>
      <c r="D26" s="1057" t="s">
        <v>1082</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1694</v>
      </c>
      <c r="Q26" s="1050">
        <f t="shared" ref="Q26:Q89" si="19">(SUMIF($17:$17,P26,$18:$18)-SUMIF($17:$17,$P$24,$18:$18)+100)/100</f>
        <v>1</v>
      </c>
      <c r="R26" s="1113">
        <f ca="1" t="shared" ref="R26:R89" si="20">IF(B26="",0,ROUND($R$24*C26*E26*G26*I26*K26*M26*O26*Q26,0))</f>
        <v>4576</v>
      </c>
      <c r="S26" s="1049">
        <f ca="1" t="shared" si="11"/>
        <v>38</v>
      </c>
    </row>
    <row r="27" spans="1:19">
      <c r="A27" s="1058" t="s">
        <v>556</v>
      </c>
      <c r="B27" s="1059">
        <v>81.7</v>
      </c>
      <c r="C27" s="1050">
        <f t="shared" si="12"/>
        <v>1.01</v>
      </c>
      <c r="D27" s="1057" t="s">
        <v>1030</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1034</v>
      </c>
      <c r="Q27" s="1050">
        <f t="shared" si="19"/>
        <v>1</v>
      </c>
      <c r="R27" s="1113">
        <f ca="1" t="shared" si="20"/>
        <v>4531</v>
      </c>
      <c r="S27" s="1049">
        <f ca="1" t="shared" si="11"/>
        <v>37</v>
      </c>
    </row>
    <row r="28" spans="1:19">
      <c r="A28" s="1058" t="s">
        <v>1707</v>
      </c>
      <c r="B28" s="1059">
        <v>81.7</v>
      </c>
      <c r="C28" s="1050">
        <f t="shared" si="12"/>
        <v>1.01</v>
      </c>
      <c r="D28" s="1057" t="s">
        <v>1030</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4486</v>
      </c>
      <c r="S28" s="1049">
        <f ca="1" t="shared" si="11"/>
        <v>37</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37839</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1071</v>
      </c>
      <c r="K49" s="879" t="s">
        <v>1072</v>
      </c>
      <c r="L49" s="879" t="s">
        <v>1073</v>
      </c>
      <c r="M49" s="879" t="s">
        <v>1074</v>
      </c>
      <c r="N49" s="879" t="s">
        <v>1075</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1071</v>
      </c>
      <c r="K60" s="879" t="s">
        <v>1072</v>
      </c>
      <c r="L60" s="879" t="s">
        <v>1073</v>
      </c>
      <c r="M60" s="879" t="s">
        <v>1074</v>
      </c>
      <c r="N60" s="879" t="s">
        <v>1075</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1071</v>
      </c>
      <c r="K71" s="879" t="s">
        <v>1072</v>
      </c>
      <c r="L71" s="879" t="s">
        <v>1073</v>
      </c>
      <c r="M71" s="879" t="s">
        <v>1074</v>
      </c>
      <c r="N71" s="879" t="s">
        <v>1075</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1071</v>
      </c>
      <c r="K82" s="879" t="s">
        <v>1072</v>
      </c>
      <c r="L82" s="879" t="s">
        <v>1073</v>
      </c>
      <c r="M82" s="879" t="s">
        <v>1074</v>
      </c>
      <c r="N82" s="879" t="s">
        <v>1075</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1071</v>
      </c>
      <c r="K92" s="964" t="s">
        <v>1072</v>
      </c>
      <c r="L92" s="964" t="s">
        <v>1073</v>
      </c>
      <c r="M92" s="964" t="s">
        <v>1074</v>
      </c>
      <c r="N92" s="964" t="s">
        <v>1075</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24541</v>
      </c>
      <c r="C2" s="396" t="s">
        <v>1464</v>
      </c>
      <c r="D2" s="393"/>
      <c r="E2" s="393"/>
      <c r="F2" s="393"/>
      <c r="G2" s="393"/>
    </row>
    <row r="3" s="382" customFormat="1" ht="18" customHeight="1" spans="1:7">
      <c r="A3" s="397" t="s">
        <v>2164</v>
      </c>
      <c r="B3" s="398">
        <f>ROUND(B2*10000/'数据-汇总表'!E3,0)</f>
        <v>3003794</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1</v>
      </c>
      <c r="D9" s="420">
        <f>'数据-汇总表'!E5</f>
        <v>81.7</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81.7</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14</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12</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81.7</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16</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10</v>
      </c>
      <c r="D51" s="430"/>
      <c r="E51" s="430"/>
      <c r="F51" s="468"/>
      <c r="G51" s="435" t="s">
        <v>2236</v>
      </c>
    </row>
    <row r="52" s="383" customFormat="1" ht="16.5" spans="1:7">
      <c r="A52" s="469" t="s">
        <v>2237</v>
      </c>
      <c r="B52" s="470"/>
      <c r="C52" s="471">
        <f>C31+C51</f>
        <v>24541</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37839</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37839</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81.7</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45152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2023-08-14T11:59:38Z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